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1Day Base" sheetId="1" r:id="rId4"/>
    <sheet state="hidden" name="1Day AM Base" sheetId="2" r:id="rId5"/>
    <sheet state="hidden" name="2Day Base" sheetId="3" r:id="rId6"/>
    <sheet state="hidden" name="3Day Base" sheetId="4" r:id="rId7"/>
    <sheet state="hidden" name="Ground Base" sheetId="5" r:id="rId8"/>
    <sheet state="hidden" name="Ground Econ and Inov Base" sheetId="6" r:id="rId9"/>
    <sheet state="hidden" name="Intl Economy Base" sheetId="7" r:id="rId10"/>
    <sheet state="hidden" name="Intl Priority" sheetId="8" r:id="rId11"/>
    <sheet state="hidden" name="USPS Base" sheetId="9" r:id="rId12"/>
    <sheet state="hidden" name="USPS_Pri_Int_Base" sheetId="10" r:id="rId13"/>
    <sheet state="hidden" name="F Intl Con Plus Base" sheetId="11" r:id="rId14"/>
    <sheet state="visible" name="Rating_Settings" sheetId="12" r:id="rId15"/>
    <sheet state="visible" name="Ground Commercial" sheetId="13" r:id="rId16"/>
    <sheet state="visible" name="Ground Home Delivery" sheetId="14" r:id="rId17"/>
    <sheet state="visible" name="Ground Economy" sheetId="15" r:id="rId18"/>
    <sheet state="visible" name="Standard Overnight" sheetId="16" r:id="rId19"/>
    <sheet state="visible" name="Overnight Priority" sheetId="17" r:id="rId20"/>
    <sheet state="visible" name="2Day" sheetId="18" r:id="rId21"/>
    <sheet state="visible" name="3Day" sheetId="19" r:id="rId22"/>
    <sheet state="visible" name="FedEx International Priority" sheetId="20" r:id="rId23"/>
    <sheet state="visible" name="FedEx International Economy" sheetId="21" r:id="rId24"/>
    <sheet state="visible" name="FedEx Intl Connect Plus" sheetId="22" r:id="rId25"/>
    <sheet state="visible" name="USPS_Ground_Advantage" sheetId="23" r:id="rId26"/>
    <sheet state="visible" name="USPS Priority" sheetId="24" r:id="rId27"/>
    <sheet state="visible" name="USPS Media Mail" sheetId="25" r:id="rId28"/>
    <sheet state="visible" name="USPS First Class Intl" sheetId="26" r:id="rId29"/>
    <sheet state="visible" name="USPS_Pri_Intl" sheetId="27" r:id="rId30"/>
  </sheets>
  <externalReferences>
    <externalReference r:id="rId31"/>
  </externalReferences>
  <definedNames>
    <definedName localSheetId="14" name="_Fill">[1]Express!#REF!</definedName>
    <definedName localSheetId="23" name="_Fill">[1]Express!#REF!</definedName>
    <definedName name="_Fill">[1]Express!#REF!</definedName>
    <definedName name="_Order1">255</definedName>
    <definedName localSheetId="14" name="_Sort">[1]Express!#REF!</definedName>
    <definedName localSheetId="23" name="_Sort">[1]Express!#REF!</definedName>
    <definedName name="_Sort">[1]Express!#REF!</definedName>
    <definedName name="FedExExrpessEarnedDiscount">0.1</definedName>
    <definedName name="GroundAKHIDiscount">0.25</definedName>
    <definedName name="GroundCommDiscount01to05">0.46</definedName>
    <definedName name="GroundCommDiscount06to10">0.39</definedName>
    <definedName name="GroundCommDiscount11to20">0.42</definedName>
    <definedName name="GroundCommDiscount21to30">0.48</definedName>
    <definedName name="GroundCommDiscount31Up">0.48</definedName>
    <definedName name="GroundCommIncentive">0.1</definedName>
    <definedName name="GroundEconDiscount">0.14</definedName>
    <definedName name="GroundMinAlaska">'Ground Base'!$J$3-0</definedName>
    <definedName name="GroundMinHawaii">'Ground Base'!$J$3-0</definedName>
    <definedName name="GroundResDiscount01to05">0.37</definedName>
    <definedName name="GroundResDiscount06to10">0.39</definedName>
    <definedName name="GroundResDiscount11to20">0.42</definedName>
    <definedName name="GroundResDiscount21to30">0.46</definedName>
    <definedName name="GroundResDiscount31Up">0.48</definedName>
    <definedName name="GroundResIncentive">0.1</definedName>
    <definedName name="GroundStandardDiscount">0.47</definedName>
    <definedName name="GroundZone51Discount">0.5</definedName>
    <definedName name="GroundZone54Discount">0.565</definedName>
    <definedName name="IntEconomyDiscount">0.858</definedName>
    <definedName name="IntEoncomyIncentive">0</definedName>
    <definedName name="IntPriorityDiscount">0.858</definedName>
    <definedName name="IntPriorityIncentive">0</definedName>
    <definedName name="IntPuertoRicoDiscount">0.48</definedName>
    <definedName name="Mail_Innovations_Fuel_Surcharge">Rating_Settings!#REF!</definedName>
    <definedName name="Mail_Innovations_Markup">Rating_Settings!#REF!</definedName>
    <definedName name="MinBase1AMDay">'1Day AM Base'!$B$3-18.52</definedName>
    <definedName name="MinBase1Day">'1Day Base'!$B$3-17.31</definedName>
    <definedName name="MinBase2Day">'2Day Base'!$B$3-10.83</definedName>
    <definedName name="MinBase3Day">'3Day Base'!$B$3-8.43</definedName>
    <definedName name="MinBaseGround">'Ground Base'!$B$3-1.25</definedName>
    <definedName name="MinBaseIntAir">10</definedName>
    <definedName name="MinBaseIntEcon">10</definedName>
    <definedName name="MinBaseIntPlus">15</definedName>
    <definedName name="MinBaseSurePost">'Ground Econ and Inov Base'!$B$3-3.1</definedName>
    <definedName name="MinGroundZone51">'Ground Base'!$K$3-5.03</definedName>
    <definedName name="MinGroundZone54">'Ground Base'!$L$3-15.19</definedName>
    <definedName name="NextDayDiscount">0.65</definedName>
    <definedName name="OneDayDiscount">0.5</definedName>
    <definedName name="OverNightDiscount_11_to_20">0.58</definedName>
    <definedName name="OverNightDiscount_21_Up">0.6</definedName>
    <definedName name="OvernightDiscount1_to_10">0.57</definedName>
    <definedName name="PuertoRicoDiscount">0.48</definedName>
    <definedName name="SurePostDiscount">0.7</definedName>
    <definedName name="ThreeDayDiscount">0.5</definedName>
    <definedName name="ThreeDayDiscount_1_10">0.47</definedName>
    <definedName name="ThreeDayDiscount_11_to_20">0.5</definedName>
    <definedName name="ThreeDayDiscount_21_Up">0.55</definedName>
    <definedName name="TwoDayDiscount">0.6</definedName>
    <definedName name="TwoDayDiscount_1_to_10">0.47</definedName>
    <definedName name="TwoDayDiscount_11_20">0.5</definedName>
    <definedName name="TwoDayDiscount_21_Up">0.55</definedName>
    <definedName name="ExpressResidentialFee">Rating_Settings!$B$12</definedName>
    <definedName name="GroundResidentialFee">Rating_Settings!$B$11</definedName>
    <definedName name="International_Fuel_Surcharge">Rating_Settings!$B$8</definedName>
    <definedName name="ExpressResWithFS">Rating_Settings!$C$12</definedName>
    <definedName name="_Key1">#REF!</definedName>
    <definedName name="ExpressIntResFeeWithFS">Rating_Settings!$C$13</definedName>
    <definedName name="SurePostFuelSurcharge">Rating_Settings!$B$7</definedName>
    <definedName localSheetId="14" name="_Key1">#REF!</definedName>
    <definedName name="GroundFuelSurcharge">Rating_Settings!$B$6</definedName>
    <definedName name="Express_Intl_Residential_Fee">Rating_Settings!$B$13</definedName>
    <definedName name="ExpressFuelSurcharge">Rating_Settings!$B$5</definedName>
    <definedName name="FedEx_Markup">Rating_Settings!$B$3</definedName>
    <definedName name="PostalMarkup">Rating_Settings!$B$2</definedName>
    <definedName name="GroundResWithFS">Rating_Settings!$C$11</definedName>
    <definedName localSheetId="23" name="_Key1">#REF!</definedName>
  </definedNames>
  <calcPr/>
  <extLst>
    <ext uri="GoogleSheetsCustomDataVersion2">
      <go:sheetsCustomData xmlns:go="http://customooxmlschemas.google.com/" r:id="rId32" roundtripDataChecksum="TmEMB2ivtY2Hxt09UigJKvBRIQrvPXnXym+da77bQi0="/>
    </ext>
  </extLst>
</workbook>
</file>

<file path=xl/sharedStrings.xml><?xml version="1.0" encoding="utf-8"?>
<sst xmlns="http://schemas.openxmlformats.org/spreadsheetml/2006/main" count="612" uniqueCount="179">
  <si>
    <t>US48</t>
  </si>
  <si>
    <t>Zones</t>
  </si>
  <si>
    <t>Price Per Pound</t>
  </si>
  <si>
    <t>Alaska Metro</t>
  </si>
  <si>
    <t>Hawaii Metro</t>
  </si>
  <si>
    <t>Alaska Rural</t>
  </si>
  <si>
    <t>Hawaii Rural</t>
  </si>
  <si>
    <t>US-Metro AK</t>
  </si>
  <si>
    <t>US-Metro HI</t>
  </si>
  <si>
    <t>US-Remote AK</t>
  </si>
  <si>
    <t>US-Remote HI</t>
  </si>
  <si>
    <t>US-PR</t>
  </si>
  <si>
    <t>PR</t>
  </si>
  <si>
    <t>Price Pe Pound</t>
  </si>
  <si>
    <t>Hawaii</t>
  </si>
  <si>
    <t>Alaska</t>
  </si>
  <si>
    <t>Canada</t>
  </si>
  <si>
    <t>Ground Min</t>
  </si>
  <si>
    <t>UPS Mail Inovation</t>
  </si>
  <si>
    <t>3</t>
  </si>
  <si>
    <t>4</t>
  </si>
  <si>
    <t>5</t>
  </si>
  <si>
    <t>6</t>
  </si>
  <si>
    <t>7</t>
  </si>
  <si>
    <t>8</t>
  </si>
  <si>
    <t>1 lbs.</t>
  </si>
  <si>
    <t>FedEx Ground Economy Discounts</t>
  </si>
  <si>
    <t>StartWeight</t>
  </si>
  <si>
    <t>with FS</t>
  </si>
  <si>
    <t>10+</t>
  </si>
  <si>
    <t>Min</t>
  </si>
  <si>
    <t>Discount % based off Min.</t>
  </si>
  <si>
    <t>Discount % without min (includes 14% Earned Discount)</t>
  </si>
  <si>
    <t>Loss % of Discount - due to Min</t>
  </si>
  <si>
    <t>Mexico</t>
  </si>
  <si>
    <t xml:space="preserve"> Belgium      UK     France</t>
  </si>
  <si>
    <t>Hungary Poland</t>
  </si>
  <si>
    <t>Hong Kong Singapore</t>
  </si>
  <si>
    <t>Japan Korea,South</t>
  </si>
  <si>
    <t>Austria Demark</t>
  </si>
  <si>
    <t>Aruba Jamacia</t>
  </si>
  <si>
    <t>Australia New Zealand</t>
  </si>
  <si>
    <t>Israel Kuwait</t>
  </si>
  <si>
    <t>Argentina Brazil</t>
  </si>
  <si>
    <t>Ethiopia Kenya</t>
  </si>
  <si>
    <t>China</t>
  </si>
  <si>
    <t>India Nepal</t>
  </si>
  <si>
    <t>Puerto Rico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</si>
  <si>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</si>
  <si>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</si>
  <si>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</si>
  <si>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</si>
  <si>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</si>
  <si>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</si>
  <si>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</si>
  <si>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</si>
  <si>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</si>
  <si>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</si>
  <si>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</si>
  <si>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</si>
  <si>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</si>
  <si>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</si>
  <si>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</si>
  <si>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Per Pound</t>
  </si>
  <si>
    <t>Reduction</t>
  </si>
  <si>
    <t>US</t>
  </si>
  <si>
    <t>APO Territories</t>
  </si>
  <si>
    <t>First Class</t>
  </si>
  <si>
    <t>Media Mail</t>
  </si>
  <si>
    <t>Weight Not Over (lbs.)</t>
  </si>
  <si>
    <t>Rate</t>
  </si>
  <si>
    <t>FCI</t>
  </si>
  <si>
    <t>Zone</t>
  </si>
  <si>
    <t>Cubic Ft. Range</t>
  </si>
  <si>
    <r>
      <rPr>
        <rFont val="Arial"/>
        <color rgb="FF202020"/>
        <sz val="11.0"/>
      </rPr>
      <t>Zone</t>
    </r>
    <r>
      <rPr>
        <rFont val="Arial"/>
        <color rgb="FF202020"/>
        <sz val="8.0"/>
      </rPr>
      <t>1,2</t>
    </r>
  </si>
  <si>
    <t>Up To</t>
  </si>
  <si>
    <t>Cubic Ft. Range Up To:</t>
  </si>
  <si>
    <t>Wght/Zone</t>
  </si>
  <si>
    <t>1,000+ lbs.</t>
  </si>
  <si>
    <t>Discount % by Weight/Zone</t>
  </si>
  <si>
    <t>Weight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</si>
  <si>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</si>
  <si>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</si>
  <si>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</si>
  <si>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</si>
  <si>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</si>
  <si>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</si>
  <si>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</si>
  <si>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</si>
  <si>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</si>
  <si>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J </t>
  </si>
  <si>
    <t xml:space="preserve">K </t>
  </si>
  <si>
    <t xml:space="preserve">L </t>
  </si>
  <si>
    <t xml:space="preserve">M </t>
  </si>
  <si>
    <t xml:space="preserve">N </t>
  </si>
  <si>
    <t xml:space="preserve">O </t>
  </si>
  <si>
    <t>Service</t>
  </si>
  <si>
    <t>Markup</t>
  </si>
  <si>
    <t>Postal Markup</t>
  </si>
  <si>
    <t>FedEx Markup</t>
  </si>
  <si>
    <t>Express Fuel Surcharge</t>
  </si>
  <si>
    <t>Ground Fuel Surcharge</t>
  </si>
  <si>
    <t>Ground Economy Fuel Surcharge</t>
  </si>
  <si>
    <t>with 30% discount</t>
  </si>
  <si>
    <t>International Fuel Surcharge</t>
  </si>
  <si>
    <t>Logistech Discounted Res. Fees</t>
  </si>
  <si>
    <t>with Fuel Surcharge</t>
  </si>
  <si>
    <t>Ground Residential Fee</t>
  </si>
  <si>
    <t>Express (US) Residential Fee</t>
  </si>
  <si>
    <t>Express Intl Residential Fee</t>
  </si>
  <si>
    <t>Logistech Discounted Insurance Fees</t>
  </si>
  <si>
    <t>UPS Insurance 1st $300</t>
  </si>
  <si>
    <t>Additional per $100 rate</t>
  </si>
  <si>
    <t>The applicable rate is the greater of actual weight or dimensional weight</t>
  </si>
  <si>
    <t>Dimensional weight calculation is rounded L x W x H in inches of package, divided by 194</t>
  </si>
  <si>
    <t>Rural areas may have additional DAS - delivery area surcharge</t>
  </si>
  <si>
    <t>Includes $100 declared value coverage, 1-5 days transit</t>
  </si>
  <si>
    <t>1 lb</t>
  </si>
  <si>
    <t>* No residential fees</t>
  </si>
  <si>
    <t xml:space="preserve">Includes $100 declared value coverage if lost/damaged </t>
  </si>
  <si>
    <t>2-6 days transit</t>
  </si>
  <si>
    <t>* if shipping to residential add:</t>
  </si>
  <si>
    <t>Includes $100 declared value coverage, 1 day transit</t>
  </si>
  <si>
    <r>
      <rPr>
        <rFont val="Arial"/>
        <color theme="8"/>
        <sz val="10.0"/>
      </rPr>
      <t xml:space="preserve">Dimensional weight calculation is rounded L x W x H in inches of package, divided by </t>
    </r>
    <r>
      <rPr>
        <rFont val="Arial"/>
        <b/>
        <color theme="5"/>
        <sz val="10.0"/>
      </rPr>
      <t>194</t>
    </r>
  </si>
  <si>
    <t>Includes $100 declared value coverage, 2 days transit</t>
  </si>
  <si>
    <t>AK Metro</t>
  </si>
  <si>
    <t>HI Metro</t>
  </si>
  <si>
    <t>AK Rural</t>
  </si>
  <si>
    <t>HI Rural</t>
  </si>
  <si>
    <t>Includes $100 declared value coverage, 3 days transit</t>
  </si>
  <si>
    <t>1 lbs</t>
  </si>
  <si>
    <t/>
  </si>
  <si>
    <t>Dimensional weight calculation is rounded L x W x H in inches of package, divided by 166</t>
  </si>
  <si>
    <t>Includes $100 declared value coverage, 1-3 days transit</t>
  </si>
  <si>
    <t>Includes $100 declared value coverage, 2-5 days transit</t>
  </si>
  <si>
    <t>* No Residential Fee Charged</t>
  </si>
  <si>
    <t>* Cubic Volume Pricing</t>
  </si>
  <si>
    <t>$100 declared value coverage, 1-6 days transit</t>
  </si>
  <si>
    <t>Weight ounces</t>
  </si>
  <si>
    <t>Cubic Volume</t>
  </si>
  <si>
    <t>Example:</t>
  </si>
  <si>
    <t>Measurements are inches.</t>
  </si>
  <si>
    <t>Length</t>
  </si>
  <si>
    <t>Width</t>
  </si>
  <si>
    <t>Height</t>
  </si>
  <si>
    <t>Cubic Volume:</t>
  </si>
  <si>
    <t xml:space="preserve">* Cubic Volume Ratio is calculated as (Length X Width X Height)/1728 cubic inches, rounded up to the next tenth.  </t>
  </si>
  <si>
    <t>If Cubic Volume Ratio exceeds 0.9, then the measurements do not qualify for Volume Pricing.</t>
  </si>
  <si>
    <t>Includes $100 declared value, 1-3 days transit</t>
  </si>
  <si>
    <t>Most packages under 1728 cu inches are omitted from dimensional weight</t>
  </si>
  <si>
    <t>Cubic Volume Rate</t>
  </si>
  <si>
    <t>Up to</t>
  </si>
  <si>
    <t>If shipping package qualifies for cubic volume rate, postal rate will be the cheaper of the volume and pound rate.</t>
  </si>
  <si>
    <t>Applicable only to qualifying media products per usps.com</t>
  </si>
  <si>
    <t>Weight (lbs)</t>
  </si>
  <si>
    <t>No declared value coverage, 1-3 weeks transit</t>
  </si>
  <si>
    <t>CA Canada</t>
  </si>
  <si>
    <t>MX Mexico</t>
  </si>
  <si>
    <t xml:space="preserve">HR EE HU LV LT PL RO </t>
  </si>
  <si>
    <t>AT BE DK FI GI GR IE IL IT LU NL PT ES  TR</t>
  </si>
  <si>
    <t xml:space="preserve">MT NO SE CH  </t>
  </si>
  <si>
    <t>IN PK PH SG  TH VN</t>
  </si>
  <si>
    <t>MY QA  TW AE</t>
  </si>
  <si>
    <t>AO EG  ZW</t>
  </si>
  <si>
    <t>KE MA NG ZA TZ</t>
  </si>
  <si>
    <t>AR BS BZ BM CO</t>
  </si>
  <si>
    <t>AW CL CR PA UY</t>
  </si>
  <si>
    <t>AU NZ</t>
  </si>
  <si>
    <t>BR Brazil</t>
  </si>
  <si>
    <t>CN China</t>
  </si>
  <si>
    <t>FR France</t>
  </si>
  <si>
    <t>DE Germany</t>
  </si>
  <si>
    <t>JP Japan</t>
  </si>
  <si>
    <t>HK Hong Kong KR</t>
  </si>
  <si>
    <t>RU Russia</t>
  </si>
  <si>
    <t>GB Great Britain</t>
  </si>
  <si>
    <t>Weight (Ounces)</t>
  </si>
  <si>
    <t>lbs</t>
  </si>
  <si>
    <t>No declared value coverage, 6-10 days transit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</si>
</sst>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0_);\(0\)"/>
    <numFmt numFmtId="165" formatCode="&quot;$&quot;#,##0.00"/>
    <numFmt numFmtId="166" formatCode="&quot;$&quot;#,##0.00_);[Red]\(&quot;$&quot;#,##0.00\)"/>
    <numFmt numFmtId="167" formatCode="_(* #,##0.00_);_(* \(#,##0.00\);_(* &quot;-&quot;??_);_(@_)"/>
    <numFmt numFmtId="168" formatCode="_(* #,##0.00_);[Red]_(* \(#,##0.00\);[Color15]_(* #,##0.00_)"/>
    <numFmt numFmtId="169" formatCode="_(&quot;$&quot;* #,##0.00_);_(&quot;$&quot;* \(#,##0.00\);_(&quot;$&quot;* &quot;-&quot;??_);_(@_)"/>
    <numFmt numFmtId="170" formatCode="&quot;$&quot;#,##0.00_);\(&quot;$&quot;#,##0.00\)"/>
    <numFmt numFmtId="171" formatCode="0.00_);\(0.00\)"/>
    <numFmt numFmtId="172" formatCode="0.000_);\(0.000\)"/>
    <numFmt numFmtId="173" formatCode="_(&quot;$&quot;* #,##0.000000_);_(&quot;$&quot;* \(#,##0.000000\);_(&quot;$&quot;* &quot;-&quot;??_);_(@_)"/>
    <numFmt numFmtId="174" formatCode="0.0_);\(0.0\)"/>
    <numFmt numFmtId="175" formatCode="0.0000_);\(0.0000\)"/>
  </numFmts>
  <fonts count="31">
    <font>
      <sz val="10.0"/>
      <color rgb="FF000000"/>
      <name val="Arial"/>
      <scheme val="minor"/>
    </font>
    <font>
      <b/>
      <sz val="8.0"/>
      <color rgb="FFFFFFFF"/>
      <name val="UPS Sans Medium Condensed"/>
    </font>
    <font>
      <sz val="10.0"/>
      <color theme="1"/>
      <name val="UPS Sans Medium Condensed"/>
    </font>
    <font>
      <sz val="8.0"/>
      <color theme="1"/>
      <name val="UPS Sans Condensed"/>
    </font>
    <font>
      <sz val="10.0"/>
      <color theme="1"/>
      <name val="UPS Sans Condensed"/>
    </font>
    <font>
      <sz val="7.0"/>
      <color theme="1"/>
      <name val="Arial"/>
    </font>
    <font>
      <sz val="10.0"/>
      <color theme="1"/>
      <name val="Arial"/>
    </font>
    <font>
      <color theme="1"/>
      <name val="Arial"/>
      <scheme val="minor"/>
    </font>
    <font>
      <b/>
      <sz val="8.0"/>
      <color theme="1"/>
      <name val="UPS Sans Medium Condensed"/>
    </font>
    <font>
      <b/>
      <sz val="10.0"/>
      <color rgb="FFFFFFFF"/>
      <name val="UPS Sans Medium Condensed"/>
    </font>
    <font>
      <sz val="8.0"/>
      <color theme="1"/>
      <name val="Verdana"/>
    </font>
    <font>
      <b/>
      <sz val="7.0"/>
      <color rgb="FFFFFFFF"/>
      <name val="UPS Sans Medium Condensed"/>
    </font>
    <font>
      <sz val="12.0"/>
      <color theme="1"/>
      <name val="Arial"/>
    </font>
    <font>
      <b/>
      <sz val="12.0"/>
      <color theme="1"/>
      <name val="Arial"/>
    </font>
    <font>
      <sz val="8.0"/>
      <color theme="1"/>
      <name val="UPS Sans Medium Condensed"/>
    </font>
    <font>
      <sz val="12.0"/>
      <color rgb="FF000000"/>
      <name val="Arial"/>
    </font>
    <font>
      <b/>
      <sz val="10.0"/>
      <color theme="1"/>
      <name val="Arial"/>
    </font>
    <font>
      <sz val="11.0"/>
      <color rgb="FF202020"/>
      <name val="Arial"/>
    </font>
    <font/>
    <font>
      <sz val="11.0"/>
      <color theme="1"/>
      <name val="Calibri"/>
    </font>
    <font>
      <sz val="10.0"/>
      <color theme="8"/>
      <name val="Arial"/>
    </font>
    <font>
      <sz val="10.0"/>
      <color theme="4"/>
      <name val="Arial"/>
    </font>
    <font>
      <sz val="8.0"/>
      <color theme="4"/>
      <name val="Calibri"/>
    </font>
    <font>
      <b/>
      <sz val="8.0"/>
      <color rgb="FF7030A0"/>
      <name val="UPS Sans Medium Condensed"/>
    </font>
    <font>
      <sz val="8.0"/>
      <color theme="1"/>
      <name val="Calibri"/>
    </font>
    <font>
      <b/>
      <sz val="8.0"/>
      <color theme="1"/>
      <name val="Arial"/>
    </font>
    <font>
      <sz val="10.0"/>
      <color theme="5"/>
      <name val="Arial"/>
    </font>
    <font>
      <b/>
      <sz val="10.0"/>
      <color theme="1"/>
      <name val="UPS Sans Medium Condensed"/>
    </font>
    <font>
      <sz val="8.0"/>
      <color theme="1"/>
      <name val="Arial"/>
    </font>
    <font>
      <b/>
      <sz val="8.0"/>
      <color theme="1"/>
      <name val="Calibri"/>
    </font>
    <font>
      <sz val="10.0"/>
      <color theme="1"/>
      <name val="Yu Gothic UI Semibold"/>
    </font>
  </fonts>
  <fills count="1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EEEE"/>
        <bgColor rgb="FFEEEEEE"/>
      </patternFill>
    </fill>
    <fill>
      <patternFill patternType="solid">
        <fgColor rgb="FFF5F5F5"/>
        <bgColor rgb="FFF5F5F5"/>
      </patternFill>
    </fill>
    <fill>
      <patternFill patternType="solid">
        <fgColor rgb="FFAEABAB"/>
        <bgColor rgb="FFAEABAB"/>
      </patternFill>
    </fill>
    <fill>
      <patternFill patternType="solid">
        <fgColor rgb="FFF6FBB1"/>
        <bgColor rgb="FFF6FBB1"/>
      </patternFill>
    </fill>
    <fill>
      <patternFill patternType="solid">
        <fgColor rgb="FFFFFF00"/>
        <bgColor rgb="FFFFFF00"/>
      </patternFill>
    </fill>
    <fill>
      <patternFill patternType="solid">
        <fgColor rgb="FFECECEC"/>
        <bgColor rgb="FFECECEC"/>
      </patternFill>
    </fill>
    <fill>
      <patternFill patternType="solid">
        <fgColor rgb="FF00B0F0"/>
        <bgColor rgb="FF00B0F0"/>
      </patternFill>
    </fill>
  </fills>
  <borders count="61">
    <border/>
    <border>
      <left/>
      <right/>
      <top/>
      <bottom/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hair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</border>
    <border>
      <left style="hair">
        <color rgb="FF000000"/>
      </left>
      <right/>
      <top/>
      <bottom/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 style="hair">
        <color rgb="FF000000"/>
      </right>
      <top/>
      <bottom/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/>
      <right/>
      <top/>
      <bottom style="hair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/>
      <right style="medium">
        <color rgb="FFFFFFFF"/>
      </right>
      <top/>
      <bottom/>
    </border>
    <border>
      <left style="medium">
        <color rgb="FFFFFFFF"/>
      </left>
      <top/>
      <bottom style="thick">
        <color rgb="FFDDDDDD"/>
      </bottom>
    </border>
    <border>
      <top/>
      <bottom style="thick">
        <color rgb="FFDDDDDD"/>
      </bottom>
    </border>
    <border>
      <right style="medium">
        <color rgb="FFFFFFFF"/>
      </right>
      <top/>
      <bottom style="thick">
        <color rgb="FFDDDDDD"/>
      </bottom>
    </border>
    <border>
      <left/>
      <right style="medium">
        <color rgb="FFFFFFFF"/>
      </right>
      <top/>
      <bottom style="thick">
        <color rgb="FFDDDDDD"/>
      </bottom>
    </border>
    <border>
      <left/>
      <right style="medium">
        <color rgb="FFFFFFFF"/>
      </right>
      <top style="medium">
        <color rgb="FFDDDDDD"/>
      </top>
      <bottom style="thick">
        <color rgb="FFDDDDDD"/>
      </bottom>
    </border>
    <border>
      <left/>
      <right/>
      <top style="medium">
        <color rgb="FFDDDDDD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double">
        <color rgb="FF000000"/>
      </left>
    </border>
    <border>
      <left style="double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quotePrefix="1" borderId="1" fillId="2" fontId="1" numFmtId="164" xfId="0" applyAlignment="1" applyBorder="1" applyFont="1" applyNumberFormat="1">
      <alignment horizontal="right"/>
    </xf>
    <xf borderId="1" fillId="2" fontId="1" numFmtId="164" xfId="0" applyAlignment="1" applyBorder="1" applyFont="1" applyNumberFormat="1">
      <alignment horizontal="right"/>
    </xf>
    <xf borderId="0" fillId="0" fontId="2" numFmtId="0" xfId="0" applyAlignment="1" applyFont="1">
      <alignment horizontal="left"/>
    </xf>
    <xf borderId="2" fillId="3" fontId="3" numFmtId="0" xfId="0" applyAlignment="1" applyBorder="1" applyFill="1" applyFont="1">
      <alignment horizontal="left"/>
    </xf>
    <xf borderId="3" fillId="3" fontId="3" numFmtId="2" xfId="0" applyBorder="1" applyFont="1" applyNumberFormat="1"/>
    <xf borderId="4" fillId="3" fontId="3" numFmtId="2" xfId="0" applyBorder="1" applyFont="1" applyNumberFormat="1"/>
    <xf borderId="0" fillId="0" fontId="2" numFmtId="0" xfId="0" applyAlignment="1" applyFont="1">
      <alignment horizontal="right"/>
    </xf>
    <xf borderId="5" fillId="3" fontId="3" numFmtId="0" xfId="0" applyAlignment="1" applyBorder="1" applyFont="1">
      <alignment horizontal="left"/>
    </xf>
    <xf borderId="6" fillId="3" fontId="3" numFmtId="2" xfId="0" applyBorder="1" applyFont="1" applyNumberFormat="1"/>
    <xf borderId="7" fillId="3" fontId="3" numFmtId="2" xfId="0" applyBorder="1" applyFont="1" applyNumberFormat="1"/>
    <xf borderId="0" fillId="0" fontId="4" numFmtId="0" xfId="0" applyFont="1"/>
    <xf borderId="1" fillId="3" fontId="3" numFmtId="0" xfId="0" applyAlignment="1" applyBorder="1" applyFont="1">
      <alignment horizontal="left"/>
    </xf>
    <xf borderId="8" fillId="3" fontId="3" numFmtId="2" xfId="0" applyBorder="1" applyFont="1" applyNumberFormat="1"/>
    <xf borderId="9" fillId="3" fontId="3" numFmtId="2" xfId="0" applyBorder="1" applyFont="1" applyNumberFormat="1"/>
    <xf borderId="10" fillId="3" fontId="3" numFmtId="0" xfId="0" applyAlignment="1" applyBorder="1" applyFont="1">
      <alignment horizontal="left"/>
    </xf>
    <xf borderId="11" fillId="3" fontId="3" numFmtId="2" xfId="0" applyBorder="1" applyFont="1" applyNumberFormat="1"/>
    <xf borderId="12" fillId="3" fontId="3" numFmtId="2" xfId="0" applyBorder="1" applyFont="1" applyNumberFormat="1"/>
    <xf borderId="1" fillId="4" fontId="3" numFmtId="0" xfId="0" applyAlignment="1" applyBorder="1" applyFill="1" applyFont="1">
      <alignment horizontal="left"/>
    </xf>
    <xf borderId="13" fillId="0" fontId="3" numFmtId="2" xfId="0" applyBorder="1" applyFont="1" applyNumberFormat="1"/>
    <xf borderId="6" fillId="4" fontId="3" numFmtId="2" xfId="0" applyBorder="1" applyFont="1" applyNumberFormat="1"/>
    <xf borderId="7" fillId="4" fontId="3" numFmtId="2" xfId="0" applyBorder="1" applyFont="1" applyNumberFormat="1"/>
    <xf borderId="14" fillId="4" fontId="3" numFmtId="0" xfId="0" applyAlignment="1" applyBorder="1" applyFont="1">
      <alignment horizontal="left"/>
    </xf>
    <xf borderId="15" fillId="0" fontId="3" numFmtId="2" xfId="0" applyBorder="1" applyFont="1" applyNumberFormat="1"/>
    <xf borderId="8" fillId="4" fontId="3" numFmtId="2" xfId="0" applyBorder="1" applyFont="1" applyNumberFormat="1"/>
    <xf borderId="9" fillId="4" fontId="3" numFmtId="2" xfId="0" applyBorder="1" applyFont="1" applyNumberFormat="1"/>
    <xf borderId="10" fillId="4" fontId="3" numFmtId="0" xfId="0" applyAlignment="1" applyBorder="1" applyFont="1">
      <alignment horizontal="left"/>
    </xf>
    <xf borderId="16" fillId="0" fontId="3" numFmtId="2" xfId="0" applyBorder="1" applyFont="1" applyNumberFormat="1"/>
    <xf borderId="11" fillId="4" fontId="3" numFmtId="2" xfId="0" applyBorder="1" applyFont="1" applyNumberFormat="1"/>
    <xf borderId="12" fillId="4" fontId="3" numFmtId="2" xfId="0" applyBorder="1" applyFont="1" applyNumberFormat="1"/>
    <xf borderId="17" fillId="4" fontId="3" numFmtId="0" xfId="0" applyAlignment="1" applyBorder="1" applyFont="1">
      <alignment horizontal="left"/>
    </xf>
    <xf borderId="17" fillId="3" fontId="3" numFmtId="0" xfId="0" applyAlignment="1" applyBorder="1" applyFont="1">
      <alignment horizontal="left"/>
    </xf>
    <xf borderId="14" fillId="3" fontId="3" numFmtId="0" xfId="0" applyAlignment="1" applyBorder="1" applyFont="1">
      <alignment horizontal="left"/>
    </xf>
    <xf borderId="0" fillId="0" fontId="5" numFmtId="0" xfId="0" applyFont="1"/>
    <xf borderId="5" fillId="4" fontId="3" numFmtId="0" xfId="0" applyAlignment="1" applyBorder="1" applyFont="1">
      <alignment horizontal="left"/>
    </xf>
    <xf borderId="0" fillId="0" fontId="6" numFmtId="0" xfId="0" applyAlignment="1" applyFont="1">
      <alignment shrinkToFit="0" wrapText="1"/>
    </xf>
    <xf borderId="8" fillId="5" fontId="3" numFmtId="2" xfId="0" applyBorder="1" applyFill="1" applyFont="1" applyNumberFormat="1"/>
    <xf borderId="9" fillId="5" fontId="3" numFmtId="2" xfId="0" applyBorder="1" applyFont="1" applyNumberFormat="1"/>
    <xf borderId="18" fillId="0" fontId="3" numFmtId="2" xfId="0" applyAlignment="1" applyBorder="1" applyFont="1" applyNumberFormat="1">
      <alignment horizontal="right" vertical="center"/>
    </xf>
    <xf borderId="19" fillId="0" fontId="3" numFmtId="2" xfId="0" applyAlignment="1" applyBorder="1" applyFont="1" applyNumberFormat="1">
      <alignment horizontal="right" vertical="center"/>
    </xf>
    <xf borderId="1" fillId="2" fontId="1" numFmtId="0" xfId="0" applyAlignment="1" applyBorder="1" applyFont="1">
      <alignment horizontal="left" shrinkToFit="0" wrapText="1"/>
    </xf>
    <xf quotePrefix="1" borderId="1" fillId="2" fontId="1" numFmtId="164" xfId="0" applyAlignment="1" applyBorder="1" applyFont="1" applyNumberFormat="1">
      <alignment horizontal="center" shrinkToFit="0" wrapText="1"/>
    </xf>
    <xf borderId="3" fillId="3" fontId="3" numFmtId="39" xfId="0" applyBorder="1" applyFont="1" applyNumberFormat="1"/>
    <xf borderId="4" fillId="3" fontId="3" numFmtId="39" xfId="0" applyBorder="1" applyFont="1" applyNumberFormat="1"/>
    <xf borderId="6" fillId="3" fontId="3" numFmtId="40" xfId="0" applyBorder="1" applyFont="1" applyNumberFormat="1"/>
    <xf borderId="7" fillId="3" fontId="3" numFmtId="40" xfId="0" applyBorder="1" applyFont="1" applyNumberFormat="1"/>
    <xf borderId="8" fillId="3" fontId="3" numFmtId="40" xfId="0" applyBorder="1" applyFont="1" applyNumberFormat="1"/>
    <xf borderId="9" fillId="3" fontId="3" numFmtId="40" xfId="0" applyBorder="1" applyFont="1" applyNumberFormat="1"/>
    <xf borderId="11" fillId="3" fontId="3" numFmtId="40" xfId="0" applyBorder="1" applyFont="1" applyNumberFormat="1"/>
    <xf borderId="12" fillId="3" fontId="3" numFmtId="40" xfId="0" applyBorder="1" applyFont="1" applyNumberFormat="1"/>
    <xf borderId="13" fillId="0" fontId="3" numFmtId="40" xfId="0" applyBorder="1" applyFont="1" applyNumberFormat="1"/>
    <xf borderId="6" fillId="4" fontId="3" numFmtId="40" xfId="0" applyBorder="1" applyFont="1" applyNumberFormat="1"/>
    <xf borderId="7" fillId="4" fontId="3" numFmtId="40" xfId="0" applyBorder="1" applyFont="1" applyNumberFormat="1"/>
    <xf borderId="15" fillId="0" fontId="3" numFmtId="40" xfId="0" applyBorder="1" applyFont="1" applyNumberFormat="1"/>
    <xf borderId="8" fillId="4" fontId="3" numFmtId="40" xfId="0" applyBorder="1" applyFont="1" applyNumberFormat="1"/>
    <xf borderId="9" fillId="4" fontId="3" numFmtId="40" xfId="0" applyBorder="1" applyFont="1" applyNumberFormat="1"/>
    <xf borderId="16" fillId="0" fontId="3" numFmtId="40" xfId="0" applyBorder="1" applyFont="1" applyNumberFormat="1"/>
    <xf borderId="11" fillId="4" fontId="3" numFmtId="40" xfId="0" applyBorder="1" applyFont="1" applyNumberFormat="1"/>
    <xf borderId="12" fillId="4" fontId="3" numFmtId="40" xfId="0" applyBorder="1" applyFont="1" applyNumberFormat="1"/>
    <xf borderId="3" fillId="3" fontId="3" numFmtId="165" xfId="0" applyBorder="1" applyFont="1" applyNumberFormat="1"/>
    <xf borderId="4" fillId="3" fontId="3" numFmtId="165" xfId="0" applyBorder="1" applyFont="1" applyNumberFormat="1"/>
    <xf borderId="0" fillId="0" fontId="2" numFmtId="166" xfId="0" applyAlignment="1" applyFont="1" applyNumberFormat="1">
      <alignment horizontal="left"/>
    </xf>
    <xf borderId="0" fillId="0" fontId="7" numFmtId="0" xfId="0" applyFont="1"/>
    <xf borderId="13" fillId="0" fontId="3" numFmtId="165" xfId="0" applyAlignment="1" applyBorder="1" applyFont="1" applyNumberFormat="1">
      <alignment horizontal="right" vertical="center"/>
    </xf>
    <xf borderId="20" fillId="0" fontId="3" numFmtId="165" xfId="0" applyAlignment="1" applyBorder="1" applyFont="1" applyNumberFormat="1">
      <alignment horizontal="right" vertical="center"/>
    </xf>
    <xf quotePrefix="1" borderId="1" fillId="2" fontId="1" numFmtId="164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/>
    </xf>
    <xf borderId="1" fillId="5" fontId="8" numFmtId="164" xfId="0" applyAlignment="1" applyBorder="1" applyFont="1" applyNumberFormat="1">
      <alignment horizontal="left"/>
    </xf>
    <xf borderId="3" fillId="3" fontId="3" numFmtId="167" xfId="0" applyBorder="1" applyFont="1" applyNumberFormat="1"/>
    <xf borderId="3" fillId="3" fontId="3" numFmtId="167" xfId="0" applyAlignment="1" applyBorder="1" applyFont="1" applyNumberFormat="1">
      <alignment horizontal="right"/>
    </xf>
    <xf borderId="6" fillId="3" fontId="3" numFmtId="2" xfId="0" applyAlignment="1" applyBorder="1" applyFont="1" applyNumberFormat="1">
      <alignment horizontal="right"/>
    </xf>
    <xf borderId="8" fillId="3" fontId="3" numFmtId="2" xfId="0" applyAlignment="1" applyBorder="1" applyFont="1" applyNumberFormat="1">
      <alignment horizontal="right"/>
    </xf>
    <xf borderId="11" fillId="3" fontId="3" numFmtId="2" xfId="0" applyAlignment="1" applyBorder="1" applyFont="1" applyNumberFormat="1">
      <alignment horizontal="right"/>
    </xf>
    <xf borderId="13" fillId="0" fontId="3" numFmtId="2" xfId="0" applyAlignment="1" applyBorder="1" applyFont="1" applyNumberFormat="1">
      <alignment horizontal="right"/>
    </xf>
    <xf borderId="6" fillId="4" fontId="3" numFmtId="2" xfId="0" applyAlignment="1" applyBorder="1" applyFont="1" applyNumberFormat="1">
      <alignment horizontal="right"/>
    </xf>
    <xf borderId="15" fillId="0" fontId="3" numFmtId="2" xfId="0" applyAlignment="1" applyBorder="1" applyFont="1" applyNumberFormat="1">
      <alignment horizontal="right"/>
    </xf>
    <xf borderId="8" fillId="4" fontId="3" numFmtId="2" xfId="0" applyAlignment="1" applyBorder="1" applyFont="1" applyNumberFormat="1">
      <alignment horizontal="right"/>
    </xf>
    <xf borderId="16" fillId="0" fontId="3" numFmtId="2" xfId="0" applyAlignment="1" applyBorder="1" applyFont="1" applyNumberFormat="1">
      <alignment horizontal="right"/>
    </xf>
    <xf borderId="11" fillId="4" fontId="3" numFmtId="2" xfId="0" applyAlignment="1" applyBorder="1" applyFont="1" applyNumberFormat="1">
      <alignment horizontal="right"/>
    </xf>
    <xf borderId="21" fillId="4" fontId="3" numFmtId="2" xfId="0" applyBorder="1" applyFont="1" applyNumberFormat="1"/>
    <xf borderId="22" fillId="4" fontId="3" numFmtId="2" xfId="0" applyBorder="1" applyFont="1" applyNumberFormat="1"/>
    <xf borderId="21" fillId="3" fontId="3" numFmtId="2" xfId="0" applyBorder="1" applyFont="1" applyNumberFormat="1"/>
    <xf borderId="22" fillId="3" fontId="3" numFmtId="2" xfId="0" applyBorder="1" applyFont="1" applyNumberFormat="1"/>
    <xf borderId="23" fillId="3" fontId="3" numFmtId="2" xfId="0" applyBorder="1" applyFont="1" applyNumberFormat="1"/>
    <xf borderId="24" fillId="3" fontId="3" numFmtId="2" xfId="0" applyBorder="1" applyFont="1" applyNumberFormat="1"/>
    <xf borderId="1" fillId="3" fontId="3" numFmtId="2" xfId="0" applyBorder="1" applyFont="1" applyNumberFormat="1"/>
    <xf borderId="24" fillId="4" fontId="3" numFmtId="2" xfId="0" applyBorder="1" applyFont="1" applyNumberFormat="1"/>
    <xf borderId="0" fillId="0" fontId="6" numFmtId="166" xfId="0" applyFont="1" applyNumberFormat="1"/>
    <xf borderId="0" fillId="0" fontId="6" numFmtId="165" xfId="0" applyFont="1" applyNumberFormat="1"/>
    <xf borderId="12" fillId="2" fontId="9" numFmtId="0" xfId="0" applyAlignment="1" applyBorder="1" applyFont="1">
      <alignment horizontal="left" vertical="center"/>
    </xf>
    <xf borderId="25" fillId="2" fontId="9" numFmtId="49" xfId="0" applyAlignment="1" applyBorder="1" applyFont="1" applyNumberFormat="1">
      <alignment horizontal="right"/>
    </xf>
    <xf borderId="26" fillId="2" fontId="9" numFmtId="49" xfId="0" applyAlignment="1" applyBorder="1" applyFont="1" applyNumberFormat="1">
      <alignment horizontal="right"/>
    </xf>
    <xf borderId="12" fillId="2" fontId="9" numFmtId="0" xfId="0" applyAlignment="1" applyBorder="1" applyFont="1">
      <alignment horizontal="right"/>
    </xf>
    <xf borderId="26" fillId="2" fontId="9" numFmtId="49" xfId="0" applyAlignment="1" applyBorder="1" applyFont="1" applyNumberFormat="1">
      <alignment horizontal="right" shrinkToFit="0" wrapText="1"/>
    </xf>
    <xf borderId="25" fillId="2" fontId="9" numFmtId="49" xfId="0" applyAlignment="1" applyBorder="1" applyFont="1" applyNumberFormat="1">
      <alignment horizontal="right" shrinkToFit="0" wrapText="1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right" vertical="center"/>
    </xf>
    <xf quotePrefix="1" borderId="0" fillId="0" fontId="6" numFmtId="0" xfId="0" applyAlignment="1" applyFont="1">
      <alignment horizontal="right" vertical="center"/>
    </xf>
    <xf borderId="4" fillId="2" fontId="9" numFmtId="0" xfId="0" applyAlignment="1" applyBorder="1" applyFont="1">
      <alignment horizontal="left"/>
    </xf>
    <xf borderId="27" fillId="2" fontId="9" numFmtId="49" xfId="0" applyAlignment="1" applyBorder="1" applyFont="1" applyNumberFormat="1">
      <alignment horizontal="right"/>
    </xf>
    <xf borderId="28" fillId="2" fontId="9" numFmtId="49" xfId="0" applyAlignment="1" applyBorder="1" applyFont="1" applyNumberFormat="1">
      <alignment horizontal="right"/>
    </xf>
    <xf borderId="4" fillId="2" fontId="9" numFmtId="0" xfId="0" applyAlignment="1" applyBorder="1" applyFont="1">
      <alignment horizontal="right"/>
    </xf>
    <xf borderId="0" fillId="0" fontId="10" numFmtId="0" xfId="0" applyAlignment="1" applyFont="1">
      <alignment horizontal="center"/>
    </xf>
    <xf borderId="0" fillId="0" fontId="10" numFmtId="0" xfId="0" applyFont="1"/>
    <xf borderId="29" fillId="3" fontId="4" numFmtId="0" xfId="0" applyAlignment="1" applyBorder="1" applyFont="1">
      <alignment horizontal="left"/>
    </xf>
    <xf borderId="3" fillId="3" fontId="4" numFmtId="165" xfId="0" applyAlignment="1" applyBorder="1" applyFont="1" applyNumberFormat="1">
      <alignment horizontal="right"/>
    </xf>
    <xf borderId="30" fillId="3" fontId="4" numFmtId="165" xfId="0" applyAlignment="1" applyBorder="1" applyFont="1" applyNumberFormat="1">
      <alignment horizontal="right"/>
    </xf>
    <xf borderId="31" fillId="3" fontId="4" numFmtId="0" xfId="0" applyAlignment="1" applyBorder="1" applyFont="1">
      <alignment horizontal="left"/>
    </xf>
    <xf borderId="6" fillId="3" fontId="4" numFmtId="2" xfId="0" applyAlignment="1" applyBorder="1" applyFont="1" applyNumberFormat="1">
      <alignment horizontal="right"/>
    </xf>
    <xf borderId="32" fillId="3" fontId="4" numFmtId="2" xfId="0" applyAlignment="1" applyBorder="1" applyFont="1" applyNumberFormat="1">
      <alignment horizontal="right"/>
    </xf>
    <xf borderId="33" fillId="3" fontId="4" numFmtId="0" xfId="0" applyAlignment="1" applyBorder="1" applyFont="1">
      <alignment horizontal="left"/>
    </xf>
    <xf borderId="8" fillId="3" fontId="4" numFmtId="2" xfId="0" applyAlignment="1" applyBorder="1" applyFont="1" applyNumberFormat="1">
      <alignment horizontal="right"/>
    </xf>
    <xf borderId="34" fillId="3" fontId="4" numFmtId="2" xfId="0" applyAlignment="1" applyBorder="1" applyFont="1" applyNumberFormat="1">
      <alignment horizontal="right"/>
    </xf>
    <xf borderId="35" fillId="3" fontId="4" numFmtId="0" xfId="0" applyAlignment="1" applyBorder="1" applyFont="1">
      <alignment horizontal="left"/>
    </xf>
    <xf borderId="11" fillId="3" fontId="4" numFmtId="2" xfId="0" applyAlignment="1" applyBorder="1" applyFont="1" applyNumberFormat="1">
      <alignment horizontal="right"/>
    </xf>
    <xf borderId="36" fillId="3" fontId="4" numFmtId="2" xfId="0" applyAlignment="1" applyBorder="1" applyFont="1" applyNumberFormat="1">
      <alignment horizontal="right"/>
    </xf>
    <xf borderId="31" fillId="4" fontId="4" numFmtId="0" xfId="0" applyAlignment="1" applyBorder="1" applyFont="1">
      <alignment horizontal="left"/>
    </xf>
    <xf borderId="6" fillId="4" fontId="4" numFmtId="2" xfId="0" applyAlignment="1" applyBorder="1" applyFont="1" applyNumberFormat="1">
      <alignment horizontal="right"/>
    </xf>
    <xf borderId="32" fillId="4" fontId="4" numFmtId="2" xfId="0" applyAlignment="1" applyBorder="1" applyFont="1" applyNumberFormat="1">
      <alignment horizontal="right"/>
    </xf>
    <xf borderId="33" fillId="4" fontId="4" numFmtId="0" xfId="0" applyAlignment="1" applyBorder="1" applyFont="1">
      <alignment horizontal="left"/>
    </xf>
    <xf borderId="8" fillId="4" fontId="4" numFmtId="2" xfId="0" applyAlignment="1" applyBorder="1" applyFont="1" applyNumberFormat="1">
      <alignment horizontal="right"/>
    </xf>
    <xf borderId="34" fillId="4" fontId="4" numFmtId="2" xfId="0" applyAlignment="1" applyBorder="1" applyFont="1" applyNumberFormat="1">
      <alignment horizontal="right"/>
    </xf>
    <xf borderId="0" fillId="0" fontId="6" numFmtId="0" xfId="0" applyAlignment="1" applyFont="1">
      <alignment horizontal="center"/>
    </xf>
    <xf borderId="3" fillId="0" fontId="6" numFmtId="0" xfId="0" applyBorder="1" applyFont="1"/>
    <xf borderId="13" fillId="0" fontId="6" numFmtId="0" xfId="0" applyBorder="1" applyFont="1"/>
    <xf borderId="13" fillId="0" fontId="6" numFmtId="9" xfId="0" applyBorder="1" applyFont="1" applyNumberFormat="1"/>
    <xf borderId="15" fillId="0" fontId="6" numFmtId="9" xfId="0" applyBorder="1" applyFont="1" applyNumberFormat="1"/>
    <xf borderId="15" fillId="0" fontId="6" numFmtId="0" xfId="0" applyBorder="1" applyFont="1"/>
    <xf borderId="16" fillId="0" fontId="6" numFmtId="0" xfId="0" applyBorder="1" applyFont="1"/>
    <xf borderId="16" fillId="0" fontId="6" numFmtId="9" xfId="0" applyBorder="1" applyFont="1" applyNumberFormat="1"/>
    <xf borderId="0" fillId="0" fontId="10" numFmtId="168" xfId="0" applyFont="1" applyNumberFormat="1"/>
    <xf borderId="0" fillId="0" fontId="6" numFmtId="169" xfId="0" applyFont="1" applyNumberFormat="1"/>
    <xf borderId="3" fillId="3" fontId="4" numFmtId="9" xfId="0" applyAlignment="1" applyBorder="1" applyFont="1" applyNumberFormat="1">
      <alignment horizontal="right"/>
    </xf>
    <xf borderId="37" fillId="0" fontId="6" numFmtId="0" xfId="0" applyBorder="1" applyFont="1"/>
    <xf borderId="3" fillId="5" fontId="4" numFmtId="9" xfId="0" applyAlignment="1" applyBorder="1" applyFont="1" applyNumberFormat="1">
      <alignment horizontal="right"/>
    </xf>
    <xf borderId="1" fillId="2" fontId="1" numFmtId="164" xfId="0" applyAlignment="1" applyBorder="1" applyFont="1" applyNumberFormat="1">
      <alignment horizontal="center" shrinkToFit="0" wrapText="1"/>
    </xf>
    <xf quotePrefix="1" borderId="1" fillId="2" fontId="1" numFmtId="164" xfId="0" applyAlignment="1" applyBorder="1" applyFont="1" applyNumberFormat="1">
      <alignment horizontal="center" shrinkToFit="0" vertical="center" wrapText="1"/>
    </xf>
    <xf borderId="0" fillId="0" fontId="6" numFmtId="0" xfId="0" applyFont="1"/>
    <xf quotePrefix="1" borderId="1" fillId="2" fontId="11" numFmtId="164" xfId="0" applyAlignment="1" applyBorder="1" applyFont="1" applyNumberFormat="1">
      <alignment horizontal="right" vertical="center"/>
    </xf>
    <xf borderId="1" fillId="2" fontId="11" numFmtId="49" xfId="0" applyAlignment="1" applyBorder="1" applyFont="1" applyNumberFormat="1">
      <alignment horizontal="right" vertical="center"/>
    </xf>
    <xf borderId="38" fillId="3" fontId="3" numFmtId="170" xfId="0" applyAlignment="1" applyBorder="1" applyFont="1" applyNumberFormat="1">
      <alignment horizontal="right"/>
    </xf>
    <xf borderId="23" fillId="3" fontId="3" numFmtId="170" xfId="0" applyAlignment="1" applyBorder="1" applyFont="1" applyNumberFormat="1">
      <alignment horizontal="right"/>
    </xf>
    <xf borderId="31" fillId="3" fontId="3" numFmtId="40" xfId="0" applyAlignment="1" applyBorder="1" applyFont="1" applyNumberFormat="1">
      <alignment horizontal="right"/>
    </xf>
    <xf borderId="24" fillId="3" fontId="3" numFmtId="40" xfId="0" applyAlignment="1" applyBorder="1" applyFont="1" applyNumberFormat="1">
      <alignment horizontal="right"/>
    </xf>
    <xf borderId="5" fillId="3" fontId="3" numFmtId="40" xfId="0" applyAlignment="1" applyBorder="1" applyFont="1" applyNumberFormat="1">
      <alignment horizontal="right"/>
    </xf>
    <xf borderId="33" fillId="3" fontId="3" numFmtId="40" xfId="0" applyAlignment="1" applyBorder="1" applyFont="1" applyNumberFormat="1">
      <alignment horizontal="right"/>
    </xf>
    <xf borderId="21" fillId="3" fontId="3" numFmtId="40" xfId="0" applyAlignment="1" applyBorder="1" applyFont="1" applyNumberFormat="1">
      <alignment horizontal="right"/>
    </xf>
    <xf borderId="1" fillId="3" fontId="3" numFmtId="40" xfId="0" applyAlignment="1" applyBorder="1" applyFont="1" applyNumberFormat="1">
      <alignment horizontal="right"/>
    </xf>
    <xf borderId="14" fillId="3" fontId="3" numFmtId="40" xfId="0" applyAlignment="1" applyBorder="1" applyFont="1" applyNumberFormat="1">
      <alignment horizontal="right"/>
    </xf>
    <xf borderId="35" fillId="3" fontId="3" numFmtId="40" xfId="0" applyAlignment="1" applyBorder="1" applyFont="1" applyNumberFormat="1">
      <alignment horizontal="right"/>
    </xf>
    <xf borderId="22" fillId="3" fontId="3" numFmtId="40" xfId="0" applyAlignment="1" applyBorder="1" applyFont="1" applyNumberFormat="1">
      <alignment horizontal="right"/>
    </xf>
    <xf borderId="10" fillId="3" fontId="3" numFmtId="40" xfId="0" applyAlignment="1" applyBorder="1" applyFont="1" applyNumberFormat="1">
      <alignment horizontal="right"/>
    </xf>
    <xf borderId="39" fillId="0" fontId="3" numFmtId="40" xfId="0" applyAlignment="1" applyBorder="1" applyFont="1" applyNumberFormat="1">
      <alignment horizontal="right"/>
    </xf>
    <xf borderId="31" fillId="4" fontId="3" numFmtId="40" xfId="0" applyAlignment="1" applyBorder="1" applyFont="1" applyNumberFormat="1">
      <alignment horizontal="right"/>
    </xf>
    <xf borderId="5" fillId="4" fontId="3" numFmtId="40" xfId="0" applyAlignment="1" applyBorder="1" applyFont="1" applyNumberFormat="1">
      <alignment horizontal="right"/>
    </xf>
    <xf borderId="24" fillId="4" fontId="3" numFmtId="40" xfId="0" applyAlignment="1" applyBorder="1" applyFont="1" applyNumberFormat="1">
      <alignment horizontal="right"/>
    </xf>
    <xf borderId="40" fillId="0" fontId="3" numFmtId="40" xfId="0" applyAlignment="1" applyBorder="1" applyFont="1" applyNumberFormat="1">
      <alignment horizontal="right"/>
    </xf>
    <xf borderId="33" fillId="4" fontId="3" numFmtId="40" xfId="0" applyAlignment="1" applyBorder="1" applyFont="1" applyNumberFormat="1">
      <alignment horizontal="right"/>
    </xf>
    <xf borderId="14" fillId="4" fontId="3" numFmtId="40" xfId="0" applyAlignment="1" applyBorder="1" applyFont="1" applyNumberFormat="1">
      <alignment horizontal="right"/>
    </xf>
    <xf borderId="21" fillId="4" fontId="3" numFmtId="40" xfId="0" applyAlignment="1" applyBorder="1" applyFont="1" applyNumberFormat="1">
      <alignment horizontal="right"/>
    </xf>
    <xf borderId="41" fillId="0" fontId="3" numFmtId="40" xfId="0" applyAlignment="1" applyBorder="1" applyFont="1" applyNumberFormat="1">
      <alignment horizontal="right"/>
    </xf>
    <xf borderId="35" fillId="4" fontId="3" numFmtId="40" xfId="0" applyAlignment="1" applyBorder="1" applyFont="1" applyNumberFormat="1">
      <alignment horizontal="right"/>
    </xf>
    <xf borderId="10" fillId="4" fontId="3" numFmtId="40" xfId="0" applyAlignment="1" applyBorder="1" applyFont="1" applyNumberFormat="1">
      <alignment horizontal="right"/>
    </xf>
    <xf borderId="22" fillId="4" fontId="3" numFmtId="40" xfId="0" applyAlignment="1" applyBorder="1" applyFont="1" applyNumberFormat="1">
      <alignment horizontal="right"/>
    </xf>
    <xf borderId="0" fillId="0" fontId="6" numFmtId="167" xfId="0" applyFont="1" applyNumberFormat="1"/>
    <xf borderId="0" fillId="0" fontId="6" numFmtId="170" xfId="0" applyFont="1" applyNumberFormat="1"/>
    <xf borderId="38" fillId="3" fontId="3" numFmtId="2" xfId="0" applyAlignment="1" applyBorder="1" applyFont="1" applyNumberFormat="1">
      <alignment horizontal="right"/>
    </xf>
    <xf borderId="23" fillId="3" fontId="3" numFmtId="2" xfId="0" applyAlignment="1" applyBorder="1" applyFont="1" applyNumberFormat="1">
      <alignment horizontal="right"/>
    </xf>
    <xf borderId="31" fillId="3" fontId="3" numFmtId="2" xfId="0" applyAlignment="1" applyBorder="1" applyFont="1" applyNumberFormat="1">
      <alignment horizontal="right"/>
    </xf>
    <xf borderId="24" fillId="3" fontId="3" numFmtId="2" xfId="0" applyAlignment="1" applyBorder="1" applyFont="1" applyNumberFormat="1">
      <alignment horizontal="right"/>
    </xf>
    <xf borderId="5" fillId="3" fontId="3" numFmtId="2" xfId="0" applyAlignment="1" applyBorder="1" applyFont="1" applyNumberFormat="1">
      <alignment horizontal="right"/>
    </xf>
    <xf borderId="17" fillId="3" fontId="3" numFmtId="2" xfId="0" applyAlignment="1" applyBorder="1" applyFont="1" applyNumberFormat="1">
      <alignment horizontal="right"/>
    </xf>
    <xf borderId="33" fillId="3" fontId="3" numFmtId="2" xfId="0" applyAlignment="1" applyBorder="1" applyFont="1" applyNumberFormat="1">
      <alignment horizontal="right"/>
    </xf>
    <xf borderId="21" fillId="3" fontId="3" numFmtId="2" xfId="0" applyAlignment="1" applyBorder="1" applyFont="1" applyNumberFormat="1">
      <alignment horizontal="right"/>
    </xf>
    <xf borderId="1" fillId="3" fontId="3" numFmtId="2" xfId="0" applyAlignment="1" applyBorder="1" applyFont="1" applyNumberFormat="1">
      <alignment horizontal="right"/>
    </xf>
    <xf borderId="14" fillId="3" fontId="3" numFmtId="2" xfId="0" applyAlignment="1" applyBorder="1" applyFont="1" applyNumberFormat="1">
      <alignment horizontal="right"/>
    </xf>
    <xf borderId="35" fillId="3" fontId="3" numFmtId="2" xfId="0" applyAlignment="1" applyBorder="1" applyFont="1" applyNumberFormat="1">
      <alignment horizontal="right"/>
    </xf>
    <xf borderId="22" fillId="3" fontId="3" numFmtId="2" xfId="0" applyAlignment="1" applyBorder="1" applyFont="1" applyNumberFormat="1">
      <alignment horizontal="right"/>
    </xf>
    <xf borderId="10" fillId="3" fontId="3" numFmtId="2" xfId="0" applyAlignment="1" applyBorder="1" applyFont="1" applyNumberFormat="1">
      <alignment horizontal="right"/>
    </xf>
    <xf borderId="42" fillId="3" fontId="3" numFmtId="2" xfId="0" applyAlignment="1" applyBorder="1" applyFont="1" applyNumberFormat="1">
      <alignment horizontal="right"/>
    </xf>
    <xf borderId="39" fillId="0" fontId="3" numFmtId="2" xfId="0" applyAlignment="1" applyBorder="1" applyFont="1" applyNumberFormat="1">
      <alignment horizontal="right"/>
    </xf>
    <xf borderId="31" fillId="4" fontId="3" numFmtId="2" xfId="0" applyAlignment="1" applyBorder="1" applyFont="1" applyNumberFormat="1">
      <alignment horizontal="right"/>
    </xf>
    <xf borderId="5" fillId="4" fontId="3" numFmtId="2" xfId="0" applyAlignment="1" applyBorder="1" applyFont="1" applyNumberFormat="1">
      <alignment horizontal="right"/>
    </xf>
    <xf borderId="24" fillId="4" fontId="3" numFmtId="2" xfId="0" applyAlignment="1" applyBorder="1" applyFont="1" applyNumberFormat="1">
      <alignment horizontal="right"/>
    </xf>
    <xf borderId="40" fillId="0" fontId="3" numFmtId="2" xfId="0" applyAlignment="1" applyBorder="1" applyFont="1" applyNumberFormat="1">
      <alignment horizontal="right"/>
    </xf>
    <xf borderId="33" fillId="4" fontId="3" numFmtId="2" xfId="0" applyAlignment="1" applyBorder="1" applyFont="1" applyNumberFormat="1">
      <alignment horizontal="right"/>
    </xf>
    <xf borderId="14" fillId="4" fontId="3" numFmtId="2" xfId="0" applyAlignment="1" applyBorder="1" applyFont="1" applyNumberFormat="1">
      <alignment horizontal="right"/>
    </xf>
    <xf borderId="21" fillId="4" fontId="3" numFmtId="2" xfId="0" applyAlignment="1" applyBorder="1" applyFont="1" applyNumberFormat="1">
      <alignment horizontal="right"/>
    </xf>
    <xf borderId="41" fillId="0" fontId="3" numFmtId="2" xfId="0" applyAlignment="1" applyBorder="1" applyFont="1" applyNumberFormat="1">
      <alignment horizontal="right"/>
    </xf>
    <xf borderId="35" fillId="4" fontId="3" numFmtId="2" xfId="0" applyAlignment="1" applyBorder="1" applyFont="1" applyNumberFormat="1">
      <alignment horizontal="right"/>
    </xf>
    <xf borderId="10" fillId="4" fontId="3" numFmtId="2" xfId="0" applyAlignment="1" applyBorder="1" applyFont="1" applyNumberFormat="1">
      <alignment horizontal="right"/>
    </xf>
    <xf borderId="22" fillId="4" fontId="3" numFmtId="2" xfId="0" applyAlignment="1" applyBorder="1" applyFont="1" applyNumberFormat="1">
      <alignment horizontal="right"/>
    </xf>
    <xf borderId="0" fillId="0" fontId="6" numFmtId="2" xfId="0" applyFont="1" applyNumberFormat="1"/>
    <xf quotePrefix="1" borderId="1" fillId="2" fontId="1" numFmtId="164" xfId="0" applyAlignment="1" applyBorder="1" applyFont="1" applyNumberFormat="1">
      <alignment horizontal="center" vertical="center"/>
    </xf>
    <xf borderId="1" fillId="2" fontId="1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horizontal="center"/>
    </xf>
    <xf borderId="16" fillId="0" fontId="12" numFmtId="0" xfId="0" applyAlignment="1" applyBorder="1" applyFont="1">
      <alignment horizontal="center" shrinkToFit="0" wrapText="1"/>
    </xf>
    <xf borderId="3" fillId="0" fontId="13" numFmtId="0" xfId="0" applyAlignment="1" applyBorder="1" applyFont="1">
      <alignment horizontal="center" shrinkToFit="0" vertical="center" wrapText="1"/>
    </xf>
    <xf borderId="43" fillId="0" fontId="13" numFmtId="0" xfId="0" applyAlignment="1" applyBorder="1" applyFont="1">
      <alignment horizontal="center" vertical="center"/>
    </xf>
    <xf borderId="1" fillId="5" fontId="14" numFmtId="164" xfId="0" applyAlignment="1" applyBorder="1" applyFont="1" applyNumberFormat="1">
      <alignment horizontal="right"/>
    </xf>
    <xf borderId="0" fillId="0" fontId="15" numFmtId="4" xfId="0" applyAlignment="1" applyFont="1" applyNumberFormat="1">
      <alignment horizontal="center"/>
    </xf>
    <xf borderId="0" fillId="0" fontId="12" numFmtId="4" xfId="0" applyAlignment="1" applyFont="1" applyNumberFormat="1">
      <alignment horizontal="center"/>
    </xf>
    <xf borderId="1" fillId="5" fontId="8" numFmtId="171" xfId="0" applyAlignment="1" applyBorder="1" applyFont="1" applyNumberFormat="1">
      <alignment horizontal="right"/>
    </xf>
    <xf borderId="13" fillId="0" fontId="12" numFmtId="0" xfId="0" applyAlignment="1" applyBorder="1" applyFont="1">
      <alignment horizontal="center"/>
    </xf>
    <xf borderId="13" fillId="0" fontId="12" numFmtId="2" xfId="0" applyAlignment="1" applyBorder="1" applyFont="1" applyNumberFormat="1">
      <alignment horizontal="center"/>
    </xf>
    <xf borderId="44" fillId="0" fontId="12" numFmtId="2" xfId="0" applyAlignment="1" applyBorder="1" applyFont="1" applyNumberFormat="1">
      <alignment horizontal="center"/>
    </xf>
    <xf borderId="45" fillId="0" fontId="12" numFmtId="2" xfId="0" applyAlignment="1" applyBorder="1" applyFont="1" applyNumberFormat="1">
      <alignment horizontal="center"/>
    </xf>
    <xf borderId="38" fillId="3" fontId="3" numFmtId="2" xfId="0" applyBorder="1" applyFont="1" applyNumberFormat="1"/>
    <xf borderId="15" fillId="0" fontId="12" numFmtId="0" xfId="0" applyAlignment="1" applyBorder="1" applyFont="1">
      <alignment horizontal="center"/>
    </xf>
    <xf borderId="31" fillId="3" fontId="3" numFmtId="2" xfId="0" applyBorder="1" applyFont="1" applyNumberFormat="1"/>
    <xf borderId="17" fillId="3" fontId="3" numFmtId="2" xfId="0" applyBorder="1" applyFont="1" applyNumberFormat="1"/>
    <xf borderId="33" fillId="3" fontId="3" numFmtId="2" xfId="0" applyBorder="1" applyFont="1" applyNumberFormat="1"/>
    <xf borderId="20" fillId="0" fontId="15" numFmtId="4" xfId="0" applyAlignment="1" applyBorder="1" applyFont="1" applyNumberFormat="1">
      <alignment horizontal="center"/>
    </xf>
    <xf borderId="20" fillId="0" fontId="12" numFmtId="4" xfId="0" applyAlignment="1" applyBorder="1" applyFont="1" applyNumberFormat="1">
      <alignment horizontal="center"/>
    </xf>
    <xf borderId="35" fillId="3" fontId="3" numFmtId="2" xfId="0" applyBorder="1" applyFont="1" applyNumberFormat="1"/>
    <xf borderId="42" fillId="3" fontId="3" numFmtId="2" xfId="0" applyBorder="1" applyFont="1" applyNumberFormat="1"/>
    <xf borderId="39" fillId="0" fontId="3" numFmtId="2" xfId="0" applyBorder="1" applyFont="1" applyNumberFormat="1"/>
    <xf borderId="31" fillId="4" fontId="3" numFmtId="2" xfId="0" applyBorder="1" applyFont="1" applyNumberFormat="1"/>
    <xf borderId="5" fillId="4" fontId="3" numFmtId="2" xfId="0" applyBorder="1" applyFont="1" applyNumberFormat="1"/>
    <xf borderId="40" fillId="0" fontId="3" numFmtId="2" xfId="0" applyBorder="1" applyFont="1" applyNumberFormat="1"/>
    <xf borderId="33" fillId="4" fontId="3" numFmtId="2" xfId="0" applyBorder="1" applyFont="1" applyNumberFormat="1"/>
    <xf borderId="14" fillId="4" fontId="3" numFmtId="2" xfId="0" applyBorder="1" applyFont="1" applyNumberFormat="1"/>
    <xf borderId="41" fillId="0" fontId="3" numFmtId="2" xfId="0" applyBorder="1" applyFont="1" applyNumberFormat="1"/>
    <xf borderId="35" fillId="4" fontId="3" numFmtId="2" xfId="0" applyBorder="1" applyFont="1" applyNumberFormat="1"/>
    <xf borderId="10" fillId="4" fontId="3" numFmtId="2" xfId="0" applyBorder="1" applyFont="1" applyNumberFormat="1"/>
    <xf borderId="14" fillId="3" fontId="3" numFmtId="2" xfId="0" applyBorder="1" applyFont="1" applyNumberFormat="1"/>
    <xf borderId="46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15" fillId="0" fontId="12" numFmtId="2" xfId="0" applyAlignment="1" applyBorder="1" applyFont="1" applyNumberFormat="1">
      <alignment horizontal="center"/>
    </xf>
    <xf borderId="10" fillId="3" fontId="3" numFmtId="2" xfId="0" applyBorder="1" applyFont="1" applyNumberFormat="1"/>
    <xf borderId="0" fillId="0" fontId="16" numFmtId="0" xfId="0" applyFont="1"/>
    <xf borderId="1" fillId="5" fontId="14" numFmtId="172" xfId="0" applyAlignment="1" applyBorder="1" applyFont="1" applyNumberFormat="1">
      <alignment horizontal="right"/>
    </xf>
    <xf borderId="16" fillId="0" fontId="12" numFmtId="0" xfId="0" applyAlignment="1" applyBorder="1" applyFont="1">
      <alignment horizontal="center"/>
    </xf>
    <xf borderId="47" fillId="6" fontId="17" numFmtId="0" xfId="0" applyAlignment="1" applyBorder="1" applyFill="1" applyFont="1">
      <alignment horizontal="center" shrinkToFit="0" wrapText="1"/>
    </xf>
    <xf borderId="48" fillId="6" fontId="17" numFmtId="0" xfId="0" applyAlignment="1" applyBorder="1" applyFont="1">
      <alignment horizontal="center" shrinkToFit="0" wrapText="1"/>
    </xf>
    <xf borderId="49" fillId="0" fontId="18" numFmtId="0" xfId="0" applyBorder="1" applyFont="1"/>
    <xf borderId="50" fillId="0" fontId="18" numFmtId="0" xfId="0" applyBorder="1" applyFont="1"/>
    <xf borderId="51" fillId="6" fontId="17" numFmtId="0" xfId="0" applyAlignment="1" applyBorder="1" applyFont="1">
      <alignment horizontal="center" shrinkToFit="0" wrapText="1"/>
    </xf>
    <xf borderId="52" fillId="6" fontId="17" numFmtId="0" xfId="0" applyAlignment="1" applyBorder="1" applyFont="1">
      <alignment horizontal="center" shrinkToFit="0" wrapText="1"/>
    </xf>
    <xf borderId="53" fillId="4" fontId="17" numFmtId="0" xfId="0" applyAlignment="1" applyBorder="1" applyFont="1">
      <alignment shrinkToFit="0" vertical="top" wrapText="1"/>
    </xf>
    <xf borderId="53" fillId="4" fontId="17" numFmtId="166" xfId="0" applyAlignment="1" applyBorder="1" applyFont="1" applyNumberFormat="1">
      <alignment shrinkToFit="0" vertical="top" wrapText="1"/>
    </xf>
    <xf borderId="53" fillId="7" fontId="17" numFmtId="0" xfId="0" applyAlignment="1" applyBorder="1" applyFill="1" applyFont="1">
      <alignment shrinkToFit="0" vertical="top" wrapText="1"/>
    </xf>
    <xf borderId="0" fillId="0" fontId="12" numFmtId="173" xfId="0" applyFont="1" applyNumberFormat="1"/>
    <xf borderId="54" fillId="0" fontId="13" numFmtId="10" xfId="0" applyAlignment="1" applyBorder="1" applyFont="1" applyNumberFormat="1">
      <alignment horizontal="center"/>
    </xf>
    <xf borderId="55" fillId="0" fontId="18" numFmtId="0" xfId="0" applyBorder="1" applyFont="1"/>
    <xf borderId="43" fillId="0" fontId="18" numFmtId="0" xfId="0" applyBorder="1" applyFont="1"/>
    <xf borderId="3" fillId="0" fontId="12" numFmtId="0" xfId="0" applyAlignment="1" applyBorder="1" applyFont="1">
      <alignment horizontal="center" shrinkToFit="0" wrapText="1"/>
    </xf>
    <xf borderId="54" fillId="0" fontId="12" numFmtId="0" xfId="0" applyAlignment="1" applyBorder="1" applyFont="1">
      <alignment horizontal="center"/>
    </xf>
    <xf borderId="55" fillId="0" fontId="12" numFmtId="0" xfId="0" applyAlignment="1" applyBorder="1" applyFont="1">
      <alignment horizontal="center"/>
    </xf>
    <xf borderId="43" fillId="0" fontId="12" numFmtId="0" xfId="0" applyAlignment="1" applyBorder="1" applyFont="1">
      <alignment horizontal="center"/>
    </xf>
    <xf borderId="56" fillId="0" fontId="12" numFmtId="2" xfId="0" applyAlignment="1" applyBorder="1" applyFont="1" applyNumberFormat="1">
      <alignment horizontal="center"/>
    </xf>
    <xf borderId="57" fillId="5" fontId="12" numFmtId="39" xfId="0" applyAlignment="1" applyBorder="1" applyFont="1" applyNumberFormat="1">
      <alignment horizontal="center"/>
    </xf>
    <xf borderId="57" fillId="5" fontId="12" numFmtId="4" xfId="0" applyAlignment="1" applyBorder="1" applyFont="1" applyNumberFormat="1">
      <alignment horizontal="center"/>
    </xf>
    <xf borderId="58" fillId="5" fontId="12" numFmtId="4" xfId="0" applyAlignment="1" applyBorder="1" applyFont="1" applyNumberFormat="1">
      <alignment horizontal="center"/>
    </xf>
    <xf borderId="59" fillId="0" fontId="12" numFmtId="2" xfId="0" applyAlignment="1" applyBorder="1" applyFont="1" applyNumberFormat="1">
      <alignment horizontal="center"/>
    </xf>
    <xf borderId="60" fillId="0" fontId="12" numFmtId="2" xfId="0" applyAlignment="1" applyBorder="1" applyFont="1" applyNumberFormat="1">
      <alignment horizontal="center"/>
    </xf>
    <xf borderId="27" fillId="5" fontId="12" numFmtId="39" xfId="0" applyAlignment="1" applyBorder="1" applyFont="1" applyNumberFormat="1">
      <alignment horizontal="center"/>
    </xf>
    <xf borderId="27" fillId="5" fontId="12" numFmtId="4" xfId="0" applyAlignment="1" applyBorder="1" applyFont="1" applyNumberFormat="1">
      <alignment horizontal="center"/>
    </xf>
    <xf borderId="28" fillId="5" fontId="12" numFmtId="4" xfId="0" applyAlignment="1" applyBorder="1" applyFont="1" applyNumberFormat="1">
      <alignment horizontal="center"/>
    </xf>
    <xf borderId="0" fillId="0" fontId="19" numFmtId="0" xfId="0" applyFont="1"/>
    <xf borderId="0" fillId="0" fontId="19" numFmtId="10" xfId="0" applyFont="1" applyNumberFormat="1"/>
    <xf borderId="0" fillId="0" fontId="6" numFmtId="10" xfId="0" applyFont="1" applyNumberFormat="1"/>
    <xf borderId="1" fillId="8" fontId="6" numFmtId="165" xfId="0" applyBorder="1" applyFill="1" applyFont="1" applyNumberFormat="1"/>
    <xf borderId="0" fillId="0" fontId="20" numFmtId="0" xfId="0" applyFont="1"/>
    <xf borderId="0" fillId="0" fontId="21" numFmtId="0" xfId="0" applyFont="1"/>
    <xf borderId="0" fillId="0" fontId="22" numFmtId="0" xfId="0" applyFont="1"/>
    <xf borderId="0" fillId="0" fontId="23" numFmtId="164" xfId="0" applyAlignment="1" applyFont="1" applyNumberFormat="1">
      <alignment horizontal="center"/>
    </xf>
    <xf borderId="1" fillId="5" fontId="24" numFmtId="164" xfId="0" applyAlignment="1" applyBorder="1" applyFont="1" applyNumberFormat="1">
      <alignment horizontal="left"/>
    </xf>
    <xf borderId="0" fillId="0" fontId="25" numFmtId="165" xfId="0" applyFont="1" applyNumberFormat="1"/>
    <xf borderId="0" fillId="0" fontId="24" numFmtId="0" xfId="0" applyFont="1"/>
    <xf borderId="3" fillId="9" fontId="8" numFmtId="0" xfId="0" applyAlignment="1" applyBorder="1" applyFill="1" applyFont="1">
      <alignment horizontal="center" vertical="center"/>
    </xf>
    <xf quotePrefix="1" borderId="3" fillId="9" fontId="8" numFmtId="164" xfId="0" applyAlignment="1" applyBorder="1" applyFont="1" applyNumberFormat="1">
      <alignment horizontal="center" vertical="center"/>
    </xf>
    <xf borderId="3" fillId="9" fontId="8" numFmtId="164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left"/>
    </xf>
    <xf borderId="3" fillId="0" fontId="3" numFmtId="2" xfId="0" applyBorder="1" applyFont="1" applyNumberFormat="1"/>
    <xf borderId="0" fillId="0" fontId="4" numFmtId="2" xfId="0" applyFont="1" applyNumberFormat="1"/>
    <xf borderId="0" fillId="0" fontId="26" numFmtId="0" xfId="0" applyFont="1"/>
    <xf borderId="1" fillId="5" fontId="8" numFmtId="164" xfId="0" applyAlignment="1" applyBorder="1" applyFont="1" applyNumberFormat="1">
      <alignment horizontal="left" vertical="top"/>
    </xf>
    <xf borderId="0" fillId="0" fontId="24" numFmtId="0" xfId="0" applyAlignment="1" applyFont="1">
      <alignment readingOrder="0"/>
    </xf>
    <xf borderId="3" fillId="9" fontId="27" numFmtId="49" xfId="0" applyAlignment="1" applyBorder="1" applyFont="1" applyNumberFormat="1">
      <alignment horizontal="center" vertical="center"/>
    </xf>
    <xf borderId="3" fillId="9" fontId="27" numFmtId="0" xfId="0" applyAlignment="1" applyBorder="1" applyFont="1">
      <alignment horizontal="center" vertical="center"/>
    </xf>
    <xf borderId="3" fillId="9" fontId="8" numFmtId="49" xfId="0" applyAlignment="1" applyBorder="1" applyFont="1" applyNumberFormat="1">
      <alignment horizontal="center" vertical="center"/>
    </xf>
    <xf borderId="3" fillId="0" fontId="3" numFmtId="2" xfId="0" applyAlignment="1" applyBorder="1" applyFont="1" applyNumberFormat="1">
      <alignment horizontal="right"/>
    </xf>
    <xf borderId="1" fillId="10" fontId="6" numFmtId="0" xfId="0" applyBorder="1" applyFill="1" applyFont="1"/>
    <xf borderId="1" fillId="10" fontId="8" numFmtId="164" xfId="0" applyAlignment="1" applyBorder="1" applyFont="1" applyNumberFormat="1">
      <alignment horizontal="right"/>
    </xf>
    <xf borderId="1" fillId="10" fontId="25" numFmtId="165" xfId="0" applyBorder="1" applyFont="1" applyNumberFormat="1"/>
    <xf borderId="0" fillId="0" fontId="28" numFmtId="0" xfId="0" applyFont="1"/>
    <xf borderId="1" fillId="10" fontId="8" numFmtId="164" xfId="0" applyAlignment="1" applyBorder="1" applyFont="1" applyNumberFormat="1">
      <alignment horizontal="left" vertical="top"/>
    </xf>
    <xf borderId="1" fillId="10" fontId="25" numFmtId="165" xfId="0" applyAlignment="1" applyBorder="1" applyFont="1" applyNumberFormat="1">
      <alignment vertical="top"/>
    </xf>
    <xf borderId="3" fillId="9" fontId="8" numFmtId="0" xfId="0" applyAlignment="1" applyBorder="1" applyFont="1">
      <alignment horizontal="center" shrinkToFit="0" vertical="center" wrapText="1"/>
    </xf>
    <xf quotePrefix="1" borderId="3" fillId="9" fontId="8" numFmtId="164" xfId="0" applyAlignment="1" applyBorder="1" applyFont="1" applyNumberFormat="1">
      <alignment horizontal="center" shrinkToFit="0" vertical="center" wrapText="1"/>
    </xf>
    <xf borderId="1" fillId="10" fontId="8" numFmtId="164" xfId="0" applyAlignment="1" applyBorder="1" applyFont="1" applyNumberFormat="1">
      <alignment horizontal="left"/>
    </xf>
    <xf quotePrefix="1" borderId="0" fillId="0" fontId="6" numFmtId="0" xfId="0" applyFont="1"/>
    <xf borderId="3" fillId="5" fontId="3" numFmtId="0" xfId="0" applyAlignment="1" applyBorder="1" applyFont="1">
      <alignment horizontal="left"/>
    </xf>
    <xf borderId="3" fillId="5" fontId="3" numFmtId="2" xfId="0" applyBorder="1" applyFont="1" applyNumberFormat="1"/>
    <xf borderId="3" fillId="9" fontId="29" numFmtId="0" xfId="0" applyAlignment="1" applyBorder="1" applyFont="1">
      <alignment horizontal="center" vertical="center"/>
    </xf>
    <xf borderId="3" fillId="11" fontId="19" numFmtId="164" xfId="0" applyAlignment="1" applyBorder="1" applyFill="1" applyFont="1" applyNumberFormat="1">
      <alignment horizontal="right"/>
    </xf>
    <xf borderId="3" fillId="11" fontId="19" numFmtId="171" xfId="0" applyAlignment="1" applyBorder="1" applyFont="1" applyNumberFormat="1">
      <alignment horizontal="right"/>
    </xf>
    <xf borderId="3" fillId="11" fontId="19" numFmtId="174" xfId="0" applyAlignment="1" applyBorder="1" applyFont="1" applyNumberFormat="1">
      <alignment horizontal="right"/>
    </xf>
    <xf borderId="4" fillId="9" fontId="6" numFmtId="0" xfId="0" applyBorder="1" applyFont="1"/>
    <xf borderId="27" fillId="9" fontId="6" numFmtId="0" xfId="0" applyBorder="1" applyFont="1"/>
    <xf borderId="28" fillId="9" fontId="6" numFmtId="0" xfId="0" applyBorder="1" applyFont="1"/>
    <xf borderId="28" fillId="12" fontId="6" numFmtId="0" xfId="0" applyBorder="1" applyFill="1" applyFont="1"/>
    <xf borderId="12" fillId="9" fontId="6" numFmtId="0" xfId="0" applyBorder="1" applyFont="1"/>
    <xf borderId="26" fillId="12" fontId="6" numFmtId="0" xfId="0" applyBorder="1" applyFont="1"/>
    <xf borderId="3" fillId="11" fontId="19" numFmtId="172" xfId="0" applyAlignment="1" applyBorder="1" applyFont="1" applyNumberFormat="1">
      <alignment horizontal="right"/>
    </xf>
    <xf borderId="7" fillId="9" fontId="6" numFmtId="0" xfId="0" applyBorder="1" applyFont="1"/>
    <xf borderId="58" fillId="9" fontId="6" numFmtId="0" xfId="0" applyBorder="1" applyFont="1"/>
    <xf borderId="57" fillId="9" fontId="6" numFmtId="0" xfId="0" applyBorder="1" applyFont="1"/>
    <xf borderId="25" fillId="9" fontId="6" numFmtId="0" xfId="0" applyBorder="1" applyFont="1"/>
    <xf borderId="26" fillId="9" fontId="6" numFmtId="0" xfId="0" applyBorder="1" applyFont="1"/>
    <xf borderId="3" fillId="0" fontId="19" numFmtId="0" xfId="0" applyAlignment="1" applyBorder="1" applyFont="1">
      <alignment horizontal="left"/>
    </xf>
    <xf borderId="3" fillId="0" fontId="19" numFmtId="2" xfId="0" applyBorder="1" applyFont="1" applyNumberFormat="1"/>
    <xf borderId="1" fillId="2" fontId="1" numFmtId="0" xfId="0" applyAlignment="1" applyBorder="1" applyFont="1">
      <alignment horizontal="center" vertical="center"/>
    </xf>
    <xf borderId="3" fillId="9" fontId="6" numFmtId="0" xfId="0" applyAlignment="1" applyBorder="1" applyFont="1">
      <alignment horizontal="right"/>
    </xf>
    <xf borderId="3" fillId="9" fontId="30" numFmtId="0" xfId="0" applyAlignment="1" applyBorder="1" applyFont="1">
      <alignment horizontal="center" shrinkToFit="0" vertical="center" wrapText="1"/>
    </xf>
    <xf borderId="3" fillId="9" fontId="6" numFmtId="0" xfId="0" applyAlignment="1" applyBorder="1" applyFont="1">
      <alignment shrinkToFit="0" wrapText="1"/>
    </xf>
    <xf borderId="3" fillId="9" fontId="6" numFmtId="0" xfId="0" applyAlignment="1" applyBorder="1" applyFont="1">
      <alignment horizontal="center" shrinkToFit="0" wrapText="1"/>
    </xf>
    <xf borderId="3" fillId="11" fontId="19" numFmtId="175" xfId="0" applyAlignment="1" applyBorder="1" applyFont="1" applyNumberFormat="1">
      <alignment horizontal="right"/>
    </xf>
    <xf borderId="3" fillId="0" fontId="6" numFmtId="1" xfId="0" applyBorder="1" applyFont="1" applyNumberFormat="1"/>
    <xf borderId="3" fillId="0" fontId="6" numFmtId="2" xfId="0" applyBorder="1" applyFont="1" applyNumberFormat="1"/>
  </cellXfs>
  <cellStyles count="1">
    <cellStyle xfId="0" name="Normal" builtinId="0"/>
  </cellStyles>
  <dxfs count="2">
    <dxf>
      <font/>
      <fill>
        <patternFill patternType="solid">
          <fgColor rgb="FFD0CECE"/>
          <bgColor rgb="FFD0CECE"/>
        </patternFill>
      </fill>
      <border/>
    </dxf>
    <dxf>
      <font/>
      <fill>
        <patternFill patternType="solid">
          <fgColor rgb="FFDADADA"/>
          <bgColor rgb="FFDADADA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externalLink" Target="externalLinks/externalLink1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32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AUTERA\RATES\UPS\RATE98\ZONE98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Express"/>
      <sheetName val="Expedited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00"/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6.63"/>
    <col customWidth="1" min="2" max="7" width="7.63"/>
    <col customWidth="1" min="8" max="8" width="9.75"/>
    <col customWidth="1" min="9" max="9" width="3.63"/>
    <col customWidth="1" min="10" max="26" width="8.63"/>
  </cols>
  <sheetData>
    <row r="1" ht="12.75" customHeight="1">
      <c r="A1" s="1"/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</row>
    <row r="2" ht="12.75" customHeight="1">
      <c r="A2" s="1" t="s">
        <v>1</v>
      </c>
      <c r="B2" s="3">
        <v>132.0</v>
      </c>
      <c r="C2" s="3">
        <v>133.0</v>
      </c>
      <c r="D2" s="3">
        <v>134.0</v>
      </c>
      <c r="E2" s="3">
        <v>135.0</v>
      </c>
      <c r="F2" s="3">
        <v>136.0</v>
      </c>
      <c r="G2" s="3">
        <v>137.0</v>
      </c>
      <c r="H2" s="3">
        <v>138.0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>
        <v>1.0</v>
      </c>
      <c r="B3" s="6">
        <v>38.55</v>
      </c>
      <c r="C3" s="6">
        <v>53.04</v>
      </c>
      <c r="D3" s="6">
        <v>69.96</v>
      </c>
      <c r="E3" s="6">
        <v>77.51</v>
      </c>
      <c r="F3" s="6">
        <v>84.01</v>
      </c>
      <c r="G3" s="6">
        <v>91.3</v>
      </c>
      <c r="H3" s="7">
        <v>95.35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9">
        <v>2.0</v>
      </c>
      <c r="B4" s="10">
        <v>41.12</v>
      </c>
      <c r="C4" s="10">
        <v>56.76</v>
      </c>
      <c r="D4" s="10">
        <v>80.46</v>
      </c>
      <c r="E4" s="10">
        <v>87.44</v>
      </c>
      <c r="F4" s="10">
        <v>96.37</v>
      </c>
      <c r="G4" s="10">
        <v>104.58</v>
      </c>
      <c r="H4" s="11">
        <v>110.55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13">
        <v>3.0</v>
      </c>
      <c r="B5" s="14">
        <v>44.68</v>
      </c>
      <c r="C5" s="14">
        <v>60.03</v>
      </c>
      <c r="D5" s="14">
        <v>89.23</v>
      </c>
      <c r="E5" s="14">
        <v>96.87</v>
      </c>
      <c r="F5" s="14">
        <v>103.36</v>
      </c>
      <c r="G5" s="14">
        <v>114.01</v>
      </c>
      <c r="H5" s="15">
        <v>120.84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13">
        <v>4.0</v>
      </c>
      <c r="B6" s="14">
        <v>48.2</v>
      </c>
      <c r="C6" s="14">
        <v>63.65</v>
      </c>
      <c r="D6" s="14">
        <v>95.77</v>
      </c>
      <c r="E6" s="14">
        <v>105.18</v>
      </c>
      <c r="F6" s="14">
        <v>116.03</v>
      </c>
      <c r="G6" s="14">
        <v>124.08</v>
      </c>
      <c r="H6" s="15">
        <v>132.3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16">
        <v>5.0</v>
      </c>
      <c r="B7" s="17">
        <v>49.06</v>
      </c>
      <c r="C7" s="17">
        <v>64.2</v>
      </c>
      <c r="D7" s="17">
        <v>102.83</v>
      </c>
      <c r="E7" s="17">
        <v>115.43</v>
      </c>
      <c r="F7" s="17">
        <v>119.73</v>
      </c>
      <c r="G7" s="17">
        <v>128.0</v>
      </c>
      <c r="H7" s="18">
        <v>135.21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9">
        <v>6.0</v>
      </c>
      <c r="B8" s="20">
        <v>51.78</v>
      </c>
      <c r="C8" s="20">
        <v>73.81</v>
      </c>
      <c r="D8" s="21">
        <v>113.34</v>
      </c>
      <c r="E8" s="21">
        <v>121.92</v>
      </c>
      <c r="F8" s="21">
        <v>135.37</v>
      </c>
      <c r="G8" s="21">
        <v>141.65</v>
      </c>
      <c r="H8" s="22">
        <v>150.71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3">
        <v>7.0</v>
      </c>
      <c r="B9" s="24">
        <v>53.45</v>
      </c>
      <c r="C9" s="24">
        <v>77.02</v>
      </c>
      <c r="D9" s="25">
        <v>121.29</v>
      </c>
      <c r="E9" s="25">
        <v>133.74</v>
      </c>
      <c r="F9" s="25">
        <v>145.0</v>
      </c>
      <c r="G9" s="25">
        <v>153.76</v>
      </c>
      <c r="H9" s="26">
        <v>162.56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19">
        <v>8.0</v>
      </c>
      <c r="B10" s="24">
        <v>56.26</v>
      </c>
      <c r="C10" s="24">
        <v>79.24</v>
      </c>
      <c r="D10" s="25">
        <v>128.08</v>
      </c>
      <c r="E10" s="25">
        <v>141.05</v>
      </c>
      <c r="F10" s="25">
        <v>154.78</v>
      </c>
      <c r="G10" s="25">
        <v>163.11</v>
      </c>
      <c r="H10" s="26">
        <v>171.12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19">
        <v>9.0</v>
      </c>
      <c r="B11" s="24">
        <v>58.19</v>
      </c>
      <c r="C11" s="24">
        <v>82.66</v>
      </c>
      <c r="D11" s="25">
        <v>137.81</v>
      </c>
      <c r="E11" s="25">
        <v>151.21</v>
      </c>
      <c r="F11" s="25">
        <v>158.32</v>
      </c>
      <c r="G11" s="25">
        <v>174.94</v>
      </c>
      <c r="H11" s="26">
        <v>183.84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">
        <v>10.0</v>
      </c>
      <c r="B12" s="28">
        <v>58.48</v>
      </c>
      <c r="C12" s="28">
        <v>85.0</v>
      </c>
      <c r="D12" s="29">
        <v>138.97</v>
      </c>
      <c r="E12" s="29">
        <v>153.32</v>
      </c>
      <c r="F12" s="29">
        <v>160.51</v>
      </c>
      <c r="G12" s="29">
        <v>176.13</v>
      </c>
      <c r="H12" s="30">
        <v>185.46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>
        <v>11.0</v>
      </c>
      <c r="B13" s="10">
        <v>62.7</v>
      </c>
      <c r="C13" s="10">
        <v>89.68</v>
      </c>
      <c r="D13" s="10">
        <v>153.05</v>
      </c>
      <c r="E13" s="10">
        <v>171.51</v>
      </c>
      <c r="F13" s="10">
        <v>185.64</v>
      </c>
      <c r="G13" s="10">
        <v>198.6</v>
      </c>
      <c r="H13" s="11">
        <v>204.59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13">
        <v>12.0</v>
      </c>
      <c r="B14" s="14">
        <v>64.78</v>
      </c>
      <c r="C14" s="14">
        <v>94.26</v>
      </c>
      <c r="D14" s="14">
        <v>161.48</v>
      </c>
      <c r="E14" s="14">
        <v>179.34</v>
      </c>
      <c r="F14" s="14">
        <v>194.7</v>
      </c>
      <c r="G14" s="14">
        <v>209.41</v>
      </c>
      <c r="H14" s="15">
        <v>215.52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3">
        <v>13.0</v>
      </c>
      <c r="B15" s="14">
        <v>65.5</v>
      </c>
      <c r="C15" s="14">
        <v>98.98</v>
      </c>
      <c r="D15" s="14">
        <v>170.78</v>
      </c>
      <c r="E15" s="14">
        <v>187.66</v>
      </c>
      <c r="F15" s="14">
        <v>202.61</v>
      </c>
      <c r="G15" s="14">
        <v>220.5</v>
      </c>
      <c r="H15" s="15">
        <v>225.91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>
        <v>14.0</v>
      </c>
      <c r="B16" s="14">
        <v>68.05</v>
      </c>
      <c r="C16" s="14">
        <v>102.85</v>
      </c>
      <c r="D16" s="14">
        <v>179.47</v>
      </c>
      <c r="E16" s="14">
        <v>195.6</v>
      </c>
      <c r="F16" s="14">
        <v>210.45</v>
      </c>
      <c r="G16" s="14">
        <v>230.12</v>
      </c>
      <c r="H16" s="15">
        <v>237.11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13">
        <v>15.0</v>
      </c>
      <c r="B17" s="17">
        <v>70.66</v>
      </c>
      <c r="C17" s="17">
        <v>106.32</v>
      </c>
      <c r="D17" s="17">
        <v>184.11</v>
      </c>
      <c r="E17" s="17">
        <v>203.48</v>
      </c>
      <c r="F17" s="17">
        <v>214.33</v>
      </c>
      <c r="G17" s="17">
        <v>237.74</v>
      </c>
      <c r="H17" s="18">
        <v>245.05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1">
        <v>16.0</v>
      </c>
      <c r="B18" s="20">
        <v>72.16</v>
      </c>
      <c r="C18" s="20">
        <v>107.4</v>
      </c>
      <c r="D18" s="21">
        <v>192.78</v>
      </c>
      <c r="E18" s="21">
        <v>209.01</v>
      </c>
      <c r="F18" s="21">
        <v>225.48</v>
      </c>
      <c r="G18" s="21">
        <v>241.63</v>
      </c>
      <c r="H18" s="22">
        <v>252.26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9">
        <v>17.0</v>
      </c>
      <c r="B19" s="24">
        <v>73.71</v>
      </c>
      <c r="C19" s="24">
        <v>110.95</v>
      </c>
      <c r="D19" s="25">
        <v>200.14</v>
      </c>
      <c r="E19" s="25">
        <v>217.8</v>
      </c>
      <c r="F19" s="25">
        <v>230.72</v>
      </c>
      <c r="G19" s="25">
        <v>247.11</v>
      </c>
      <c r="H19" s="26">
        <v>257.64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9">
        <v>18.0</v>
      </c>
      <c r="B20" s="24">
        <v>78.09</v>
      </c>
      <c r="C20" s="24">
        <v>112.2</v>
      </c>
      <c r="D20" s="25">
        <v>206.16</v>
      </c>
      <c r="E20" s="25">
        <v>222.3</v>
      </c>
      <c r="F20" s="25">
        <v>235.79</v>
      </c>
      <c r="G20" s="25">
        <v>252.43</v>
      </c>
      <c r="H20" s="26">
        <v>262.05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9">
        <v>19.0</v>
      </c>
      <c r="B21" s="24">
        <v>80.18</v>
      </c>
      <c r="C21" s="24">
        <v>116.97</v>
      </c>
      <c r="D21" s="25">
        <v>211.06</v>
      </c>
      <c r="E21" s="25">
        <v>227.0</v>
      </c>
      <c r="F21" s="25">
        <v>241.12</v>
      </c>
      <c r="G21" s="25">
        <v>258.08</v>
      </c>
      <c r="H21" s="26">
        <v>271.34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19">
        <v>20.0</v>
      </c>
      <c r="B22" s="28">
        <v>81.68</v>
      </c>
      <c r="C22" s="28">
        <v>120.42</v>
      </c>
      <c r="D22" s="29">
        <v>216.47</v>
      </c>
      <c r="E22" s="29">
        <v>235.76</v>
      </c>
      <c r="F22" s="29">
        <v>242.62</v>
      </c>
      <c r="G22" s="29">
        <v>266.38</v>
      </c>
      <c r="H22" s="30">
        <v>272.47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">
        <v>21.0</v>
      </c>
      <c r="B23" s="10">
        <v>83.87</v>
      </c>
      <c r="C23" s="10">
        <v>122.75</v>
      </c>
      <c r="D23" s="10">
        <v>229.73</v>
      </c>
      <c r="E23" s="10">
        <v>243.51</v>
      </c>
      <c r="F23" s="10">
        <v>261.14</v>
      </c>
      <c r="G23" s="10">
        <v>276.19</v>
      </c>
      <c r="H23" s="11">
        <v>291.55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3">
        <v>22.0</v>
      </c>
      <c r="B24" s="14">
        <v>86.82</v>
      </c>
      <c r="C24" s="14">
        <v>125.35</v>
      </c>
      <c r="D24" s="14">
        <v>235.66</v>
      </c>
      <c r="E24" s="14">
        <v>256.37</v>
      </c>
      <c r="F24" s="14">
        <v>263.0</v>
      </c>
      <c r="G24" s="14">
        <v>295.93</v>
      </c>
      <c r="H24" s="15">
        <v>303.9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3">
        <v>23.0</v>
      </c>
      <c r="B25" s="14">
        <v>88.29</v>
      </c>
      <c r="C25" s="14">
        <v>127.75</v>
      </c>
      <c r="D25" s="14">
        <v>242.06</v>
      </c>
      <c r="E25" s="14">
        <v>265.07</v>
      </c>
      <c r="F25" s="14">
        <v>273.3</v>
      </c>
      <c r="G25" s="14">
        <v>299.15</v>
      </c>
      <c r="H25" s="15">
        <v>305.14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3">
        <v>24.0</v>
      </c>
      <c r="B26" s="14">
        <v>90.5</v>
      </c>
      <c r="C26" s="14">
        <v>127.99</v>
      </c>
      <c r="D26" s="14">
        <v>242.7</v>
      </c>
      <c r="E26" s="14">
        <v>265.94</v>
      </c>
      <c r="F26" s="14">
        <v>275.85</v>
      </c>
      <c r="G26" s="14">
        <v>303.06</v>
      </c>
      <c r="H26" s="15">
        <v>311.89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6">
        <v>25.0</v>
      </c>
      <c r="B27" s="17">
        <v>91.73</v>
      </c>
      <c r="C27" s="17">
        <v>132.58</v>
      </c>
      <c r="D27" s="17">
        <v>247.73</v>
      </c>
      <c r="E27" s="17">
        <v>269.32</v>
      </c>
      <c r="F27" s="17">
        <v>279.67</v>
      </c>
      <c r="G27" s="17">
        <v>306.58</v>
      </c>
      <c r="H27" s="18">
        <v>316.07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9">
        <v>26.0</v>
      </c>
      <c r="B28" s="20">
        <v>91.99</v>
      </c>
      <c r="C28" s="20">
        <v>136.33</v>
      </c>
      <c r="D28" s="21">
        <v>263.22</v>
      </c>
      <c r="E28" s="21">
        <v>286.3</v>
      </c>
      <c r="F28" s="21">
        <v>303.38</v>
      </c>
      <c r="G28" s="21">
        <v>317.73</v>
      </c>
      <c r="H28" s="22">
        <v>329.64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>
        <v>27.0</v>
      </c>
      <c r="B29" s="24">
        <v>96.16</v>
      </c>
      <c r="C29" s="24">
        <v>140.09</v>
      </c>
      <c r="D29" s="25">
        <v>267.65</v>
      </c>
      <c r="E29" s="25">
        <v>288.5</v>
      </c>
      <c r="F29" s="25">
        <v>306.89</v>
      </c>
      <c r="G29" s="25">
        <v>322.9</v>
      </c>
      <c r="H29" s="26">
        <v>345.24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>
        <v>28.0</v>
      </c>
      <c r="B30" s="24">
        <v>96.59</v>
      </c>
      <c r="C30" s="24">
        <v>143.73</v>
      </c>
      <c r="D30" s="25">
        <v>275.38</v>
      </c>
      <c r="E30" s="25">
        <v>296.73</v>
      </c>
      <c r="F30" s="25">
        <v>309.13</v>
      </c>
      <c r="G30" s="25">
        <v>330.49</v>
      </c>
      <c r="H30" s="26">
        <v>354.28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>
        <v>29.0</v>
      </c>
      <c r="B31" s="24">
        <v>98.45</v>
      </c>
      <c r="C31" s="24">
        <v>144.1</v>
      </c>
      <c r="D31" s="25">
        <v>282.08</v>
      </c>
      <c r="E31" s="25">
        <v>298.46</v>
      </c>
      <c r="F31" s="25">
        <v>309.42</v>
      </c>
      <c r="G31" s="25">
        <v>340.56</v>
      </c>
      <c r="H31" s="26">
        <v>356.25</v>
      </c>
    </row>
    <row r="32" ht="12.75" customHeight="1">
      <c r="A32" s="23">
        <v>30.0</v>
      </c>
      <c r="B32" s="28">
        <v>102.94</v>
      </c>
      <c r="C32" s="28">
        <v>148.03</v>
      </c>
      <c r="D32" s="29">
        <v>285.45</v>
      </c>
      <c r="E32" s="29">
        <v>301.24</v>
      </c>
      <c r="F32" s="29">
        <v>313.79</v>
      </c>
      <c r="G32" s="29">
        <v>342.1</v>
      </c>
      <c r="H32" s="30">
        <v>360.34</v>
      </c>
    </row>
    <row r="33" ht="12.75" customHeight="1">
      <c r="A33" s="9">
        <v>31.0</v>
      </c>
      <c r="B33" s="10">
        <v>104.85</v>
      </c>
      <c r="C33" s="10">
        <v>149.74</v>
      </c>
      <c r="D33" s="10">
        <v>294.94</v>
      </c>
      <c r="E33" s="10">
        <v>315.55</v>
      </c>
      <c r="F33" s="10">
        <v>338.39</v>
      </c>
      <c r="G33" s="10">
        <v>354.46</v>
      </c>
      <c r="H33" s="11">
        <v>370.93</v>
      </c>
    </row>
    <row r="34" ht="12.75" customHeight="1">
      <c r="A34" s="33">
        <v>32.0</v>
      </c>
      <c r="B34" s="14">
        <v>107.03</v>
      </c>
      <c r="C34" s="14">
        <v>152.31</v>
      </c>
      <c r="D34" s="14">
        <v>301.36</v>
      </c>
      <c r="E34" s="14">
        <v>320.0</v>
      </c>
      <c r="F34" s="14">
        <v>345.1</v>
      </c>
      <c r="G34" s="14">
        <v>356.26</v>
      </c>
      <c r="H34" s="15">
        <v>380.82</v>
      </c>
    </row>
    <row r="35" ht="12.75" customHeight="1">
      <c r="A35" s="33">
        <v>33.0</v>
      </c>
      <c r="B35" s="14">
        <v>109.39</v>
      </c>
      <c r="C35" s="14">
        <v>155.36</v>
      </c>
      <c r="D35" s="14">
        <v>310.45</v>
      </c>
      <c r="E35" s="14">
        <v>330.71</v>
      </c>
      <c r="F35" s="14">
        <v>348.28</v>
      </c>
      <c r="G35" s="14">
        <v>375.0</v>
      </c>
      <c r="H35" s="15">
        <v>392.99</v>
      </c>
    </row>
    <row r="36" ht="12.75" customHeight="1">
      <c r="A36" s="33">
        <v>34.0</v>
      </c>
      <c r="B36" s="14">
        <v>111.29</v>
      </c>
      <c r="C36" s="14">
        <v>158.83</v>
      </c>
      <c r="D36" s="14">
        <v>317.48</v>
      </c>
      <c r="E36" s="14">
        <v>339.87</v>
      </c>
      <c r="F36" s="14">
        <v>352.25</v>
      </c>
      <c r="G36" s="14">
        <v>386.82</v>
      </c>
      <c r="H36" s="15">
        <v>398.61</v>
      </c>
    </row>
    <row r="37" ht="12.75" customHeight="1">
      <c r="A37" s="16">
        <v>35.0</v>
      </c>
      <c r="B37" s="17">
        <v>114.46</v>
      </c>
      <c r="C37" s="17">
        <v>161.99</v>
      </c>
      <c r="D37" s="17">
        <v>318.19</v>
      </c>
      <c r="E37" s="17">
        <v>345.37</v>
      </c>
      <c r="F37" s="17">
        <v>352.91</v>
      </c>
      <c r="G37" s="17">
        <v>394.22</v>
      </c>
      <c r="H37" s="18">
        <v>402.5</v>
      </c>
    </row>
    <row r="38" ht="12.75" customHeight="1">
      <c r="A38" s="5">
        <v>36.0</v>
      </c>
      <c r="B38" s="6">
        <v>115.17</v>
      </c>
      <c r="C38" s="6">
        <v>165.45</v>
      </c>
      <c r="D38" s="6">
        <v>331.55</v>
      </c>
      <c r="E38" s="6">
        <v>349.41</v>
      </c>
      <c r="F38" s="6">
        <v>365.94</v>
      </c>
      <c r="G38" s="6">
        <v>396.53</v>
      </c>
      <c r="H38" s="7">
        <v>407.58</v>
      </c>
      <c r="I38" s="4"/>
    </row>
    <row r="39" ht="12.75" customHeight="1">
      <c r="A39" s="9">
        <v>37.0</v>
      </c>
      <c r="B39" s="10">
        <v>115.45</v>
      </c>
      <c r="C39" s="10">
        <v>167.68</v>
      </c>
      <c r="D39" s="10">
        <v>339.72</v>
      </c>
      <c r="E39" s="10">
        <v>358.98</v>
      </c>
      <c r="F39" s="10">
        <v>384.7</v>
      </c>
      <c r="G39" s="10">
        <v>409.64</v>
      </c>
      <c r="H39" s="11">
        <v>425.74</v>
      </c>
    </row>
    <row r="40" ht="12.75" customHeight="1">
      <c r="A40" s="13">
        <v>38.0</v>
      </c>
      <c r="B40" s="14">
        <v>117.48</v>
      </c>
      <c r="C40" s="14">
        <v>171.06</v>
      </c>
      <c r="D40" s="14">
        <v>345.35</v>
      </c>
      <c r="E40" s="14">
        <v>371.05</v>
      </c>
      <c r="F40" s="14">
        <v>391.19</v>
      </c>
      <c r="G40" s="14">
        <v>415.51</v>
      </c>
      <c r="H40" s="15">
        <v>427.56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13">
        <v>39.0</v>
      </c>
      <c r="B41" s="14">
        <v>120.47</v>
      </c>
      <c r="C41" s="14">
        <v>171.4</v>
      </c>
      <c r="D41" s="14">
        <v>348.36</v>
      </c>
      <c r="E41" s="14">
        <v>373.87</v>
      </c>
      <c r="F41" s="14">
        <v>391.85</v>
      </c>
      <c r="G41" s="14">
        <v>418.88</v>
      </c>
      <c r="H41" s="15">
        <v>431.41</v>
      </c>
    </row>
    <row r="42" ht="12.75" customHeight="1">
      <c r="A42" s="16">
        <v>40.0</v>
      </c>
      <c r="B42" s="17">
        <v>125.92</v>
      </c>
      <c r="C42" s="17">
        <v>171.6</v>
      </c>
      <c r="D42" s="17">
        <v>349.01</v>
      </c>
      <c r="E42" s="17">
        <v>378.07</v>
      </c>
      <c r="F42" s="17">
        <v>393.0</v>
      </c>
      <c r="G42" s="17">
        <v>423.54</v>
      </c>
      <c r="H42" s="18">
        <v>432.39</v>
      </c>
    </row>
    <row r="43" ht="12.75" customHeight="1">
      <c r="A43" s="19">
        <v>41.0</v>
      </c>
      <c r="B43" s="20">
        <v>128.08</v>
      </c>
      <c r="C43" s="20">
        <v>173.2</v>
      </c>
      <c r="D43" s="21">
        <v>361.79</v>
      </c>
      <c r="E43" s="21">
        <v>384.59</v>
      </c>
      <c r="F43" s="21">
        <v>411.88</v>
      </c>
      <c r="G43" s="21">
        <v>429.81</v>
      </c>
      <c r="H43" s="22">
        <v>451.98</v>
      </c>
    </row>
    <row r="44" ht="12.75" customHeight="1">
      <c r="A44" s="23">
        <v>42.0</v>
      </c>
      <c r="B44" s="24">
        <v>130.46</v>
      </c>
      <c r="C44" s="24">
        <v>184.3</v>
      </c>
      <c r="D44" s="25">
        <v>366.68</v>
      </c>
      <c r="E44" s="25">
        <v>394.47</v>
      </c>
      <c r="F44" s="25">
        <v>418.09</v>
      </c>
      <c r="G44" s="25">
        <v>431.48</v>
      </c>
      <c r="H44" s="26">
        <v>462.38</v>
      </c>
    </row>
    <row r="45" ht="12.75" customHeight="1">
      <c r="A45" s="19">
        <v>43.0</v>
      </c>
      <c r="B45" s="24">
        <v>132.63</v>
      </c>
      <c r="C45" s="24">
        <v>185.41</v>
      </c>
      <c r="D45" s="25">
        <v>376.55</v>
      </c>
      <c r="E45" s="25">
        <v>401.73</v>
      </c>
      <c r="F45" s="25">
        <v>422.02</v>
      </c>
      <c r="G45" s="25">
        <v>453.44</v>
      </c>
      <c r="H45" s="26">
        <v>482.92</v>
      </c>
    </row>
    <row r="46" ht="12.75" customHeight="1">
      <c r="A46" s="19">
        <v>44.0</v>
      </c>
      <c r="B46" s="24">
        <v>134.92</v>
      </c>
      <c r="C46" s="24">
        <v>186.06</v>
      </c>
      <c r="D46" s="25">
        <v>383.16</v>
      </c>
      <c r="E46" s="25">
        <v>413.23</v>
      </c>
      <c r="F46" s="25">
        <v>433.47</v>
      </c>
      <c r="G46" s="25">
        <v>461.09</v>
      </c>
      <c r="H46" s="26">
        <v>495.94</v>
      </c>
    </row>
    <row r="47" ht="12.75" customHeight="1">
      <c r="A47" s="27">
        <v>45.0</v>
      </c>
      <c r="B47" s="28">
        <v>137.11</v>
      </c>
      <c r="C47" s="28">
        <v>186.68</v>
      </c>
      <c r="D47" s="29">
        <v>391.23</v>
      </c>
      <c r="E47" s="29">
        <v>421.5</v>
      </c>
      <c r="F47" s="29">
        <v>434.62</v>
      </c>
      <c r="G47" s="29">
        <v>473.22</v>
      </c>
      <c r="H47" s="30">
        <v>497.25</v>
      </c>
    </row>
    <row r="48" ht="12.75" customHeight="1">
      <c r="A48" s="13">
        <v>46.0</v>
      </c>
      <c r="B48" s="10">
        <v>139.19</v>
      </c>
      <c r="C48" s="10">
        <v>199.06</v>
      </c>
      <c r="D48" s="10">
        <v>397.81</v>
      </c>
      <c r="E48" s="10">
        <v>433.52</v>
      </c>
      <c r="F48" s="10">
        <v>450.32</v>
      </c>
      <c r="G48" s="10">
        <v>474.44</v>
      </c>
      <c r="H48" s="11">
        <v>512.39</v>
      </c>
    </row>
    <row r="49" ht="12.75" customHeight="1">
      <c r="A49" s="13">
        <v>47.0</v>
      </c>
      <c r="B49" s="14">
        <v>142.17</v>
      </c>
      <c r="C49" s="14">
        <v>203.15</v>
      </c>
      <c r="D49" s="14">
        <v>398.48</v>
      </c>
      <c r="E49" s="14">
        <v>434.73</v>
      </c>
      <c r="F49" s="14">
        <v>452.52</v>
      </c>
      <c r="G49" s="14">
        <v>480.41</v>
      </c>
      <c r="H49" s="15">
        <v>514.47</v>
      </c>
    </row>
    <row r="50" ht="12.75" customHeight="1">
      <c r="A50" s="13">
        <v>48.0</v>
      </c>
      <c r="B50" s="14">
        <v>144.25</v>
      </c>
      <c r="C50" s="14">
        <v>207.17</v>
      </c>
      <c r="D50" s="14">
        <v>398.77</v>
      </c>
      <c r="E50" s="14">
        <v>434.94</v>
      </c>
      <c r="F50" s="14">
        <v>452.74</v>
      </c>
      <c r="G50" s="14">
        <v>484.88</v>
      </c>
      <c r="H50" s="15">
        <v>514.68</v>
      </c>
    </row>
    <row r="51" ht="12.75" customHeight="1">
      <c r="A51" s="13">
        <v>49.0</v>
      </c>
      <c r="B51" s="14">
        <v>146.44</v>
      </c>
      <c r="C51" s="14">
        <v>211.3</v>
      </c>
      <c r="D51" s="14">
        <v>399.02</v>
      </c>
      <c r="E51" s="14">
        <v>439.08</v>
      </c>
      <c r="F51" s="14">
        <v>452.94</v>
      </c>
      <c r="G51" s="14">
        <v>490.32</v>
      </c>
      <c r="H51" s="15">
        <v>515.0</v>
      </c>
    </row>
    <row r="52" ht="12.75" customHeight="1">
      <c r="A52" s="13">
        <v>50.0</v>
      </c>
      <c r="B52" s="17">
        <v>149.32</v>
      </c>
      <c r="C52" s="17">
        <v>214.39</v>
      </c>
      <c r="D52" s="17">
        <v>400.14</v>
      </c>
      <c r="E52" s="17">
        <v>441.13</v>
      </c>
      <c r="F52" s="17">
        <v>454.93</v>
      </c>
      <c r="G52" s="17">
        <v>492.53</v>
      </c>
      <c r="H52" s="18">
        <v>521.4</v>
      </c>
    </row>
    <row r="53" ht="12.75" customHeight="1">
      <c r="A53" s="31">
        <v>51.0</v>
      </c>
      <c r="B53" s="20">
        <v>151.44</v>
      </c>
      <c r="C53" s="20">
        <v>214.79</v>
      </c>
      <c r="D53" s="21">
        <v>417.73</v>
      </c>
      <c r="E53" s="21">
        <v>477.59</v>
      </c>
      <c r="F53" s="21">
        <v>494.68</v>
      </c>
      <c r="G53" s="21">
        <v>536.56</v>
      </c>
      <c r="H53" s="22">
        <v>547.3</v>
      </c>
    </row>
    <row r="54" ht="12.75" customHeight="1">
      <c r="A54" s="19">
        <v>52.0</v>
      </c>
      <c r="B54" s="24">
        <v>154.48</v>
      </c>
      <c r="C54" s="24">
        <v>222.01</v>
      </c>
      <c r="D54" s="25">
        <v>454.61</v>
      </c>
      <c r="E54" s="25">
        <v>487.34</v>
      </c>
      <c r="F54" s="25">
        <v>506.3</v>
      </c>
      <c r="G54" s="25">
        <v>548.33</v>
      </c>
      <c r="H54" s="26">
        <v>586.77</v>
      </c>
    </row>
    <row r="55" ht="12.75" customHeight="1">
      <c r="A55" s="19">
        <v>53.0</v>
      </c>
      <c r="B55" s="24">
        <v>157.3</v>
      </c>
      <c r="C55" s="24">
        <v>222.74</v>
      </c>
      <c r="D55" s="25">
        <v>458.3</v>
      </c>
      <c r="E55" s="25">
        <v>503.79</v>
      </c>
      <c r="F55" s="25">
        <v>515.05</v>
      </c>
      <c r="G55" s="25">
        <v>552.32</v>
      </c>
      <c r="H55" s="26">
        <v>591.51</v>
      </c>
    </row>
    <row r="56" ht="12.75" customHeight="1">
      <c r="A56" s="19">
        <v>54.0</v>
      </c>
      <c r="B56" s="24">
        <v>159.35</v>
      </c>
      <c r="C56" s="24">
        <v>231.15</v>
      </c>
      <c r="D56" s="25">
        <v>469.16</v>
      </c>
      <c r="E56" s="25">
        <v>505.44</v>
      </c>
      <c r="F56" s="25">
        <v>515.93</v>
      </c>
      <c r="G56" s="25">
        <v>564.72</v>
      </c>
      <c r="H56" s="26">
        <v>592.09</v>
      </c>
    </row>
    <row r="57" ht="12.75" customHeight="1">
      <c r="A57" s="19">
        <v>55.0</v>
      </c>
      <c r="B57" s="28">
        <v>162.46</v>
      </c>
      <c r="C57" s="28">
        <v>232.0</v>
      </c>
      <c r="D57" s="29">
        <v>472.68</v>
      </c>
      <c r="E57" s="29">
        <v>506.66</v>
      </c>
      <c r="F57" s="29">
        <v>516.8</v>
      </c>
      <c r="G57" s="29">
        <v>580.94</v>
      </c>
      <c r="H57" s="30">
        <v>592.61</v>
      </c>
    </row>
    <row r="58" ht="12.75" customHeight="1">
      <c r="A58" s="32">
        <v>56.0</v>
      </c>
      <c r="B58" s="10">
        <v>165.42</v>
      </c>
      <c r="C58" s="10">
        <v>240.03</v>
      </c>
      <c r="D58" s="10">
        <v>473.2</v>
      </c>
      <c r="E58" s="10">
        <v>521.16</v>
      </c>
      <c r="F58" s="10">
        <v>531.98</v>
      </c>
      <c r="G58" s="10">
        <v>589.07</v>
      </c>
      <c r="H58" s="11">
        <v>601.21</v>
      </c>
    </row>
    <row r="59" ht="12.75" customHeight="1">
      <c r="A59" s="13">
        <v>57.0</v>
      </c>
      <c r="B59" s="14">
        <v>169.0</v>
      </c>
      <c r="C59" s="14">
        <v>245.09</v>
      </c>
      <c r="D59" s="14">
        <v>474.13</v>
      </c>
      <c r="E59" s="14">
        <v>522.61</v>
      </c>
      <c r="F59" s="14">
        <v>534.5</v>
      </c>
      <c r="G59" s="14">
        <v>589.89</v>
      </c>
      <c r="H59" s="15">
        <v>602.08</v>
      </c>
    </row>
    <row r="60" ht="12.75" customHeight="1">
      <c r="A60" s="13">
        <v>58.0</v>
      </c>
      <c r="B60" s="14">
        <v>170.22</v>
      </c>
      <c r="C60" s="14">
        <v>250.73</v>
      </c>
      <c r="D60" s="14">
        <v>474.73</v>
      </c>
      <c r="E60" s="14">
        <v>523.12</v>
      </c>
      <c r="F60" s="14">
        <v>545.84</v>
      </c>
      <c r="G60" s="14">
        <v>591.53</v>
      </c>
      <c r="H60" s="15">
        <v>603.75</v>
      </c>
    </row>
    <row r="61" ht="12.75" customHeight="1">
      <c r="A61" s="13">
        <v>59.0</v>
      </c>
      <c r="B61" s="14">
        <v>170.76</v>
      </c>
      <c r="C61" s="14">
        <v>257.15</v>
      </c>
      <c r="D61" s="14">
        <v>486.48</v>
      </c>
      <c r="E61" s="14">
        <v>531.3</v>
      </c>
      <c r="F61" s="14">
        <v>546.99</v>
      </c>
      <c r="G61" s="14">
        <v>593.23</v>
      </c>
      <c r="H61" s="15">
        <v>636.81</v>
      </c>
    </row>
    <row r="62" ht="12.75" customHeight="1">
      <c r="A62" s="16">
        <v>60.0</v>
      </c>
      <c r="B62" s="17">
        <v>171.73</v>
      </c>
      <c r="C62" s="17">
        <v>262.88</v>
      </c>
      <c r="D62" s="17">
        <v>487.66</v>
      </c>
      <c r="E62" s="17">
        <v>532.13</v>
      </c>
      <c r="F62" s="17">
        <v>548.15</v>
      </c>
      <c r="G62" s="17">
        <v>627.19</v>
      </c>
      <c r="H62" s="18">
        <v>640.12</v>
      </c>
    </row>
    <row r="63" ht="12.75" customHeight="1">
      <c r="A63" s="19">
        <v>61.0</v>
      </c>
      <c r="B63" s="20">
        <v>172.26</v>
      </c>
      <c r="C63" s="20">
        <v>267.8</v>
      </c>
      <c r="D63" s="21">
        <v>508.07</v>
      </c>
      <c r="E63" s="21">
        <v>548.08</v>
      </c>
      <c r="F63" s="21">
        <v>571.13</v>
      </c>
      <c r="G63" s="21">
        <v>647.38</v>
      </c>
      <c r="H63" s="22">
        <v>660.73</v>
      </c>
    </row>
    <row r="64" ht="12.75" customHeight="1">
      <c r="A64" s="23">
        <v>62.0</v>
      </c>
      <c r="B64" s="24">
        <v>172.82</v>
      </c>
      <c r="C64" s="24">
        <v>271.64</v>
      </c>
      <c r="D64" s="25">
        <v>510.12</v>
      </c>
      <c r="E64" s="25">
        <v>549.68</v>
      </c>
      <c r="F64" s="25">
        <v>573.54</v>
      </c>
      <c r="G64" s="25">
        <v>649.4</v>
      </c>
      <c r="H64" s="26">
        <v>667.57</v>
      </c>
    </row>
    <row r="65" ht="12.75" customHeight="1">
      <c r="A65" s="23">
        <v>63.0</v>
      </c>
      <c r="B65" s="24">
        <v>183.86</v>
      </c>
      <c r="C65" s="24">
        <v>277.02</v>
      </c>
      <c r="D65" s="25">
        <v>520.4</v>
      </c>
      <c r="E65" s="25">
        <v>555.97</v>
      </c>
      <c r="F65" s="25">
        <v>576.28</v>
      </c>
      <c r="G65" s="25">
        <v>666.56</v>
      </c>
      <c r="H65" s="26">
        <v>680.27</v>
      </c>
    </row>
    <row r="66" ht="12.75" customHeight="1">
      <c r="A66" s="23">
        <v>64.0</v>
      </c>
      <c r="B66" s="24">
        <v>190.25</v>
      </c>
      <c r="C66" s="24">
        <v>278.17</v>
      </c>
      <c r="D66" s="25">
        <v>521.43</v>
      </c>
      <c r="E66" s="25">
        <v>572.1</v>
      </c>
      <c r="F66" s="25">
        <v>594.72</v>
      </c>
      <c r="G66" s="25">
        <v>678.95</v>
      </c>
      <c r="H66" s="26">
        <v>706.16</v>
      </c>
    </row>
    <row r="67" ht="12.75" customHeight="1">
      <c r="A67" s="23">
        <v>65.0</v>
      </c>
      <c r="B67" s="28">
        <v>196.03</v>
      </c>
      <c r="C67" s="28">
        <v>286.77</v>
      </c>
      <c r="D67" s="29">
        <v>526.1</v>
      </c>
      <c r="E67" s="29">
        <v>578.56</v>
      </c>
      <c r="F67" s="29">
        <v>598.57</v>
      </c>
      <c r="G67" s="29">
        <v>680.19</v>
      </c>
      <c r="H67" s="30">
        <v>714.33</v>
      </c>
    </row>
    <row r="68" ht="12.75" customHeight="1">
      <c r="A68" s="9">
        <v>66.0</v>
      </c>
      <c r="B68" s="10">
        <v>199.61</v>
      </c>
      <c r="C68" s="10">
        <v>287.66</v>
      </c>
      <c r="D68" s="10">
        <v>545.79</v>
      </c>
      <c r="E68" s="10">
        <v>597.19</v>
      </c>
      <c r="F68" s="10">
        <v>617.52</v>
      </c>
      <c r="G68" s="10">
        <v>681.16</v>
      </c>
      <c r="H68" s="11">
        <v>715.83</v>
      </c>
    </row>
    <row r="69" ht="12.75" customHeight="1">
      <c r="A69" s="33">
        <v>67.0</v>
      </c>
      <c r="B69" s="14">
        <v>202.5</v>
      </c>
      <c r="C69" s="14">
        <v>299.02</v>
      </c>
      <c r="D69" s="14">
        <v>551.09</v>
      </c>
      <c r="E69" s="14">
        <v>599.06</v>
      </c>
      <c r="F69" s="14">
        <v>619.42</v>
      </c>
      <c r="G69" s="14">
        <v>690.91</v>
      </c>
      <c r="H69" s="15">
        <v>716.34</v>
      </c>
    </row>
    <row r="70" ht="12.75" customHeight="1">
      <c r="A70" s="33">
        <v>68.0</v>
      </c>
      <c r="B70" s="14">
        <v>203.55</v>
      </c>
      <c r="C70" s="14">
        <v>304.56</v>
      </c>
      <c r="D70" s="14">
        <v>551.62</v>
      </c>
      <c r="E70" s="14">
        <v>606.69</v>
      </c>
      <c r="F70" s="14">
        <v>619.98</v>
      </c>
      <c r="G70" s="14">
        <v>691.89</v>
      </c>
      <c r="H70" s="15">
        <v>720.62</v>
      </c>
    </row>
    <row r="71" ht="12.75" customHeight="1">
      <c r="A71" s="33">
        <v>69.0</v>
      </c>
      <c r="B71" s="14">
        <v>204.07</v>
      </c>
      <c r="C71" s="14">
        <v>309.55</v>
      </c>
      <c r="D71" s="14">
        <v>552.2</v>
      </c>
      <c r="E71" s="14">
        <v>608.44</v>
      </c>
      <c r="F71" s="14">
        <v>621.0</v>
      </c>
      <c r="G71" s="14">
        <v>692.29</v>
      </c>
      <c r="H71" s="15">
        <v>724.39</v>
      </c>
    </row>
    <row r="72" ht="12.75" customHeight="1">
      <c r="A72" s="16">
        <v>70.0</v>
      </c>
      <c r="B72" s="17">
        <v>214.12</v>
      </c>
      <c r="C72" s="17">
        <v>315.99</v>
      </c>
      <c r="D72" s="17">
        <v>552.71</v>
      </c>
      <c r="E72" s="17">
        <v>608.99</v>
      </c>
      <c r="F72" s="17">
        <v>621.55</v>
      </c>
      <c r="G72" s="17">
        <v>693.32</v>
      </c>
      <c r="H72" s="18">
        <v>736.17</v>
      </c>
    </row>
    <row r="73" ht="12.75" customHeight="1">
      <c r="A73" s="35">
        <v>71.0</v>
      </c>
      <c r="B73" s="20">
        <v>218.21</v>
      </c>
      <c r="C73" s="20">
        <v>321.01</v>
      </c>
      <c r="D73" s="21">
        <v>554.58</v>
      </c>
      <c r="E73" s="21">
        <v>610.1</v>
      </c>
      <c r="F73" s="21">
        <v>622.74</v>
      </c>
      <c r="G73" s="21">
        <v>713.84</v>
      </c>
      <c r="H73" s="22">
        <v>738.91</v>
      </c>
    </row>
    <row r="74" ht="12.75" customHeight="1">
      <c r="A74" s="23">
        <v>72.0</v>
      </c>
      <c r="B74" s="24">
        <v>218.75</v>
      </c>
      <c r="C74" s="24">
        <v>325.99</v>
      </c>
      <c r="D74" s="25">
        <v>591.58</v>
      </c>
      <c r="E74" s="25">
        <v>622.76</v>
      </c>
      <c r="F74" s="25">
        <v>635.22</v>
      </c>
      <c r="G74" s="25">
        <v>742.86</v>
      </c>
      <c r="H74" s="26">
        <v>775.07</v>
      </c>
    </row>
    <row r="75" ht="12.75" customHeight="1">
      <c r="A75" s="23">
        <v>73.0</v>
      </c>
      <c r="B75" s="24">
        <v>219.7</v>
      </c>
      <c r="C75" s="24">
        <v>333.32</v>
      </c>
      <c r="D75" s="25">
        <v>595.29</v>
      </c>
      <c r="E75" s="25">
        <v>632.86</v>
      </c>
      <c r="F75" s="25">
        <v>645.89</v>
      </c>
      <c r="G75" s="25">
        <v>758.58</v>
      </c>
      <c r="H75" s="26">
        <v>797.4</v>
      </c>
    </row>
    <row r="76" ht="12.75" customHeight="1">
      <c r="A76" s="23">
        <v>74.0</v>
      </c>
      <c r="B76" s="24">
        <v>220.56</v>
      </c>
      <c r="C76" s="24">
        <v>334.09</v>
      </c>
      <c r="D76" s="25">
        <v>595.86</v>
      </c>
      <c r="E76" s="25">
        <v>633.88</v>
      </c>
      <c r="F76" s="25">
        <v>646.96</v>
      </c>
      <c r="G76" s="25">
        <v>760.16</v>
      </c>
      <c r="H76" s="26">
        <v>799.64</v>
      </c>
    </row>
    <row r="77" ht="12.75" customHeight="1">
      <c r="A77" s="27">
        <v>75.0</v>
      </c>
      <c r="B77" s="28">
        <v>233.09</v>
      </c>
      <c r="C77" s="28">
        <v>342.34</v>
      </c>
      <c r="D77" s="29">
        <v>596.91</v>
      </c>
      <c r="E77" s="29">
        <v>634.96</v>
      </c>
      <c r="F77" s="29">
        <v>648.05</v>
      </c>
      <c r="G77" s="29">
        <v>761.19</v>
      </c>
      <c r="H77" s="30">
        <v>800.69</v>
      </c>
    </row>
    <row r="78" ht="12.75" customHeight="1">
      <c r="A78" s="5">
        <v>76.0</v>
      </c>
      <c r="B78" s="6">
        <v>234.36</v>
      </c>
      <c r="C78" s="6">
        <v>343.53</v>
      </c>
      <c r="D78" s="6">
        <v>600.21</v>
      </c>
      <c r="E78" s="6">
        <v>640.55</v>
      </c>
      <c r="F78" s="6">
        <v>653.74</v>
      </c>
      <c r="G78" s="6">
        <v>770.8</v>
      </c>
      <c r="H78" s="7">
        <v>801.49</v>
      </c>
      <c r="I78" s="4"/>
    </row>
    <row r="79" ht="12.75" customHeight="1">
      <c r="A79" s="9">
        <v>77.0</v>
      </c>
      <c r="B79" s="10">
        <v>238.19</v>
      </c>
      <c r="C79" s="10">
        <v>344.68</v>
      </c>
      <c r="D79" s="10">
        <v>602.74</v>
      </c>
      <c r="E79" s="10">
        <v>661.65</v>
      </c>
      <c r="F79" s="10">
        <v>680.99</v>
      </c>
      <c r="G79" s="10">
        <v>783.63</v>
      </c>
      <c r="H79" s="11">
        <v>802.29</v>
      </c>
    </row>
    <row r="80" ht="12.75" customHeight="1">
      <c r="A80" s="13">
        <v>78.0</v>
      </c>
      <c r="B80" s="14">
        <v>239.39</v>
      </c>
      <c r="C80" s="14">
        <v>360.45</v>
      </c>
      <c r="D80" s="14">
        <v>617.54</v>
      </c>
      <c r="E80" s="14">
        <v>676.8</v>
      </c>
      <c r="F80" s="14">
        <v>699.28</v>
      </c>
      <c r="G80" s="14">
        <v>784.92</v>
      </c>
      <c r="H80" s="15">
        <v>803.79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13">
        <v>79.0</v>
      </c>
      <c r="B81" s="14">
        <v>240.45</v>
      </c>
      <c r="C81" s="14">
        <v>362.03</v>
      </c>
      <c r="D81" s="14">
        <v>619.02</v>
      </c>
      <c r="E81" s="14">
        <v>678.32</v>
      </c>
      <c r="F81" s="14">
        <v>701.11</v>
      </c>
      <c r="G81" s="14">
        <v>788.81</v>
      </c>
      <c r="H81" s="15">
        <v>804.59</v>
      </c>
    </row>
    <row r="82" ht="12.75" customHeight="1">
      <c r="A82" s="16">
        <v>80.0</v>
      </c>
      <c r="B82" s="17">
        <v>241.6</v>
      </c>
      <c r="C82" s="17">
        <v>372.35</v>
      </c>
      <c r="D82" s="17">
        <v>620.56</v>
      </c>
      <c r="E82" s="17">
        <v>680.92</v>
      </c>
      <c r="F82" s="17">
        <v>703.56</v>
      </c>
      <c r="G82" s="17">
        <v>790.83</v>
      </c>
      <c r="H82" s="18">
        <v>807.03</v>
      </c>
    </row>
    <row r="83" ht="12.75" customHeight="1">
      <c r="A83" s="19">
        <v>81.0</v>
      </c>
      <c r="B83" s="20">
        <v>242.65</v>
      </c>
      <c r="C83" s="20">
        <v>379.27</v>
      </c>
      <c r="D83" s="21">
        <v>648.1</v>
      </c>
      <c r="E83" s="21">
        <v>732.86</v>
      </c>
      <c r="F83" s="21">
        <v>750.0</v>
      </c>
      <c r="G83" s="21">
        <v>821.77</v>
      </c>
      <c r="H83" s="22">
        <v>838.6</v>
      </c>
    </row>
    <row r="84" ht="12.75" customHeight="1">
      <c r="A84" s="23">
        <v>82.0</v>
      </c>
      <c r="B84" s="24">
        <v>258.8</v>
      </c>
      <c r="C84" s="24">
        <v>380.07</v>
      </c>
      <c r="D84" s="25">
        <v>650.86</v>
      </c>
      <c r="E84" s="25">
        <v>738.06</v>
      </c>
      <c r="F84" s="25">
        <v>754.65</v>
      </c>
      <c r="G84" s="25">
        <v>824.87</v>
      </c>
      <c r="H84" s="26">
        <v>841.76</v>
      </c>
    </row>
    <row r="85" ht="12.75" customHeight="1">
      <c r="A85" s="19">
        <v>83.0</v>
      </c>
      <c r="B85" s="24">
        <v>260.42</v>
      </c>
      <c r="C85" s="24">
        <v>382.4</v>
      </c>
      <c r="D85" s="25">
        <v>652.71</v>
      </c>
      <c r="E85" s="25">
        <v>739.13</v>
      </c>
      <c r="F85" s="25">
        <v>755.71</v>
      </c>
      <c r="G85" s="25">
        <v>825.96</v>
      </c>
      <c r="H85" s="26">
        <v>842.86</v>
      </c>
    </row>
    <row r="86" ht="13.5" customHeight="1">
      <c r="A86" s="19">
        <v>84.0</v>
      </c>
      <c r="B86" s="24">
        <v>261.48</v>
      </c>
      <c r="C86" s="24">
        <v>383.2</v>
      </c>
      <c r="D86" s="25">
        <v>653.81</v>
      </c>
      <c r="E86" s="25">
        <v>740.21</v>
      </c>
      <c r="F86" s="25">
        <v>756.82</v>
      </c>
      <c r="G86" s="25">
        <v>843.22</v>
      </c>
      <c r="H86" s="26">
        <v>860.52</v>
      </c>
    </row>
    <row r="87" ht="13.5" customHeight="1">
      <c r="A87" s="27">
        <v>85.0</v>
      </c>
      <c r="B87" s="28">
        <v>262.54</v>
      </c>
      <c r="C87" s="28">
        <v>384.0</v>
      </c>
      <c r="D87" s="29">
        <v>654.89</v>
      </c>
      <c r="E87" s="29">
        <v>741.28</v>
      </c>
      <c r="F87" s="29">
        <v>757.85</v>
      </c>
      <c r="G87" s="29">
        <v>844.95</v>
      </c>
      <c r="H87" s="30">
        <v>862.29</v>
      </c>
    </row>
    <row r="88" ht="13.5" customHeight="1">
      <c r="A88" s="13">
        <v>86.0</v>
      </c>
      <c r="B88" s="10">
        <v>268.25</v>
      </c>
      <c r="C88" s="10">
        <v>384.8</v>
      </c>
      <c r="D88" s="10">
        <v>656.81</v>
      </c>
      <c r="E88" s="10">
        <v>744.03</v>
      </c>
      <c r="F88" s="10">
        <v>759.32</v>
      </c>
      <c r="G88" s="10">
        <v>846.0</v>
      </c>
      <c r="H88" s="11">
        <v>863.32</v>
      </c>
    </row>
    <row r="89" ht="13.5" customHeight="1">
      <c r="A89" s="13">
        <v>87.0</v>
      </c>
      <c r="B89" s="14">
        <v>269.57</v>
      </c>
      <c r="C89" s="14">
        <v>385.6</v>
      </c>
      <c r="D89" s="14">
        <v>681.1</v>
      </c>
      <c r="E89" s="14">
        <v>747.43</v>
      </c>
      <c r="F89" s="14">
        <v>762.8</v>
      </c>
      <c r="G89" s="14">
        <v>847.32</v>
      </c>
      <c r="H89" s="15">
        <v>864.27</v>
      </c>
    </row>
    <row r="90" ht="13.5" customHeight="1">
      <c r="A90" s="13">
        <v>88.0</v>
      </c>
      <c r="B90" s="14">
        <v>270.66</v>
      </c>
      <c r="C90" s="14">
        <v>386.4</v>
      </c>
      <c r="D90" s="14">
        <v>683.55</v>
      </c>
      <c r="E90" s="14">
        <v>749.1</v>
      </c>
      <c r="F90" s="14">
        <v>764.8</v>
      </c>
      <c r="G90" s="14">
        <v>850.63</v>
      </c>
      <c r="H90" s="15">
        <v>869.02</v>
      </c>
    </row>
    <row r="91" ht="13.5" customHeight="1">
      <c r="A91" s="13">
        <v>89.0</v>
      </c>
      <c r="B91" s="14">
        <v>274.2</v>
      </c>
      <c r="C91" s="14">
        <v>387.2</v>
      </c>
      <c r="D91" s="14">
        <v>702.48</v>
      </c>
      <c r="E91" s="14">
        <v>771.37</v>
      </c>
      <c r="F91" s="14">
        <v>804.6</v>
      </c>
      <c r="G91" s="14">
        <v>915.84</v>
      </c>
      <c r="H91" s="15">
        <v>951.78</v>
      </c>
    </row>
    <row r="92" ht="13.5" customHeight="1">
      <c r="A92" s="13">
        <v>90.0</v>
      </c>
      <c r="B92" s="17">
        <v>275.0</v>
      </c>
      <c r="C92" s="17">
        <v>388.0</v>
      </c>
      <c r="D92" s="17">
        <v>710.18</v>
      </c>
      <c r="E92" s="17">
        <v>775.98</v>
      </c>
      <c r="F92" s="17">
        <v>814.9</v>
      </c>
      <c r="G92" s="17">
        <v>940.8</v>
      </c>
      <c r="H92" s="18">
        <v>960.06</v>
      </c>
    </row>
    <row r="93" ht="13.5" customHeight="1">
      <c r="A93" s="31">
        <v>91.0</v>
      </c>
      <c r="B93" s="20">
        <v>275.8</v>
      </c>
      <c r="C93" s="20">
        <v>388.8</v>
      </c>
      <c r="D93" s="21">
        <v>711.8</v>
      </c>
      <c r="E93" s="21">
        <v>787.93</v>
      </c>
      <c r="F93" s="21">
        <v>815.94</v>
      </c>
      <c r="G93" s="21">
        <v>943.3</v>
      </c>
      <c r="H93" s="22">
        <v>973.55</v>
      </c>
    </row>
    <row r="94" ht="13.5" customHeight="1">
      <c r="A94" s="19">
        <v>92.0</v>
      </c>
      <c r="B94" s="24">
        <v>276.6</v>
      </c>
      <c r="C94" s="24">
        <v>389.6</v>
      </c>
      <c r="D94" s="25">
        <v>712.6</v>
      </c>
      <c r="E94" s="25">
        <v>789.13</v>
      </c>
      <c r="F94" s="25">
        <v>816.99</v>
      </c>
      <c r="G94" s="25">
        <v>944.1</v>
      </c>
      <c r="H94" s="26">
        <v>974.9</v>
      </c>
    </row>
    <row r="95" ht="13.5" customHeight="1">
      <c r="A95" s="19">
        <v>93.0</v>
      </c>
      <c r="B95" s="24">
        <v>277.4</v>
      </c>
      <c r="C95" s="24">
        <v>390.4</v>
      </c>
      <c r="D95" s="25">
        <v>713.4</v>
      </c>
      <c r="E95" s="25">
        <v>790.16</v>
      </c>
      <c r="F95" s="25">
        <v>817.79</v>
      </c>
      <c r="G95" s="25">
        <v>944.9</v>
      </c>
      <c r="H95" s="26">
        <v>976.04</v>
      </c>
    </row>
    <row r="96" ht="13.5" customHeight="1">
      <c r="A96" s="19">
        <v>94.0</v>
      </c>
      <c r="B96" s="24">
        <v>278.2</v>
      </c>
      <c r="C96" s="24">
        <v>391.2</v>
      </c>
      <c r="D96" s="25">
        <v>714.2</v>
      </c>
      <c r="E96" s="25">
        <v>791.2</v>
      </c>
      <c r="F96" s="25">
        <v>819.04</v>
      </c>
      <c r="G96" s="25">
        <v>946.49</v>
      </c>
      <c r="H96" s="26">
        <v>977.21</v>
      </c>
    </row>
    <row r="97" ht="13.5" customHeight="1">
      <c r="A97" s="19">
        <v>95.0</v>
      </c>
      <c r="B97" s="28">
        <v>279.0</v>
      </c>
      <c r="C97" s="28">
        <v>392.0</v>
      </c>
      <c r="D97" s="29">
        <v>715.0</v>
      </c>
      <c r="E97" s="29">
        <v>793.54</v>
      </c>
      <c r="F97" s="29">
        <v>820.12</v>
      </c>
      <c r="G97" s="29">
        <v>947.29</v>
      </c>
      <c r="H97" s="30">
        <v>978.38</v>
      </c>
    </row>
    <row r="98" ht="13.5" customHeight="1">
      <c r="A98" s="32">
        <v>96.0</v>
      </c>
      <c r="B98" s="10">
        <v>279.8</v>
      </c>
      <c r="C98" s="10">
        <v>392.8</v>
      </c>
      <c r="D98" s="10">
        <v>715.8</v>
      </c>
      <c r="E98" s="10">
        <v>802.47</v>
      </c>
      <c r="F98" s="10">
        <v>826.33</v>
      </c>
      <c r="G98" s="10">
        <v>948.51</v>
      </c>
      <c r="H98" s="11">
        <v>979.41</v>
      </c>
    </row>
    <row r="99" ht="13.5" customHeight="1">
      <c r="A99" s="13">
        <v>97.0</v>
      </c>
      <c r="B99" s="14">
        <v>280.6</v>
      </c>
      <c r="C99" s="14">
        <v>393.6</v>
      </c>
      <c r="D99" s="14">
        <v>716.6</v>
      </c>
      <c r="E99" s="14">
        <v>803.37</v>
      </c>
      <c r="F99" s="14">
        <v>827.13</v>
      </c>
      <c r="G99" s="14">
        <v>949.31</v>
      </c>
      <c r="H99" s="15">
        <v>980.68</v>
      </c>
    </row>
    <row r="100" ht="13.5" customHeight="1">
      <c r="A100" s="13">
        <v>98.0</v>
      </c>
      <c r="B100" s="14">
        <v>281.4</v>
      </c>
      <c r="C100" s="14">
        <v>394.4</v>
      </c>
      <c r="D100" s="14">
        <v>717.4</v>
      </c>
      <c r="E100" s="14">
        <v>805.68</v>
      </c>
      <c r="F100" s="14">
        <v>840.75</v>
      </c>
      <c r="G100" s="14">
        <v>952.16</v>
      </c>
      <c r="H100" s="15">
        <v>983.0</v>
      </c>
    </row>
    <row r="101" ht="13.5" customHeight="1">
      <c r="A101" s="13">
        <v>99.0</v>
      </c>
      <c r="B101" s="14">
        <v>282.2</v>
      </c>
      <c r="C101" s="14">
        <v>395.2</v>
      </c>
      <c r="D101" s="14">
        <v>718.2</v>
      </c>
      <c r="E101" s="14">
        <v>851.87</v>
      </c>
      <c r="F101" s="14">
        <v>872.79</v>
      </c>
      <c r="G101" s="14">
        <v>1009.1</v>
      </c>
      <c r="H101" s="15">
        <v>1029.3</v>
      </c>
    </row>
    <row r="102" ht="13.5" customHeight="1">
      <c r="A102" s="16">
        <v>100.0</v>
      </c>
      <c r="B102" s="17">
        <v>283.0</v>
      </c>
      <c r="C102" s="17">
        <v>396.0</v>
      </c>
      <c r="D102" s="17">
        <v>719.0</v>
      </c>
      <c r="E102" s="17">
        <v>858.0</v>
      </c>
      <c r="F102" s="17">
        <v>876.0</v>
      </c>
      <c r="G102" s="17">
        <v>1052.0</v>
      </c>
      <c r="H102" s="18">
        <v>1097.0</v>
      </c>
    </row>
    <row r="103" ht="13.5" customHeight="1">
      <c r="A103" s="19">
        <v>101.0</v>
      </c>
      <c r="B103" s="20">
        <v>285.83</v>
      </c>
      <c r="C103" s="20">
        <v>399.96</v>
      </c>
      <c r="D103" s="21">
        <v>726.19</v>
      </c>
      <c r="E103" s="21">
        <v>866.58</v>
      </c>
      <c r="F103" s="21">
        <v>884.76</v>
      </c>
      <c r="G103" s="21">
        <v>1062.52</v>
      </c>
      <c r="H103" s="22">
        <v>1107.97</v>
      </c>
    </row>
    <row r="104" ht="13.5" customHeight="1">
      <c r="A104" s="23">
        <v>102.0</v>
      </c>
      <c r="B104" s="24">
        <v>288.66</v>
      </c>
      <c r="C104" s="24">
        <v>403.92</v>
      </c>
      <c r="D104" s="25">
        <v>733.38</v>
      </c>
      <c r="E104" s="25">
        <v>875.16</v>
      </c>
      <c r="F104" s="25">
        <v>893.52</v>
      </c>
      <c r="G104" s="25">
        <v>1073.04</v>
      </c>
      <c r="H104" s="26">
        <v>1118.94</v>
      </c>
    </row>
    <row r="105" ht="13.5" customHeight="1">
      <c r="A105" s="23">
        <v>103.0</v>
      </c>
      <c r="B105" s="24">
        <v>291.49</v>
      </c>
      <c r="C105" s="24">
        <v>407.88</v>
      </c>
      <c r="D105" s="25">
        <v>740.57</v>
      </c>
      <c r="E105" s="25">
        <v>883.74</v>
      </c>
      <c r="F105" s="25">
        <v>902.28</v>
      </c>
      <c r="G105" s="25">
        <v>1083.56</v>
      </c>
      <c r="H105" s="26">
        <v>1129.91</v>
      </c>
    </row>
    <row r="106" ht="13.5" customHeight="1">
      <c r="A106" s="23">
        <v>104.0</v>
      </c>
      <c r="B106" s="24">
        <v>294.32</v>
      </c>
      <c r="C106" s="24">
        <v>411.84</v>
      </c>
      <c r="D106" s="25">
        <v>747.76</v>
      </c>
      <c r="E106" s="25">
        <v>892.32</v>
      </c>
      <c r="F106" s="25">
        <v>911.04</v>
      </c>
      <c r="G106" s="25">
        <v>1094.08</v>
      </c>
      <c r="H106" s="26">
        <v>1140.88</v>
      </c>
    </row>
    <row r="107" ht="12.75" customHeight="1">
      <c r="A107" s="23">
        <v>105.0</v>
      </c>
      <c r="B107" s="28">
        <v>297.15</v>
      </c>
      <c r="C107" s="28">
        <v>415.8</v>
      </c>
      <c r="D107" s="29">
        <v>754.95</v>
      </c>
      <c r="E107" s="29">
        <v>900.9</v>
      </c>
      <c r="F107" s="29">
        <v>919.8</v>
      </c>
      <c r="G107" s="29">
        <v>1104.6</v>
      </c>
      <c r="H107" s="30">
        <v>1151.85</v>
      </c>
    </row>
    <row r="108" ht="12.75" customHeight="1">
      <c r="A108" s="9">
        <v>106.0</v>
      </c>
      <c r="B108" s="10">
        <v>299.98</v>
      </c>
      <c r="C108" s="10">
        <v>419.76</v>
      </c>
      <c r="D108" s="10">
        <v>762.14</v>
      </c>
      <c r="E108" s="10">
        <v>909.48</v>
      </c>
      <c r="F108" s="10">
        <v>928.56</v>
      </c>
      <c r="G108" s="10">
        <v>1115.12</v>
      </c>
      <c r="H108" s="11">
        <v>1162.82</v>
      </c>
    </row>
    <row r="109" ht="12.75" customHeight="1">
      <c r="A109" s="33">
        <v>107.0</v>
      </c>
      <c r="B109" s="14">
        <v>302.81</v>
      </c>
      <c r="C109" s="14">
        <v>423.72</v>
      </c>
      <c r="D109" s="14">
        <v>769.33</v>
      </c>
      <c r="E109" s="14">
        <v>918.06</v>
      </c>
      <c r="F109" s="14">
        <v>937.32</v>
      </c>
      <c r="G109" s="14">
        <v>1125.64</v>
      </c>
      <c r="H109" s="15">
        <v>1173.79</v>
      </c>
    </row>
    <row r="110" ht="12.75" customHeight="1">
      <c r="A110" s="33">
        <v>108.0</v>
      </c>
      <c r="B110" s="14">
        <v>305.64</v>
      </c>
      <c r="C110" s="14">
        <v>427.68</v>
      </c>
      <c r="D110" s="14">
        <v>776.52</v>
      </c>
      <c r="E110" s="14">
        <v>926.64</v>
      </c>
      <c r="F110" s="14">
        <v>946.08</v>
      </c>
      <c r="G110" s="14">
        <v>1136.16</v>
      </c>
      <c r="H110" s="15">
        <v>1184.76</v>
      </c>
    </row>
    <row r="111" ht="12.75" customHeight="1">
      <c r="A111" s="33">
        <v>109.0</v>
      </c>
      <c r="B111" s="14">
        <v>308.47</v>
      </c>
      <c r="C111" s="14">
        <v>431.64</v>
      </c>
      <c r="D111" s="14">
        <v>783.71</v>
      </c>
      <c r="E111" s="14">
        <v>935.22</v>
      </c>
      <c r="F111" s="14">
        <v>954.84</v>
      </c>
      <c r="G111" s="14">
        <v>1146.68</v>
      </c>
      <c r="H111" s="15">
        <v>1195.73</v>
      </c>
    </row>
    <row r="112" ht="12.75" customHeight="1">
      <c r="A112" s="16">
        <v>110.0</v>
      </c>
      <c r="B112" s="17">
        <v>311.3</v>
      </c>
      <c r="C112" s="17">
        <v>435.6</v>
      </c>
      <c r="D112" s="17">
        <v>790.9</v>
      </c>
      <c r="E112" s="17">
        <v>943.8</v>
      </c>
      <c r="F112" s="17">
        <v>963.6</v>
      </c>
      <c r="G112" s="17">
        <v>1157.2</v>
      </c>
      <c r="H112" s="18">
        <v>1206.7</v>
      </c>
    </row>
    <row r="113" ht="12.75" customHeight="1">
      <c r="A113" s="35">
        <v>111.0</v>
      </c>
      <c r="B113" s="20">
        <v>314.13</v>
      </c>
      <c r="C113" s="20">
        <v>439.56</v>
      </c>
      <c r="D113" s="21">
        <v>798.09</v>
      </c>
      <c r="E113" s="21">
        <v>952.38</v>
      </c>
      <c r="F113" s="21">
        <v>972.36</v>
      </c>
      <c r="G113" s="21">
        <v>1167.72</v>
      </c>
      <c r="H113" s="22">
        <v>1217.67</v>
      </c>
    </row>
    <row r="114" ht="12.75" customHeight="1">
      <c r="A114" s="23">
        <v>112.0</v>
      </c>
      <c r="B114" s="24">
        <v>316.96</v>
      </c>
      <c r="C114" s="24">
        <v>443.52</v>
      </c>
      <c r="D114" s="25">
        <v>805.28</v>
      </c>
      <c r="E114" s="25">
        <v>960.96</v>
      </c>
      <c r="F114" s="25">
        <v>981.12</v>
      </c>
      <c r="G114" s="25">
        <v>1178.24</v>
      </c>
      <c r="H114" s="26">
        <v>1228.64</v>
      </c>
    </row>
    <row r="115" ht="12.75" customHeight="1">
      <c r="A115" s="23">
        <v>113.0</v>
      </c>
      <c r="B115" s="24">
        <v>319.79</v>
      </c>
      <c r="C115" s="24">
        <v>447.48</v>
      </c>
      <c r="D115" s="25">
        <v>812.47</v>
      </c>
      <c r="E115" s="25">
        <v>969.54</v>
      </c>
      <c r="F115" s="25">
        <v>989.88</v>
      </c>
      <c r="G115" s="25">
        <v>1188.76</v>
      </c>
      <c r="H115" s="26">
        <v>1239.61</v>
      </c>
    </row>
    <row r="116" ht="12.75" customHeight="1">
      <c r="A116" s="23">
        <v>114.0</v>
      </c>
      <c r="B116" s="24">
        <v>322.62</v>
      </c>
      <c r="C116" s="24">
        <v>451.44</v>
      </c>
      <c r="D116" s="25">
        <v>819.66</v>
      </c>
      <c r="E116" s="25">
        <v>978.12</v>
      </c>
      <c r="F116" s="25">
        <v>998.64</v>
      </c>
      <c r="G116" s="25">
        <v>1199.28</v>
      </c>
      <c r="H116" s="26">
        <v>1250.58</v>
      </c>
    </row>
    <row r="117" ht="12.75" customHeight="1">
      <c r="A117" s="27">
        <v>115.0</v>
      </c>
      <c r="B117" s="28">
        <v>325.45</v>
      </c>
      <c r="C117" s="28">
        <v>455.4</v>
      </c>
      <c r="D117" s="29">
        <v>826.85</v>
      </c>
      <c r="E117" s="29">
        <v>986.7</v>
      </c>
      <c r="F117" s="29">
        <v>1007.4</v>
      </c>
      <c r="G117" s="29">
        <v>1209.8</v>
      </c>
      <c r="H117" s="30">
        <v>1261.55</v>
      </c>
    </row>
    <row r="118" ht="12.75" customHeight="1">
      <c r="A118" s="5">
        <v>116.0</v>
      </c>
      <c r="B118" s="6">
        <v>328.28</v>
      </c>
      <c r="C118" s="6">
        <v>459.36</v>
      </c>
      <c r="D118" s="6">
        <v>834.04</v>
      </c>
      <c r="E118" s="6">
        <v>995.28</v>
      </c>
      <c r="F118" s="6">
        <v>1016.16</v>
      </c>
      <c r="G118" s="6">
        <v>1220.32</v>
      </c>
      <c r="H118" s="7">
        <v>1272.52</v>
      </c>
    </row>
    <row r="119" ht="12.75" customHeight="1">
      <c r="A119" s="9">
        <v>117.0</v>
      </c>
      <c r="B119" s="10">
        <v>331.11</v>
      </c>
      <c r="C119" s="10">
        <v>463.32</v>
      </c>
      <c r="D119" s="10">
        <v>841.23</v>
      </c>
      <c r="E119" s="10">
        <v>1003.86</v>
      </c>
      <c r="F119" s="10">
        <v>1024.92</v>
      </c>
      <c r="G119" s="10">
        <v>1230.84</v>
      </c>
      <c r="H119" s="11">
        <v>1283.49</v>
      </c>
    </row>
    <row r="120" ht="12.75" customHeight="1">
      <c r="A120" s="13">
        <v>118.0</v>
      </c>
      <c r="B120" s="14">
        <v>333.94</v>
      </c>
      <c r="C120" s="14">
        <v>467.28</v>
      </c>
      <c r="D120" s="14">
        <v>848.42</v>
      </c>
      <c r="E120" s="14">
        <v>1012.44</v>
      </c>
      <c r="F120" s="14">
        <v>1033.68</v>
      </c>
      <c r="G120" s="14">
        <v>1241.36</v>
      </c>
      <c r="H120" s="15">
        <v>1294.46</v>
      </c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13">
        <v>119.0</v>
      </c>
      <c r="B121" s="14">
        <v>336.77</v>
      </c>
      <c r="C121" s="14">
        <v>471.24</v>
      </c>
      <c r="D121" s="14">
        <v>855.61</v>
      </c>
      <c r="E121" s="14">
        <v>1021.02</v>
      </c>
      <c r="F121" s="14">
        <v>1042.44</v>
      </c>
      <c r="G121" s="14">
        <v>1251.88</v>
      </c>
      <c r="H121" s="15">
        <v>1305.43</v>
      </c>
    </row>
    <row r="122" ht="12.75" customHeight="1">
      <c r="A122" s="16">
        <v>120.0</v>
      </c>
      <c r="B122" s="17">
        <v>339.6</v>
      </c>
      <c r="C122" s="17">
        <v>475.2</v>
      </c>
      <c r="D122" s="17">
        <v>862.8</v>
      </c>
      <c r="E122" s="17">
        <v>1029.6</v>
      </c>
      <c r="F122" s="17">
        <v>1051.2</v>
      </c>
      <c r="G122" s="17">
        <v>1262.4</v>
      </c>
      <c r="H122" s="18">
        <v>1316.4</v>
      </c>
    </row>
    <row r="123" ht="12.75" customHeight="1">
      <c r="A123" s="19">
        <v>121.0</v>
      </c>
      <c r="B123" s="20">
        <v>342.43</v>
      </c>
      <c r="C123" s="20">
        <v>479.16</v>
      </c>
      <c r="D123" s="21">
        <v>869.99</v>
      </c>
      <c r="E123" s="21">
        <v>1038.18</v>
      </c>
      <c r="F123" s="21">
        <v>1059.96</v>
      </c>
      <c r="G123" s="21">
        <v>1272.92</v>
      </c>
      <c r="H123" s="22">
        <v>1327.37</v>
      </c>
    </row>
    <row r="124" ht="12.75" customHeight="1">
      <c r="A124" s="23">
        <v>122.0</v>
      </c>
      <c r="B124" s="24">
        <v>345.26</v>
      </c>
      <c r="C124" s="24">
        <v>483.12</v>
      </c>
      <c r="D124" s="25">
        <v>877.18</v>
      </c>
      <c r="E124" s="25">
        <v>1046.76</v>
      </c>
      <c r="F124" s="25">
        <v>1068.72</v>
      </c>
      <c r="G124" s="25">
        <v>1283.44</v>
      </c>
      <c r="H124" s="26">
        <v>1338.34</v>
      </c>
    </row>
    <row r="125" ht="12.75" customHeight="1">
      <c r="A125" s="19">
        <v>123.0</v>
      </c>
      <c r="B125" s="24">
        <v>348.09</v>
      </c>
      <c r="C125" s="24">
        <v>487.08</v>
      </c>
      <c r="D125" s="25">
        <v>884.37</v>
      </c>
      <c r="E125" s="25">
        <v>1055.34</v>
      </c>
      <c r="F125" s="25">
        <v>1077.48</v>
      </c>
      <c r="G125" s="25">
        <v>1293.96</v>
      </c>
      <c r="H125" s="26">
        <v>1349.31</v>
      </c>
    </row>
    <row r="126" ht="12.75" customHeight="1">
      <c r="A126" s="19">
        <v>124.0</v>
      </c>
      <c r="B126" s="24">
        <v>350.92</v>
      </c>
      <c r="C126" s="24">
        <v>491.04</v>
      </c>
      <c r="D126" s="25">
        <v>891.56</v>
      </c>
      <c r="E126" s="25">
        <v>1063.92</v>
      </c>
      <c r="F126" s="25">
        <v>1086.24</v>
      </c>
      <c r="G126" s="25">
        <v>1304.48</v>
      </c>
      <c r="H126" s="26">
        <v>1360.28</v>
      </c>
    </row>
    <row r="127" ht="12.75" customHeight="1">
      <c r="A127" s="27">
        <v>125.0</v>
      </c>
      <c r="B127" s="28">
        <v>353.75</v>
      </c>
      <c r="C127" s="28">
        <v>495.0</v>
      </c>
      <c r="D127" s="29">
        <v>898.75</v>
      </c>
      <c r="E127" s="29">
        <v>1072.5</v>
      </c>
      <c r="F127" s="29">
        <v>1095.0</v>
      </c>
      <c r="G127" s="29">
        <v>1315.0</v>
      </c>
      <c r="H127" s="30">
        <v>1371.25</v>
      </c>
    </row>
    <row r="128" ht="12.75" customHeight="1">
      <c r="A128" s="13">
        <v>126.0</v>
      </c>
      <c r="B128" s="10">
        <v>356.58</v>
      </c>
      <c r="C128" s="10">
        <v>498.96</v>
      </c>
      <c r="D128" s="10">
        <v>905.94</v>
      </c>
      <c r="E128" s="10">
        <v>1081.08</v>
      </c>
      <c r="F128" s="10">
        <v>1103.76</v>
      </c>
      <c r="G128" s="10">
        <v>1325.52</v>
      </c>
      <c r="H128" s="11">
        <v>1382.22</v>
      </c>
    </row>
    <row r="129" ht="12.75" customHeight="1">
      <c r="A129" s="13">
        <v>127.0</v>
      </c>
      <c r="B129" s="14">
        <v>359.41</v>
      </c>
      <c r="C129" s="14">
        <v>502.92</v>
      </c>
      <c r="D129" s="14">
        <v>913.13</v>
      </c>
      <c r="E129" s="14">
        <v>1089.66</v>
      </c>
      <c r="F129" s="14">
        <v>1112.52</v>
      </c>
      <c r="G129" s="14">
        <v>1336.04</v>
      </c>
      <c r="H129" s="15">
        <v>1393.19</v>
      </c>
    </row>
    <row r="130" ht="12.75" customHeight="1">
      <c r="A130" s="13">
        <v>128.0</v>
      </c>
      <c r="B130" s="14">
        <v>362.24</v>
      </c>
      <c r="C130" s="14">
        <v>506.88</v>
      </c>
      <c r="D130" s="14">
        <v>920.32</v>
      </c>
      <c r="E130" s="14">
        <v>1098.24</v>
      </c>
      <c r="F130" s="14">
        <v>1121.28</v>
      </c>
      <c r="G130" s="14">
        <v>1346.56</v>
      </c>
      <c r="H130" s="15">
        <v>1404.16</v>
      </c>
    </row>
    <row r="131" ht="12.75" customHeight="1">
      <c r="A131" s="13">
        <v>129.0</v>
      </c>
      <c r="B131" s="14">
        <v>365.07</v>
      </c>
      <c r="C131" s="14">
        <v>510.84</v>
      </c>
      <c r="D131" s="14">
        <v>927.51</v>
      </c>
      <c r="E131" s="14">
        <v>1106.82</v>
      </c>
      <c r="F131" s="14">
        <v>1130.04</v>
      </c>
      <c r="G131" s="14">
        <v>1357.08</v>
      </c>
      <c r="H131" s="15">
        <v>1415.13</v>
      </c>
    </row>
    <row r="132" ht="12.75" customHeight="1">
      <c r="A132" s="13">
        <v>130.0</v>
      </c>
      <c r="B132" s="17">
        <v>367.9</v>
      </c>
      <c r="C132" s="17">
        <v>514.8</v>
      </c>
      <c r="D132" s="17">
        <v>934.7</v>
      </c>
      <c r="E132" s="17">
        <v>1115.4</v>
      </c>
      <c r="F132" s="17">
        <v>1138.8</v>
      </c>
      <c r="G132" s="17">
        <v>1367.6</v>
      </c>
      <c r="H132" s="18">
        <v>1426.1</v>
      </c>
    </row>
    <row r="133" ht="12.75" customHeight="1">
      <c r="A133" s="31">
        <v>131.0</v>
      </c>
      <c r="B133" s="20">
        <v>370.73</v>
      </c>
      <c r="C133" s="20">
        <v>518.76</v>
      </c>
      <c r="D133" s="21">
        <v>941.89</v>
      </c>
      <c r="E133" s="21">
        <v>1123.98</v>
      </c>
      <c r="F133" s="21">
        <v>1147.56</v>
      </c>
      <c r="G133" s="21">
        <v>1378.12</v>
      </c>
      <c r="H133" s="22">
        <v>1437.07</v>
      </c>
    </row>
    <row r="134" ht="12.75" customHeight="1">
      <c r="A134" s="19">
        <v>132.0</v>
      </c>
      <c r="B134" s="24">
        <v>373.56</v>
      </c>
      <c r="C134" s="24">
        <v>522.72</v>
      </c>
      <c r="D134" s="25">
        <v>949.08</v>
      </c>
      <c r="E134" s="25">
        <v>1132.56</v>
      </c>
      <c r="F134" s="25">
        <v>1156.32</v>
      </c>
      <c r="G134" s="25">
        <v>1388.64</v>
      </c>
      <c r="H134" s="26">
        <v>1448.04</v>
      </c>
    </row>
    <row r="135" ht="12.75" customHeight="1">
      <c r="A135" s="19">
        <v>133.0</v>
      </c>
      <c r="B135" s="24">
        <v>376.39</v>
      </c>
      <c r="C135" s="24">
        <v>526.68</v>
      </c>
      <c r="D135" s="25">
        <v>956.27</v>
      </c>
      <c r="E135" s="25">
        <v>1141.14</v>
      </c>
      <c r="F135" s="25">
        <v>1165.08</v>
      </c>
      <c r="G135" s="25">
        <v>1399.16</v>
      </c>
      <c r="H135" s="26">
        <v>1459.01</v>
      </c>
    </row>
    <row r="136" ht="12.75" customHeight="1">
      <c r="A136" s="19">
        <v>134.0</v>
      </c>
      <c r="B136" s="24">
        <v>379.22</v>
      </c>
      <c r="C136" s="24">
        <v>530.64</v>
      </c>
      <c r="D136" s="25">
        <v>963.46</v>
      </c>
      <c r="E136" s="25">
        <v>1149.72</v>
      </c>
      <c r="F136" s="25">
        <v>1173.84</v>
      </c>
      <c r="G136" s="25">
        <v>1409.68</v>
      </c>
      <c r="H136" s="26">
        <v>1469.98</v>
      </c>
    </row>
    <row r="137" ht="12.75" customHeight="1">
      <c r="A137" s="19">
        <v>135.0</v>
      </c>
      <c r="B137" s="28">
        <v>382.05</v>
      </c>
      <c r="C137" s="28">
        <v>534.6</v>
      </c>
      <c r="D137" s="29">
        <v>970.65</v>
      </c>
      <c r="E137" s="29">
        <v>1158.3</v>
      </c>
      <c r="F137" s="29">
        <v>1182.6</v>
      </c>
      <c r="G137" s="29">
        <v>1420.2</v>
      </c>
      <c r="H137" s="30">
        <v>1480.95</v>
      </c>
    </row>
    <row r="138" ht="12.75" customHeight="1">
      <c r="A138" s="32">
        <v>136.0</v>
      </c>
      <c r="B138" s="10">
        <v>384.88</v>
      </c>
      <c r="C138" s="10">
        <v>538.56</v>
      </c>
      <c r="D138" s="10">
        <v>977.84</v>
      </c>
      <c r="E138" s="10">
        <v>1166.88</v>
      </c>
      <c r="F138" s="10">
        <v>1191.36</v>
      </c>
      <c r="G138" s="10">
        <v>1430.72</v>
      </c>
      <c r="H138" s="11">
        <v>1491.92</v>
      </c>
    </row>
    <row r="139" ht="12.75" customHeight="1">
      <c r="A139" s="13">
        <v>137.0</v>
      </c>
      <c r="B139" s="14">
        <v>387.71</v>
      </c>
      <c r="C139" s="14">
        <v>542.52</v>
      </c>
      <c r="D139" s="14">
        <v>985.03</v>
      </c>
      <c r="E139" s="14">
        <v>1175.46</v>
      </c>
      <c r="F139" s="14">
        <v>1200.12</v>
      </c>
      <c r="G139" s="14">
        <v>1441.24</v>
      </c>
      <c r="H139" s="15">
        <v>1502.89</v>
      </c>
    </row>
    <row r="140" ht="12.75" customHeight="1">
      <c r="A140" s="13">
        <v>138.0</v>
      </c>
      <c r="B140" s="14">
        <v>390.54</v>
      </c>
      <c r="C140" s="14">
        <v>546.48</v>
      </c>
      <c r="D140" s="14">
        <v>992.22</v>
      </c>
      <c r="E140" s="14">
        <v>1184.04</v>
      </c>
      <c r="F140" s="14">
        <v>1208.88</v>
      </c>
      <c r="G140" s="14">
        <v>1451.76</v>
      </c>
      <c r="H140" s="15">
        <v>1513.86</v>
      </c>
    </row>
    <row r="141" ht="12.75" customHeight="1">
      <c r="A141" s="13">
        <v>139.0</v>
      </c>
      <c r="B141" s="14">
        <v>393.37</v>
      </c>
      <c r="C141" s="14">
        <v>550.44</v>
      </c>
      <c r="D141" s="14">
        <v>999.41</v>
      </c>
      <c r="E141" s="14">
        <v>1192.62</v>
      </c>
      <c r="F141" s="14">
        <v>1217.64</v>
      </c>
      <c r="G141" s="14">
        <v>1462.28</v>
      </c>
      <c r="H141" s="15">
        <v>1524.83</v>
      </c>
    </row>
    <row r="142" ht="12.75" customHeight="1">
      <c r="A142" s="16">
        <v>140.0</v>
      </c>
      <c r="B142" s="17">
        <v>396.2</v>
      </c>
      <c r="C142" s="17">
        <v>554.4</v>
      </c>
      <c r="D142" s="17">
        <v>1006.6</v>
      </c>
      <c r="E142" s="17">
        <v>1201.2</v>
      </c>
      <c r="F142" s="17">
        <v>1226.4</v>
      </c>
      <c r="G142" s="17">
        <v>1472.8</v>
      </c>
      <c r="H142" s="18">
        <v>1535.8</v>
      </c>
    </row>
    <row r="143" ht="12.75" customHeight="1">
      <c r="A143" s="19">
        <v>141.0</v>
      </c>
      <c r="B143" s="20">
        <v>399.03</v>
      </c>
      <c r="C143" s="20">
        <v>558.36</v>
      </c>
      <c r="D143" s="21">
        <v>1013.79</v>
      </c>
      <c r="E143" s="21">
        <v>1209.78</v>
      </c>
      <c r="F143" s="21">
        <v>1235.16</v>
      </c>
      <c r="G143" s="21">
        <v>1483.32</v>
      </c>
      <c r="H143" s="22">
        <v>1546.77</v>
      </c>
    </row>
    <row r="144" ht="12.75" customHeight="1">
      <c r="A144" s="23">
        <v>142.0</v>
      </c>
      <c r="B144" s="24">
        <v>401.86</v>
      </c>
      <c r="C144" s="24">
        <v>562.32</v>
      </c>
      <c r="D144" s="25">
        <v>1020.98</v>
      </c>
      <c r="E144" s="25">
        <v>1218.36</v>
      </c>
      <c r="F144" s="25">
        <v>1243.92</v>
      </c>
      <c r="G144" s="25">
        <v>1493.84</v>
      </c>
      <c r="H144" s="26">
        <v>1557.74</v>
      </c>
    </row>
    <row r="145" ht="12.75" customHeight="1">
      <c r="A145" s="23">
        <v>143.0</v>
      </c>
      <c r="B145" s="24">
        <v>404.69</v>
      </c>
      <c r="C145" s="24">
        <v>566.28</v>
      </c>
      <c r="D145" s="25">
        <v>1028.17</v>
      </c>
      <c r="E145" s="25">
        <v>1226.94</v>
      </c>
      <c r="F145" s="25">
        <v>1252.68</v>
      </c>
      <c r="G145" s="25">
        <v>1504.36</v>
      </c>
      <c r="H145" s="26">
        <v>1568.71</v>
      </c>
    </row>
    <row r="146" ht="12.75" customHeight="1">
      <c r="A146" s="23">
        <v>144.0</v>
      </c>
      <c r="B146" s="24">
        <v>407.52</v>
      </c>
      <c r="C146" s="24">
        <v>570.24</v>
      </c>
      <c r="D146" s="25">
        <v>1035.36</v>
      </c>
      <c r="E146" s="25">
        <v>1235.52</v>
      </c>
      <c r="F146" s="25">
        <v>1261.44</v>
      </c>
      <c r="G146" s="25">
        <v>1514.88</v>
      </c>
      <c r="H146" s="26">
        <v>1579.68</v>
      </c>
    </row>
    <row r="147" ht="12.75" customHeight="1">
      <c r="A147" s="23">
        <v>145.0</v>
      </c>
      <c r="B147" s="28">
        <v>410.35</v>
      </c>
      <c r="C147" s="28">
        <v>574.2</v>
      </c>
      <c r="D147" s="29">
        <v>1042.55</v>
      </c>
      <c r="E147" s="29">
        <v>1244.1</v>
      </c>
      <c r="F147" s="29">
        <v>1270.2</v>
      </c>
      <c r="G147" s="29">
        <v>1525.4</v>
      </c>
      <c r="H147" s="30">
        <v>1590.65</v>
      </c>
    </row>
    <row r="148" ht="12.75" customHeight="1">
      <c r="A148" s="9">
        <v>146.0</v>
      </c>
      <c r="B148" s="10">
        <v>413.18</v>
      </c>
      <c r="C148" s="10">
        <v>578.16</v>
      </c>
      <c r="D148" s="10">
        <v>1049.74</v>
      </c>
      <c r="E148" s="10">
        <v>1252.68</v>
      </c>
      <c r="F148" s="10">
        <v>1278.96</v>
      </c>
      <c r="G148" s="10">
        <v>1535.92</v>
      </c>
      <c r="H148" s="11">
        <v>1601.62</v>
      </c>
    </row>
    <row r="149" ht="12.75" customHeight="1">
      <c r="A149" s="33">
        <v>147.0</v>
      </c>
      <c r="B149" s="14">
        <v>416.01</v>
      </c>
      <c r="C149" s="14">
        <v>582.12</v>
      </c>
      <c r="D149" s="14">
        <v>1056.93</v>
      </c>
      <c r="E149" s="14">
        <v>1261.26</v>
      </c>
      <c r="F149" s="14">
        <v>1287.72</v>
      </c>
      <c r="G149" s="14">
        <v>1546.44</v>
      </c>
      <c r="H149" s="15">
        <v>1612.59</v>
      </c>
    </row>
    <row r="150" ht="12.75" customHeight="1">
      <c r="A150" s="33">
        <v>148.0</v>
      </c>
      <c r="B150" s="14">
        <v>418.84</v>
      </c>
      <c r="C150" s="14">
        <v>586.08</v>
      </c>
      <c r="D150" s="14">
        <v>1064.12</v>
      </c>
      <c r="E150" s="14">
        <v>1269.84</v>
      </c>
      <c r="F150" s="14">
        <v>1296.48</v>
      </c>
      <c r="G150" s="14">
        <v>1556.96</v>
      </c>
      <c r="H150" s="15">
        <v>1623.56</v>
      </c>
    </row>
    <row r="151" ht="12.75" customHeight="1">
      <c r="A151" s="33">
        <v>149.0</v>
      </c>
      <c r="B151" s="14">
        <v>421.67</v>
      </c>
      <c r="C151" s="14">
        <v>590.04</v>
      </c>
      <c r="D151" s="14">
        <v>1071.31</v>
      </c>
      <c r="E151" s="14">
        <v>1278.42</v>
      </c>
      <c r="F151" s="14">
        <v>1305.24</v>
      </c>
      <c r="G151" s="14">
        <v>1567.48</v>
      </c>
      <c r="H151" s="15">
        <v>1634.53</v>
      </c>
    </row>
    <row r="152" ht="12.75" customHeight="1">
      <c r="A152" s="16">
        <v>150.0</v>
      </c>
      <c r="B152" s="17">
        <v>424.5</v>
      </c>
      <c r="C152" s="17">
        <v>594.0</v>
      </c>
      <c r="D152" s="17">
        <v>1078.5</v>
      </c>
      <c r="E152" s="17">
        <v>1287.0</v>
      </c>
      <c r="F152" s="17">
        <v>1314.0</v>
      </c>
      <c r="G152" s="17">
        <v>1578.0</v>
      </c>
      <c r="H152" s="18">
        <v>1645.5</v>
      </c>
    </row>
    <row r="153" ht="12.75" customHeight="1">
      <c r="A153" s="36" t="s">
        <v>2</v>
      </c>
      <c r="B153" s="37">
        <v>2.83</v>
      </c>
      <c r="C153" s="37">
        <v>3.96</v>
      </c>
      <c r="D153" s="37">
        <v>7.19</v>
      </c>
      <c r="E153" s="37">
        <v>8.58</v>
      </c>
      <c r="F153" s="37">
        <v>8.76</v>
      </c>
      <c r="G153" s="37">
        <v>10.52</v>
      </c>
      <c r="H153" s="37">
        <v>10.97</v>
      </c>
    </row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57" footer="0.0" header="0.0" left="0.75" right="0.75" top="0.51"/>
  <pageSetup scale="92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00"/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6.0"/>
    <col customWidth="1" min="2" max="3" width="5.75"/>
    <col customWidth="1" min="4" max="8" width="6.63"/>
    <col customWidth="1" min="9" max="9" width="11.38"/>
    <col customWidth="1" min="10" max="10" width="11.13"/>
    <col customWidth="1" min="11" max="11" width="10.75"/>
    <col customWidth="1" min="12" max="12" width="10.38"/>
    <col customWidth="1" min="13" max="26" width="8.63"/>
  </cols>
  <sheetData>
    <row r="1" ht="12.75" customHeight="1">
      <c r="A1" s="1"/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3" t="s">
        <v>3</v>
      </c>
      <c r="J1" s="3" t="s">
        <v>4</v>
      </c>
      <c r="K1" s="3" t="s">
        <v>5</v>
      </c>
      <c r="L1" s="3" t="s">
        <v>6</v>
      </c>
    </row>
    <row r="2" ht="12.75" customHeight="1">
      <c r="A2" s="1" t="s">
        <v>1</v>
      </c>
      <c r="B2" s="3">
        <v>2.0</v>
      </c>
      <c r="C2" s="3">
        <v>3.0</v>
      </c>
      <c r="D2" s="3">
        <v>4.0</v>
      </c>
      <c r="E2" s="3">
        <v>5.0</v>
      </c>
      <c r="F2" s="3">
        <v>6.0</v>
      </c>
      <c r="G2" s="3">
        <v>7.0</v>
      </c>
      <c r="H2" s="3">
        <v>8.0</v>
      </c>
      <c r="I2" s="3">
        <v>9.0</v>
      </c>
      <c r="J2" s="3">
        <v>10.0</v>
      </c>
      <c r="K2" s="3">
        <v>11.0</v>
      </c>
      <c r="L2" s="3">
        <v>12.0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>
        <v>1.0</v>
      </c>
      <c r="B3" s="6">
        <v>42.31</v>
      </c>
      <c r="C3" s="6">
        <v>62.71</v>
      </c>
      <c r="D3" s="6">
        <v>80.4</v>
      </c>
      <c r="E3" s="6">
        <v>88.9</v>
      </c>
      <c r="F3" s="6">
        <v>93.59</v>
      </c>
      <c r="G3" s="6">
        <v>103.8</v>
      </c>
      <c r="H3" s="7">
        <v>106.55</v>
      </c>
      <c r="I3" s="6">
        <v>122.26</v>
      </c>
      <c r="J3" s="6">
        <v>122.26</v>
      </c>
      <c r="K3" s="7">
        <v>126.36</v>
      </c>
      <c r="L3" s="7">
        <v>126.36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9">
        <v>2.0</v>
      </c>
      <c r="B4" s="10">
        <v>42.87</v>
      </c>
      <c r="C4" s="10">
        <v>63.09</v>
      </c>
      <c r="D4" s="10">
        <v>87.79</v>
      </c>
      <c r="E4" s="10">
        <v>95.45</v>
      </c>
      <c r="F4" s="10">
        <v>98.3</v>
      </c>
      <c r="G4" s="10">
        <v>110.68</v>
      </c>
      <c r="H4" s="11">
        <v>122.02</v>
      </c>
      <c r="I4" s="10">
        <v>133.43</v>
      </c>
      <c r="J4" s="10">
        <v>133.43</v>
      </c>
      <c r="K4" s="11">
        <v>138.74</v>
      </c>
      <c r="L4" s="11">
        <v>138.74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13">
        <v>3.0</v>
      </c>
      <c r="B5" s="14">
        <v>46.77</v>
      </c>
      <c r="C5" s="14">
        <v>69.97</v>
      </c>
      <c r="D5" s="14">
        <v>97.23</v>
      </c>
      <c r="E5" s="14">
        <v>109.09</v>
      </c>
      <c r="F5" s="14">
        <v>117.31</v>
      </c>
      <c r="G5" s="14">
        <v>128.81</v>
      </c>
      <c r="H5" s="15">
        <v>133.39</v>
      </c>
      <c r="I5" s="14">
        <v>143.63</v>
      </c>
      <c r="J5" s="14">
        <v>143.63</v>
      </c>
      <c r="K5" s="15">
        <v>171.31</v>
      </c>
      <c r="L5" s="15">
        <v>171.31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13">
        <v>4.0</v>
      </c>
      <c r="B6" s="14">
        <v>51.02</v>
      </c>
      <c r="C6" s="14">
        <v>71.44</v>
      </c>
      <c r="D6" s="14">
        <v>108.75</v>
      </c>
      <c r="E6" s="14">
        <v>119.46</v>
      </c>
      <c r="F6" s="14">
        <v>123.81</v>
      </c>
      <c r="G6" s="14">
        <v>139.9</v>
      </c>
      <c r="H6" s="15">
        <v>145.16</v>
      </c>
      <c r="I6" s="14">
        <v>163.57</v>
      </c>
      <c r="J6" s="14">
        <v>163.57</v>
      </c>
      <c r="K6" s="15">
        <v>192.37</v>
      </c>
      <c r="L6" s="15">
        <v>192.37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16">
        <v>5.0</v>
      </c>
      <c r="B7" s="17">
        <v>51.45</v>
      </c>
      <c r="C7" s="17">
        <v>71.87</v>
      </c>
      <c r="D7" s="17">
        <v>111.05</v>
      </c>
      <c r="E7" s="17">
        <v>120.53</v>
      </c>
      <c r="F7" s="17">
        <v>124.96</v>
      </c>
      <c r="G7" s="17">
        <v>141.84</v>
      </c>
      <c r="H7" s="18">
        <v>146.36</v>
      </c>
      <c r="I7" s="17">
        <v>177.03</v>
      </c>
      <c r="J7" s="17">
        <v>177.03</v>
      </c>
      <c r="K7" s="18">
        <v>202.34</v>
      </c>
      <c r="L7" s="18">
        <v>202.34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9">
        <v>6.0</v>
      </c>
      <c r="B8" s="20">
        <v>58.98</v>
      </c>
      <c r="C8" s="20">
        <v>80.39</v>
      </c>
      <c r="D8" s="21">
        <v>124.88</v>
      </c>
      <c r="E8" s="21">
        <v>140.97</v>
      </c>
      <c r="F8" s="21">
        <v>147.46</v>
      </c>
      <c r="G8" s="21">
        <v>162.69</v>
      </c>
      <c r="H8" s="22">
        <v>169.69</v>
      </c>
      <c r="I8" s="21">
        <v>189.85</v>
      </c>
      <c r="J8" s="21">
        <v>189.85</v>
      </c>
      <c r="K8" s="22">
        <v>216.53</v>
      </c>
      <c r="L8" s="22">
        <v>216.53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3">
        <v>7.0</v>
      </c>
      <c r="B9" s="24">
        <v>59.74</v>
      </c>
      <c r="C9" s="24">
        <v>84.59</v>
      </c>
      <c r="D9" s="25">
        <v>130.46</v>
      </c>
      <c r="E9" s="25">
        <v>147.91</v>
      </c>
      <c r="F9" s="25">
        <v>153.53</v>
      </c>
      <c r="G9" s="25">
        <v>169.81</v>
      </c>
      <c r="H9" s="26">
        <v>181.3</v>
      </c>
      <c r="I9" s="25">
        <v>202.41</v>
      </c>
      <c r="J9" s="25">
        <v>202.41</v>
      </c>
      <c r="K9" s="26">
        <v>230.72</v>
      </c>
      <c r="L9" s="26">
        <v>230.72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19">
        <v>8.0</v>
      </c>
      <c r="B10" s="24">
        <v>60.0</v>
      </c>
      <c r="C10" s="24">
        <v>85.01</v>
      </c>
      <c r="D10" s="25">
        <v>136.13</v>
      </c>
      <c r="E10" s="25">
        <v>153.66</v>
      </c>
      <c r="F10" s="25">
        <v>160.76</v>
      </c>
      <c r="G10" s="25">
        <v>179.84</v>
      </c>
      <c r="H10" s="26">
        <v>186.94</v>
      </c>
      <c r="I10" s="25">
        <v>214.66</v>
      </c>
      <c r="J10" s="25">
        <v>214.66</v>
      </c>
      <c r="K10" s="26">
        <v>241.54</v>
      </c>
      <c r="L10" s="26">
        <v>241.54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19">
        <v>9.0</v>
      </c>
      <c r="B11" s="24">
        <v>60.27</v>
      </c>
      <c r="C11" s="24">
        <v>85.59</v>
      </c>
      <c r="D11" s="25">
        <v>140.97</v>
      </c>
      <c r="E11" s="25">
        <v>154.24</v>
      </c>
      <c r="F11" s="25">
        <v>161.49</v>
      </c>
      <c r="G11" s="25">
        <v>180.85</v>
      </c>
      <c r="H11" s="26">
        <v>187.52</v>
      </c>
      <c r="I11" s="25">
        <v>228.54</v>
      </c>
      <c r="J11" s="25">
        <v>228.54</v>
      </c>
      <c r="K11" s="26">
        <v>254.78</v>
      </c>
      <c r="L11" s="26">
        <v>254.78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">
        <v>10.0</v>
      </c>
      <c r="B12" s="28">
        <v>60.81</v>
      </c>
      <c r="C12" s="28">
        <v>86.71</v>
      </c>
      <c r="D12" s="29">
        <v>142.56</v>
      </c>
      <c r="E12" s="29">
        <v>156.39</v>
      </c>
      <c r="F12" s="29">
        <v>163.73</v>
      </c>
      <c r="G12" s="29">
        <v>182.6</v>
      </c>
      <c r="H12" s="30">
        <v>189.17</v>
      </c>
      <c r="I12" s="29">
        <v>241.92</v>
      </c>
      <c r="J12" s="29">
        <v>241.92</v>
      </c>
      <c r="K12" s="30">
        <v>256.47</v>
      </c>
      <c r="L12" s="30">
        <v>256.47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>
        <v>11.0</v>
      </c>
      <c r="B13" s="10">
        <v>71.44</v>
      </c>
      <c r="C13" s="10">
        <v>102.1</v>
      </c>
      <c r="D13" s="10">
        <v>173.91</v>
      </c>
      <c r="E13" s="10">
        <v>199.39</v>
      </c>
      <c r="F13" s="10">
        <v>208.22</v>
      </c>
      <c r="G13" s="10">
        <v>217.53</v>
      </c>
      <c r="H13" s="11">
        <v>221.89</v>
      </c>
      <c r="I13" s="10">
        <v>262.9</v>
      </c>
      <c r="J13" s="10">
        <v>262.9</v>
      </c>
      <c r="K13" s="11">
        <v>290.19</v>
      </c>
      <c r="L13" s="11">
        <v>290.19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13">
        <v>12.0</v>
      </c>
      <c r="B14" s="14">
        <v>73.12</v>
      </c>
      <c r="C14" s="14">
        <v>105.48</v>
      </c>
      <c r="D14" s="14">
        <v>177.82</v>
      </c>
      <c r="E14" s="14">
        <v>208.83</v>
      </c>
      <c r="F14" s="14">
        <v>217.04</v>
      </c>
      <c r="G14" s="14">
        <v>222.1</v>
      </c>
      <c r="H14" s="15">
        <v>226.56</v>
      </c>
      <c r="I14" s="14">
        <v>280.62</v>
      </c>
      <c r="J14" s="14">
        <v>280.62</v>
      </c>
      <c r="K14" s="15">
        <v>302.13</v>
      </c>
      <c r="L14" s="15">
        <v>302.13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3">
        <v>13.0</v>
      </c>
      <c r="B15" s="14">
        <v>73.39</v>
      </c>
      <c r="C15" s="14">
        <v>106.52</v>
      </c>
      <c r="D15" s="14">
        <v>181.81</v>
      </c>
      <c r="E15" s="14">
        <v>213.46</v>
      </c>
      <c r="F15" s="14">
        <v>217.93</v>
      </c>
      <c r="G15" s="14">
        <v>241.81</v>
      </c>
      <c r="H15" s="15">
        <v>246.66</v>
      </c>
      <c r="I15" s="14">
        <v>290.66</v>
      </c>
      <c r="J15" s="14">
        <v>290.66</v>
      </c>
      <c r="K15" s="15">
        <v>308.03</v>
      </c>
      <c r="L15" s="15">
        <v>308.03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>
        <v>14.0</v>
      </c>
      <c r="B16" s="14">
        <v>74.89</v>
      </c>
      <c r="C16" s="14">
        <v>107.8</v>
      </c>
      <c r="D16" s="14">
        <v>189.78</v>
      </c>
      <c r="E16" s="14">
        <v>213.93</v>
      </c>
      <c r="F16" s="14">
        <v>218.22</v>
      </c>
      <c r="G16" s="14">
        <v>243.79</v>
      </c>
      <c r="H16" s="15">
        <v>248.68</v>
      </c>
      <c r="I16" s="14">
        <v>291.67</v>
      </c>
      <c r="J16" s="14">
        <v>291.67</v>
      </c>
      <c r="K16" s="15">
        <v>308.63</v>
      </c>
      <c r="L16" s="15">
        <v>308.63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13">
        <v>15.0</v>
      </c>
      <c r="B17" s="17">
        <v>75.16</v>
      </c>
      <c r="C17" s="17">
        <v>108.46</v>
      </c>
      <c r="D17" s="17">
        <v>193.08</v>
      </c>
      <c r="E17" s="17">
        <v>215.28</v>
      </c>
      <c r="F17" s="17">
        <v>219.59</v>
      </c>
      <c r="G17" s="17">
        <v>245.05</v>
      </c>
      <c r="H17" s="18">
        <v>249.96</v>
      </c>
      <c r="I17" s="17">
        <v>311.76</v>
      </c>
      <c r="J17" s="17">
        <v>311.76</v>
      </c>
      <c r="K17" s="18">
        <v>320.44</v>
      </c>
      <c r="L17" s="18">
        <v>320.44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1">
        <v>16.0</v>
      </c>
      <c r="B18" s="20">
        <v>80.04</v>
      </c>
      <c r="C18" s="20">
        <v>121.44</v>
      </c>
      <c r="D18" s="21">
        <v>206.67</v>
      </c>
      <c r="E18" s="21">
        <v>242.13</v>
      </c>
      <c r="F18" s="21">
        <v>246.98</v>
      </c>
      <c r="G18" s="21">
        <v>269.84</v>
      </c>
      <c r="H18" s="22">
        <v>275.24</v>
      </c>
      <c r="I18" s="21">
        <v>324.12</v>
      </c>
      <c r="J18" s="21">
        <v>324.12</v>
      </c>
      <c r="K18" s="22">
        <v>333.99</v>
      </c>
      <c r="L18" s="22">
        <v>333.99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9">
        <v>17.0</v>
      </c>
      <c r="B19" s="24">
        <v>84.64</v>
      </c>
      <c r="C19" s="24">
        <v>122.74</v>
      </c>
      <c r="D19" s="25">
        <v>218.2</v>
      </c>
      <c r="E19" s="25">
        <v>244.82</v>
      </c>
      <c r="F19" s="25">
        <v>249.73</v>
      </c>
      <c r="G19" s="25">
        <v>272.32</v>
      </c>
      <c r="H19" s="26">
        <v>277.78</v>
      </c>
      <c r="I19" s="25">
        <v>331.32</v>
      </c>
      <c r="J19" s="25">
        <v>331.32</v>
      </c>
      <c r="K19" s="26">
        <v>349.67</v>
      </c>
      <c r="L19" s="26">
        <v>349.67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9">
        <v>18.0</v>
      </c>
      <c r="B20" s="24">
        <v>85.32</v>
      </c>
      <c r="C20" s="24">
        <v>123.41</v>
      </c>
      <c r="D20" s="25">
        <v>219.53</v>
      </c>
      <c r="E20" s="25">
        <v>245.11</v>
      </c>
      <c r="F20" s="25">
        <v>250.03</v>
      </c>
      <c r="G20" s="25">
        <v>272.58</v>
      </c>
      <c r="H20" s="26">
        <v>278.04</v>
      </c>
      <c r="I20" s="25">
        <v>339.51</v>
      </c>
      <c r="J20" s="25">
        <v>339.51</v>
      </c>
      <c r="K20" s="26">
        <v>363.16</v>
      </c>
      <c r="L20" s="26">
        <v>363.16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9">
        <v>19.0</v>
      </c>
      <c r="B21" s="24">
        <v>85.87</v>
      </c>
      <c r="C21" s="24">
        <v>123.68</v>
      </c>
      <c r="D21" s="25">
        <v>219.78</v>
      </c>
      <c r="E21" s="25">
        <v>245.35</v>
      </c>
      <c r="F21" s="25">
        <v>250.26</v>
      </c>
      <c r="G21" s="25">
        <v>272.83</v>
      </c>
      <c r="H21" s="26">
        <v>278.29</v>
      </c>
      <c r="I21" s="25">
        <v>350.79</v>
      </c>
      <c r="J21" s="25">
        <v>350.79</v>
      </c>
      <c r="K21" s="26">
        <v>372.66</v>
      </c>
      <c r="L21" s="26">
        <v>372.66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19">
        <v>20.0</v>
      </c>
      <c r="B22" s="28">
        <v>86.31</v>
      </c>
      <c r="C22" s="28">
        <v>124.22</v>
      </c>
      <c r="D22" s="29">
        <v>220.8</v>
      </c>
      <c r="E22" s="29">
        <v>245.84</v>
      </c>
      <c r="F22" s="29">
        <v>251.04</v>
      </c>
      <c r="G22" s="29">
        <v>273.63</v>
      </c>
      <c r="H22" s="30">
        <v>279.68</v>
      </c>
      <c r="I22" s="29">
        <v>357.69</v>
      </c>
      <c r="J22" s="29">
        <v>357.69</v>
      </c>
      <c r="K22" s="30">
        <v>389.0</v>
      </c>
      <c r="L22" s="30">
        <v>389.0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">
        <v>21.0</v>
      </c>
      <c r="B23" s="10">
        <v>90.08</v>
      </c>
      <c r="C23" s="10">
        <v>129.9</v>
      </c>
      <c r="D23" s="10">
        <v>240.88</v>
      </c>
      <c r="E23" s="10">
        <v>255.31</v>
      </c>
      <c r="F23" s="10">
        <v>266.38</v>
      </c>
      <c r="G23" s="10">
        <v>289.29</v>
      </c>
      <c r="H23" s="11">
        <v>307.16</v>
      </c>
      <c r="I23" s="10">
        <v>365.92</v>
      </c>
      <c r="J23" s="10">
        <v>365.92</v>
      </c>
      <c r="K23" s="11">
        <v>406.79</v>
      </c>
      <c r="L23" s="11">
        <v>406.79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3">
        <v>22.0</v>
      </c>
      <c r="B24" s="14">
        <v>94.22</v>
      </c>
      <c r="C24" s="14">
        <v>137.09</v>
      </c>
      <c r="D24" s="14">
        <v>247.09</v>
      </c>
      <c r="E24" s="14">
        <v>262.71</v>
      </c>
      <c r="F24" s="14">
        <v>268.26</v>
      </c>
      <c r="G24" s="14">
        <v>303.57</v>
      </c>
      <c r="H24" s="15">
        <v>317.58</v>
      </c>
      <c r="I24" s="14">
        <v>374.13</v>
      </c>
      <c r="J24" s="14">
        <v>374.13</v>
      </c>
      <c r="K24" s="15">
        <v>408.57</v>
      </c>
      <c r="L24" s="15">
        <v>408.57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3">
        <v>23.0</v>
      </c>
      <c r="B25" s="14">
        <v>94.74</v>
      </c>
      <c r="C25" s="14">
        <v>137.83</v>
      </c>
      <c r="D25" s="14">
        <v>253.94</v>
      </c>
      <c r="E25" s="14">
        <v>275.22</v>
      </c>
      <c r="F25" s="14">
        <v>289.9</v>
      </c>
      <c r="G25" s="14">
        <v>320.17</v>
      </c>
      <c r="H25" s="15">
        <v>326.59</v>
      </c>
      <c r="I25" s="14">
        <v>384.3</v>
      </c>
      <c r="J25" s="14">
        <v>384.3</v>
      </c>
      <c r="K25" s="15">
        <v>421.15</v>
      </c>
      <c r="L25" s="15">
        <v>421.15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3">
        <v>24.0</v>
      </c>
      <c r="B26" s="14">
        <v>97.25</v>
      </c>
      <c r="C26" s="14">
        <v>138.4</v>
      </c>
      <c r="D26" s="14">
        <v>257.58</v>
      </c>
      <c r="E26" s="14">
        <v>286.33</v>
      </c>
      <c r="F26" s="14">
        <v>292.07</v>
      </c>
      <c r="G26" s="14">
        <v>326.63</v>
      </c>
      <c r="H26" s="15">
        <v>333.17</v>
      </c>
      <c r="I26" s="14">
        <v>391.55</v>
      </c>
      <c r="J26" s="14">
        <v>391.55</v>
      </c>
      <c r="K26" s="15">
        <v>422.41</v>
      </c>
      <c r="L26" s="15">
        <v>422.41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6">
        <v>25.0</v>
      </c>
      <c r="B27" s="17">
        <v>97.75</v>
      </c>
      <c r="C27" s="17">
        <v>138.97</v>
      </c>
      <c r="D27" s="17">
        <v>266.19</v>
      </c>
      <c r="E27" s="17">
        <v>287.45</v>
      </c>
      <c r="F27" s="17">
        <v>297.75</v>
      </c>
      <c r="G27" s="17">
        <v>327.47</v>
      </c>
      <c r="H27" s="18">
        <v>334.02</v>
      </c>
      <c r="I27" s="17">
        <v>403.9</v>
      </c>
      <c r="J27" s="17">
        <v>403.9</v>
      </c>
      <c r="K27" s="18">
        <v>424.89</v>
      </c>
      <c r="L27" s="18">
        <v>424.89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9">
        <v>26.0</v>
      </c>
      <c r="B28" s="20">
        <v>103.75</v>
      </c>
      <c r="C28" s="20">
        <v>150.0</v>
      </c>
      <c r="D28" s="21">
        <v>281.59</v>
      </c>
      <c r="E28" s="21">
        <v>302.04</v>
      </c>
      <c r="F28" s="21">
        <v>319.69</v>
      </c>
      <c r="G28" s="21">
        <v>335.66</v>
      </c>
      <c r="H28" s="22">
        <v>350.67</v>
      </c>
      <c r="I28" s="21">
        <v>410.02</v>
      </c>
      <c r="J28" s="21">
        <v>410.02</v>
      </c>
      <c r="K28" s="22">
        <v>437.94</v>
      </c>
      <c r="L28" s="22">
        <v>437.94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>
        <v>27.0</v>
      </c>
      <c r="B29" s="24">
        <v>104.36</v>
      </c>
      <c r="C29" s="24">
        <v>151.12</v>
      </c>
      <c r="D29" s="25">
        <v>283.13</v>
      </c>
      <c r="E29" s="25">
        <v>303.5</v>
      </c>
      <c r="F29" s="25">
        <v>321.89</v>
      </c>
      <c r="G29" s="25">
        <v>337.9</v>
      </c>
      <c r="H29" s="26">
        <v>360.24</v>
      </c>
      <c r="I29" s="25">
        <v>418.53</v>
      </c>
      <c r="J29" s="25">
        <v>418.53</v>
      </c>
      <c r="K29" s="26">
        <v>445.08</v>
      </c>
      <c r="L29" s="26">
        <v>445.08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>
        <v>28.0</v>
      </c>
      <c r="B30" s="24">
        <v>106.54</v>
      </c>
      <c r="C30" s="24">
        <v>151.64</v>
      </c>
      <c r="D30" s="25">
        <v>296.34</v>
      </c>
      <c r="E30" s="25">
        <v>317.86</v>
      </c>
      <c r="F30" s="25">
        <v>329.56</v>
      </c>
      <c r="G30" s="25">
        <v>351.52</v>
      </c>
      <c r="H30" s="26">
        <v>375.44</v>
      </c>
      <c r="I30" s="25">
        <v>426.37</v>
      </c>
      <c r="J30" s="25">
        <v>426.37</v>
      </c>
      <c r="K30" s="26">
        <v>454.28</v>
      </c>
      <c r="L30" s="26">
        <v>454.28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>
        <v>29.0</v>
      </c>
      <c r="B31" s="24">
        <v>107.08</v>
      </c>
      <c r="C31" s="24">
        <v>152.41</v>
      </c>
      <c r="D31" s="25">
        <v>303.1</v>
      </c>
      <c r="E31" s="25">
        <v>319.3</v>
      </c>
      <c r="F31" s="25">
        <v>330.33</v>
      </c>
      <c r="G31" s="25">
        <v>361.64</v>
      </c>
      <c r="H31" s="26">
        <v>377.41</v>
      </c>
      <c r="I31" s="25">
        <v>433.14</v>
      </c>
      <c r="J31" s="25">
        <v>433.14</v>
      </c>
      <c r="K31" s="26">
        <v>464.26</v>
      </c>
      <c r="L31" s="26">
        <v>464.26</v>
      </c>
    </row>
    <row r="32" ht="12.75" customHeight="1">
      <c r="A32" s="23">
        <v>30.0</v>
      </c>
      <c r="B32" s="28">
        <v>107.57</v>
      </c>
      <c r="C32" s="28">
        <v>152.7</v>
      </c>
      <c r="D32" s="29">
        <v>303.78</v>
      </c>
      <c r="E32" s="29">
        <v>322.11</v>
      </c>
      <c r="F32" s="29">
        <v>331.76</v>
      </c>
      <c r="G32" s="29">
        <v>363.2</v>
      </c>
      <c r="H32" s="30">
        <v>378.13</v>
      </c>
      <c r="I32" s="29">
        <v>441.0</v>
      </c>
      <c r="J32" s="29">
        <v>441.0</v>
      </c>
      <c r="K32" s="30">
        <v>466.0</v>
      </c>
      <c r="L32" s="30">
        <v>466.0</v>
      </c>
    </row>
    <row r="33" ht="12.75" customHeight="1">
      <c r="A33" s="9">
        <v>31.0</v>
      </c>
      <c r="B33" s="10">
        <v>111.67</v>
      </c>
      <c r="C33" s="10">
        <v>156.99</v>
      </c>
      <c r="D33" s="10">
        <v>316.68</v>
      </c>
      <c r="E33" s="10">
        <v>336.49</v>
      </c>
      <c r="F33" s="10">
        <v>360.09</v>
      </c>
      <c r="G33" s="10">
        <v>375.63</v>
      </c>
      <c r="H33" s="11">
        <v>385.93</v>
      </c>
      <c r="I33" s="10">
        <v>448.93</v>
      </c>
      <c r="J33" s="10">
        <v>448.93</v>
      </c>
      <c r="K33" s="11">
        <v>480.79</v>
      </c>
      <c r="L33" s="11">
        <v>480.79</v>
      </c>
    </row>
    <row r="34" ht="12.75" customHeight="1">
      <c r="A34" s="33">
        <v>32.0</v>
      </c>
      <c r="B34" s="14">
        <v>114.85</v>
      </c>
      <c r="C34" s="14">
        <v>160.76</v>
      </c>
      <c r="D34" s="14">
        <v>323.39</v>
      </c>
      <c r="E34" s="14">
        <v>337.93</v>
      </c>
      <c r="F34" s="14">
        <v>362.93</v>
      </c>
      <c r="G34" s="14">
        <v>377.44</v>
      </c>
      <c r="H34" s="15">
        <v>398.51</v>
      </c>
      <c r="I34" s="14">
        <v>457.45</v>
      </c>
      <c r="J34" s="14">
        <v>457.45</v>
      </c>
      <c r="K34" s="15">
        <v>490.79</v>
      </c>
      <c r="L34" s="15">
        <v>490.79</v>
      </c>
    </row>
    <row r="35" ht="12.75" customHeight="1">
      <c r="A35" s="33">
        <v>33.0</v>
      </c>
      <c r="B35" s="14">
        <v>117.6</v>
      </c>
      <c r="C35" s="14">
        <v>169.81</v>
      </c>
      <c r="D35" s="14">
        <v>328.69</v>
      </c>
      <c r="E35" s="14">
        <v>360.53</v>
      </c>
      <c r="F35" s="14">
        <v>369.4</v>
      </c>
      <c r="G35" s="14">
        <v>399.63</v>
      </c>
      <c r="H35" s="15">
        <v>414.38</v>
      </c>
      <c r="I35" s="14">
        <v>467.77</v>
      </c>
      <c r="J35" s="14">
        <v>467.77</v>
      </c>
      <c r="K35" s="15">
        <v>501.04</v>
      </c>
      <c r="L35" s="15">
        <v>501.04</v>
      </c>
    </row>
    <row r="36" ht="12.75" customHeight="1">
      <c r="A36" s="33">
        <v>34.0</v>
      </c>
      <c r="B36" s="14">
        <v>120.12</v>
      </c>
      <c r="C36" s="14">
        <v>170.73</v>
      </c>
      <c r="D36" s="14">
        <v>335.66</v>
      </c>
      <c r="E36" s="14">
        <v>362.8</v>
      </c>
      <c r="F36" s="14">
        <v>370.06</v>
      </c>
      <c r="G36" s="14">
        <v>408.07</v>
      </c>
      <c r="H36" s="15">
        <v>416.25</v>
      </c>
      <c r="I36" s="14">
        <v>474.26</v>
      </c>
      <c r="J36" s="14">
        <v>474.26</v>
      </c>
      <c r="K36" s="15">
        <v>510.27</v>
      </c>
      <c r="L36" s="15">
        <v>510.27</v>
      </c>
    </row>
    <row r="37" ht="12.75" customHeight="1">
      <c r="A37" s="16">
        <v>35.0</v>
      </c>
      <c r="B37" s="17">
        <v>122.69</v>
      </c>
      <c r="C37" s="17">
        <v>171.23</v>
      </c>
      <c r="D37" s="17">
        <v>336.38</v>
      </c>
      <c r="E37" s="17">
        <v>363.21</v>
      </c>
      <c r="F37" s="17">
        <v>370.72</v>
      </c>
      <c r="G37" s="17">
        <v>411.88</v>
      </c>
      <c r="H37" s="18">
        <v>420.12</v>
      </c>
      <c r="I37" s="17">
        <v>475.33</v>
      </c>
      <c r="J37" s="17">
        <v>475.33</v>
      </c>
      <c r="K37" s="18">
        <v>520.06</v>
      </c>
      <c r="L37" s="18">
        <v>520.06</v>
      </c>
    </row>
    <row r="38" ht="12.75" customHeight="1">
      <c r="A38" s="5">
        <v>36.0</v>
      </c>
      <c r="B38" s="6">
        <v>127.77</v>
      </c>
      <c r="C38" s="6">
        <v>174.59</v>
      </c>
      <c r="D38" s="6">
        <v>349.69</v>
      </c>
      <c r="E38" s="6">
        <v>370.54</v>
      </c>
      <c r="F38" s="6">
        <v>383.7</v>
      </c>
      <c r="G38" s="6">
        <v>417.93</v>
      </c>
      <c r="H38" s="7">
        <v>429.04</v>
      </c>
      <c r="I38" s="6">
        <v>496.44</v>
      </c>
      <c r="J38" s="6">
        <v>496.44</v>
      </c>
      <c r="K38" s="7">
        <v>531.31</v>
      </c>
      <c r="L38" s="7">
        <v>531.31</v>
      </c>
    </row>
    <row r="39" ht="12.75" customHeight="1">
      <c r="A39" s="9">
        <v>37.0</v>
      </c>
      <c r="B39" s="10">
        <v>128.3</v>
      </c>
      <c r="C39" s="10">
        <v>186.3</v>
      </c>
      <c r="D39" s="10">
        <v>357.84</v>
      </c>
      <c r="E39" s="10">
        <v>383.08</v>
      </c>
      <c r="F39" s="10">
        <v>402.39</v>
      </c>
      <c r="G39" s="10">
        <v>431.69</v>
      </c>
      <c r="H39" s="11">
        <v>443.6</v>
      </c>
      <c r="I39" s="10">
        <v>507.09</v>
      </c>
      <c r="J39" s="10">
        <v>507.09</v>
      </c>
      <c r="K39" s="11">
        <v>539.66</v>
      </c>
      <c r="L39" s="11">
        <v>539.66</v>
      </c>
    </row>
    <row r="40" ht="12.75" customHeight="1">
      <c r="A40" s="13">
        <v>38.0</v>
      </c>
      <c r="B40" s="14">
        <v>128.6</v>
      </c>
      <c r="C40" s="14">
        <v>187.48</v>
      </c>
      <c r="D40" s="14">
        <v>363.44</v>
      </c>
      <c r="E40" s="14">
        <v>390.06</v>
      </c>
      <c r="F40" s="14">
        <v>408.84</v>
      </c>
      <c r="G40" s="14">
        <v>433.08</v>
      </c>
      <c r="H40" s="15">
        <v>445.07</v>
      </c>
      <c r="I40" s="14">
        <v>516.47</v>
      </c>
      <c r="J40" s="14">
        <v>516.47</v>
      </c>
      <c r="K40" s="15">
        <v>547.95</v>
      </c>
      <c r="L40" s="15">
        <v>547.95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13">
        <v>39.0</v>
      </c>
      <c r="B41" s="14">
        <v>129.11</v>
      </c>
      <c r="C41" s="14">
        <v>187.97</v>
      </c>
      <c r="D41" s="14">
        <v>369.73</v>
      </c>
      <c r="E41" s="14">
        <v>395.26</v>
      </c>
      <c r="F41" s="14">
        <v>409.49</v>
      </c>
      <c r="G41" s="14">
        <v>433.88</v>
      </c>
      <c r="H41" s="15">
        <v>446.41</v>
      </c>
      <c r="I41" s="14">
        <v>526.59</v>
      </c>
      <c r="J41" s="14">
        <v>526.59</v>
      </c>
      <c r="K41" s="15">
        <v>548.81</v>
      </c>
      <c r="L41" s="15">
        <v>548.81</v>
      </c>
    </row>
    <row r="42" ht="12.75" customHeight="1">
      <c r="A42" s="16">
        <v>40.0</v>
      </c>
      <c r="B42" s="17">
        <v>129.43</v>
      </c>
      <c r="C42" s="17">
        <v>188.47</v>
      </c>
      <c r="D42" s="17">
        <v>370.38</v>
      </c>
      <c r="E42" s="17">
        <v>395.78</v>
      </c>
      <c r="F42" s="17">
        <v>410.64</v>
      </c>
      <c r="G42" s="17">
        <v>445.08</v>
      </c>
      <c r="H42" s="18">
        <v>453.99</v>
      </c>
      <c r="I42" s="17">
        <v>537.15</v>
      </c>
      <c r="J42" s="17">
        <v>537.15</v>
      </c>
      <c r="K42" s="18">
        <v>550.29</v>
      </c>
      <c r="L42" s="18">
        <v>550.29</v>
      </c>
    </row>
    <row r="43" ht="12.75" customHeight="1">
      <c r="A43" s="19">
        <v>41.0</v>
      </c>
      <c r="B43" s="20">
        <v>135.14</v>
      </c>
      <c r="C43" s="20">
        <v>197.43</v>
      </c>
      <c r="D43" s="21">
        <v>383.26</v>
      </c>
      <c r="E43" s="21">
        <v>405.9</v>
      </c>
      <c r="F43" s="21">
        <v>433.36</v>
      </c>
      <c r="G43" s="21">
        <v>451.39</v>
      </c>
      <c r="H43" s="22">
        <v>466.98</v>
      </c>
      <c r="I43" s="21">
        <v>547.73</v>
      </c>
      <c r="J43" s="21">
        <v>547.73</v>
      </c>
      <c r="K43" s="22">
        <v>579.82</v>
      </c>
      <c r="L43" s="22">
        <v>579.82</v>
      </c>
    </row>
    <row r="44" ht="12.75" customHeight="1">
      <c r="A44" s="23">
        <v>42.0</v>
      </c>
      <c r="B44" s="24">
        <v>137.12</v>
      </c>
      <c r="C44" s="24">
        <v>198.34</v>
      </c>
      <c r="D44" s="25">
        <v>388.16</v>
      </c>
      <c r="E44" s="25">
        <v>412.11</v>
      </c>
      <c r="F44" s="25">
        <v>435.64</v>
      </c>
      <c r="G44" s="25">
        <v>453.08</v>
      </c>
      <c r="H44" s="26">
        <v>484.16</v>
      </c>
      <c r="I44" s="25">
        <v>558.84</v>
      </c>
      <c r="J44" s="25">
        <v>558.84</v>
      </c>
      <c r="K44" s="26">
        <v>582.78</v>
      </c>
      <c r="L44" s="26">
        <v>582.78</v>
      </c>
    </row>
    <row r="45" ht="12.75" customHeight="1">
      <c r="A45" s="19">
        <v>43.0</v>
      </c>
      <c r="B45" s="24">
        <v>140.8</v>
      </c>
      <c r="C45" s="24">
        <v>201.51</v>
      </c>
      <c r="D45" s="25">
        <v>398.1</v>
      </c>
      <c r="E45" s="25">
        <v>423.16</v>
      </c>
      <c r="F45" s="25">
        <v>443.57</v>
      </c>
      <c r="G45" s="25">
        <v>475.16</v>
      </c>
      <c r="H45" s="26">
        <v>498.22</v>
      </c>
      <c r="I45" s="25">
        <v>570.11</v>
      </c>
      <c r="J45" s="25">
        <v>570.11</v>
      </c>
      <c r="K45" s="26">
        <v>584.08</v>
      </c>
      <c r="L45" s="26">
        <v>584.08</v>
      </c>
    </row>
    <row r="46" ht="12.75" customHeight="1">
      <c r="A46" s="19">
        <v>44.0</v>
      </c>
      <c r="B46" s="24">
        <v>143.98</v>
      </c>
      <c r="C46" s="24">
        <v>212.07</v>
      </c>
      <c r="D46" s="25">
        <v>404.72</v>
      </c>
      <c r="E46" s="25">
        <v>434.73</v>
      </c>
      <c r="F46" s="25">
        <v>451.32</v>
      </c>
      <c r="G46" s="25">
        <v>482.87</v>
      </c>
      <c r="H46" s="26">
        <v>513.02</v>
      </c>
      <c r="I46" s="25">
        <v>582.46</v>
      </c>
      <c r="J46" s="25">
        <v>582.46</v>
      </c>
      <c r="K46" s="26">
        <v>609.96</v>
      </c>
      <c r="L46" s="26">
        <v>609.96</v>
      </c>
    </row>
    <row r="47" ht="12.75" customHeight="1">
      <c r="A47" s="27">
        <v>45.0</v>
      </c>
      <c r="B47" s="28">
        <v>150.82</v>
      </c>
      <c r="C47" s="28">
        <v>220.31</v>
      </c>
      <c r="D47" s="29">
        <v>409.15</v>
      </c>
      <c r="E47" s="29">
        <v>439.03</v>
      </c>
      <c r="F47" s="29">
        <v>452.12</v>
      </c>
      <c r="G47" s="29">
        <v>490.69</v>
      </c>
      <c r="H47" s="30">
        <v>514.51</v>
      </c>
      <c r="I47" s="29">
        <v>591.67</v>
      </c>
      <c r="J47" s="29">
        <v>591.67</v>
      </c>
      <c r="K47" s="30">
        <v>613.0</v>
      </c>
      <c r="L47" s="30">
        <v>613.0</v>
      </c>
    </row>
    <row r="48" ht="12.75" customHeight="1">
      <c r="A48" s="13">
        <v>46.0</v>
      </c>
      <c r="B48" s="10">
        <v>154.95</v>
      </c>
      <c r="C48" s="10">
        <v>221.16</v>
      </c>
      <c r="D48" s="10">
        <v>415.69</v>
      </c>
      <c r="E48" s="10">
        <v>451.02</v>
      </c>
      <c r="F48" s="10">
        <v>467.77</v>
      </c>
      <c r="G48" s="10">
        <v>496.28</v>
      </c>
      <c r="H48" s="11">
        <v>534.42</v>
      </c>
      <c r="I48" s="10">
        <v>612.69</v>
      </c>
      <c r="J48" s="10">
        <v>612.69</v>
      </c>
      <c r="K48" s="11">
        <v>630.09</v>
      </c>
      <c r="L48" s="11">
        <v>630.09</v>
      </c>
    </row>
    <row r="49" ht="12.75" customHeight="1">
      <c r="A49" s="13">
        <v>47.0</v>
      </c>
      <c r="B49" s="14">
        <v>157.18</v>
      </c>
      <c r="C49" s="14">
        <v>224.37</v>
      </c>
      <c r="D49" s="14">
        <v>416.35</v>
      </c>
      <c r="E49" s="14">
        <v>452.79</v>
      </c>
      <c r="F49" s="14">
        <v>469.89</v>
      </c>
      <c r="G49" s="14">
        <v>497.73</v>
      </c>
      <c r="H49" s="15">
        <v>536.42</v>
      </c>
      <c r="I49" s="14">
        <v>622.5</v>
      </c>
      <c r="J49" s="14">
        <v>622.5</v>
      </c>
      <c r="K49" s="15">
        <v>634.95</v>
      </c>
      <c r="L49" s="15">
        <v>634.95</v>
      </c>
    </row>
    <row r="50" ht="12.75" customHeight="1">
      <c r="A50" s="13">
        <v>48.0</v>
      </c>
      <c r="B50" s="14">
        <v>157.46</v>
      </c>
      <c r="C50" s="14">
        <v>224.84</v>
      </c>
      <c r="D50" s="14">
        <v>416.55</v>
      </c>
      <c r="E50" s="14">
        <v>456.06</v>
      </c>
      <c r="F50" s="14">
        <v>470.11</v>
      </c>
      <c r="G50" s="14">
        <v>506.79</v>
      </c>
      <c r="H50" s="15">
        <v>536.74</v>
      </c>
      <c r="I50" s="14">
        <v>623.49</v>
      </c>
      <c r="J50" s="14">
        <v>623.49</v>
      </c>
      <c r="K50" s="15">
        <v>644.24</v>
      </c>
      <c r="L50" s="15">
        <v>644.24</v>
      </c>
    </row>
    <row r="51" ht="12.75" customHeight="1">
      <c r="A51" s="13">
        <v>49.0</v>
      </c>
      <c r="B51" s="14">
        <v>157.72</v>
      </c>
      <c r="C51" s="14">
        <v>225.11</v>
      </c>
      <c r="D51" s="14">
        <v>416.75</v>
      </c>
      <c r="E51" s="14">
        <v>456.39</v>
      </c>
      <c r="F51" s="14">
        <v>470.31</v>
      </c>
      <c r="G51" s="14">
        <v>507.7</v>
      </c>
      <c r="H51" s="15">
        <v>537.0</v>
      </c>
      <c r="I51" s="14">
        <v>632.51</v>
      </c>
      <c r="J51" s="14">
        <v>632.51</v>
      </c>
      <c r="K51" s="15">
        <v>645.17</v>
      </c>
      <c r="L51" s="15">
        <v>645.17</v>
      </c>
    </row>
    <row r="52" ht="12.75" customHeight="1">
      <c r="A52" s="13">
        <v>50.0</v>
      </c>
      <c r="B52" s="17">
        <v>158.62</v>
      </c>
      <c r="C52" s="17">
        <v>226.38</v>
      </c>
      <c r="D52" s="17">
        <v>418.41</v>
      </c>
      <c r="E52" s="17">
        <v>458.6</v>
      </c>
      <c r="F52" s="17">
        <v>472.34</v>
      </c>
      <c r="G52" s="17">
        <v>509.79</v>
      </c>
      <c r="H52" s="18">
        <v>538.55</v>
      </c>
      <c r="I52" s="17">
        <v>634.01</v>
      </c>
      <c r="J52" s="17">
        <v>634.01</v>
      </c>
      <c r="K52" s="18">
        <v>655.2</v>
      </c>
      <c r="L52" s="18">
        <v>655.2</v>
      </c>
    </row>
    <row r="53" ht="12.75" customHeight="1">
      <c r="A53" s="31">
        <v>51.0</v>
      </c>
      <c r="B53" s="20">
        <v>176.51</v>
      </c>
      <c r="C53" s="20">
        <v>251.59</v>
      </c>
      <c r="D53" s="21">
        <v>451.61</v>
      </c>
      <c r="E53" s="21">
        <v>502.77</v>
      </c>
      <c r="F53" s="21">
        <v>512.94</v>
      </c>
      <c r="G53" s="21">
        <v>551.56</v>
      </c>
      <c r="H53" s="22">
        <v>562.62</v>
      </c>
      <c r="I53" s="21">
        <v>659.51</v>
      </c>
      <c r="J53" s="21">
        <v>659.51</v>
      </c>
      <c r="K53" s="22">
        <v>695.37</v>
      </c>
      <c r="L53" s="22">
        <v>695.37</v>
      </c>
    </row>
    <row r="54" ht="12.75" customHeight="1">
      <c r="A54" s="19">
        <v>52.0</v>
      </c>
      <c r="B54" s="24">
        <v>179.19</v>
      </c>
      <c r="C54" s="24">
        <v>264.76</v>
      </c>
      <c r="D54" s="25">
        <v>484.01</v>
      </c>
      <c r="E54" s="25">
        <v>512.62</v>
      </c>
      <c r="F54" s="25">
        <v>531.78</v>
      </c>
      <c r="G54" s="25">
        <v>576.68</v>
      </c>
      <c r="H54" s="26">
        <v>602.52</v>
      </c>
      <c r="I54" s="25">
        <v>694.28</v>
      </c>
      <c r="J54" s="25">
        <v>694.28</v>
      </c>
      <c r="K54" s="26">
        <v>708.17</v>
      </c>
      <c r="L54" s="26">
        <v>708.17</v>
      </c>
    </row>
    <row r="55" ht="12.75" customHeight="1">
      <c r="A55" s="19">
        <v>53.0</v>
      </c>
      <c r="B55" s="24">
        <v>181.15</v>
      </c>
      <c r="C55" s="24">
        <v>266.09</v>
      </c>
      <c r="D55" s="25">
        <v>487.25</v>
      </c>
      <c r="E55" s="25">
        <v>522.71</v>
      </c>
      <c r="F55" s="25">
        <v>533.67</v>
      </c>
      <c r="G55" s="25">
        <v>593.5</v>
      </c>
      <c r="H55" s="26">
        <v>606.51</v>
      </c>
      <c r="I55" s="25">
        <v>697.76</v>
      </c>
      <c r="J55" s="25">
        <v>697.76</v>
      </c>
      <c r="K55" s="26">
        <v>711.72</v>
      </c>
      <c r="L55" s="26">
        <v>711.72</v>
      </c>
    </row>
    <row r="56" ht="12.75" customHeight="1">
      <c r="A56" s="19">
        <v>54.0</v>
      </c>
      <c r="B56" s="24">
        <v>181.7</v>
      </c>
      <c r="C56" s="24">
        <v>266.65</v>
      </c>
      <c r="D56" s="25">
        <v>487.77</v>
      </c>
      <c r="E56" s="25">
        <v>523.73</v>
      </c>
      <c r="F56" s="25">
        <v>534.21</v>
      </c>
      <c r="G56" s="25">
        <v>595.19</v>
      </c>
      <c r="H56" s="26">
        <v>607.1</v>
      </c>
      <c r="I56" s="25">
        <v>721.38</v>
      </c>
      <c r="J56" s="25">
        <v>721.38</v>
      </c>
      <c r="K56" s="26">
        <v>735.82</v>
      </c>
      <c r="L56" s="26">
        <v>735.82</v>
      </c>
    </row>
    <row r="57" ht="12.75" customHeight="1">
      <c r="A57" s="19">
        <v>55.0</v>
      </c>
      <c r="B57" s="28">
        <v>182.37</v>
      </c>
      <c r="C57" s="28">
        <v>271.27</v>
      </c>
      <c r="D57" s="29">
        <v>491.31</v>
      </c>
      <c r="E57" s="29">
        <v>525.02</v>
      </c>
      <c r="F57" s="29">
        <v>535.53</v>
      </c>
      <c r="G57" s="29">
        <v>606.13</v>
      </c>
      <c r="H57" s="30">
        <v>618.53</v>
      </c>
      <c r="I57" s="29">
        <v>723.75</v>
      </c>
      <c r="J57" s="29">
        <v>723.75</v>
      </c>
      <c r="K57" s="30">
        <v>738.23</v>
      </c>
      <c r="L57" s="30">
        <v>738.23</v>
      </c>
    </row>
    <row r="58" ht="12.75" customHeight="1">
      <c r="A58" s="32">
        <v>56.0</v>
      </c>
      <c r="B58" s="10">
        <v>195.59</v>
      </c>
      <c r="C58" s="10">
        <v>286.47</v>
      </c>
      <c r="D58" s="10">
        <v>491.83</v>
      </c>
      <c r="E58" s="10">
        <v>539.43</v>
      </c>
      <c r="F58" s="10">
        <v>550.24</v>
      </c>
      <c r="G58" s="10">
        <v>607.23</v>
      </c>
      <c r="H58" s="11">
        <v>619.68</v>
      </c>
      <c r="I58" s="10">
        <v>736.32</v>
      </c>
      <c r="J58" s="10">
        <v>736.32</v>
      </c>
      <c r="K58" s="11">
        <v>751.05</v>
      </c>
      <c r="L58" s="11">
        <v>751.05</v>
      </c>
    </row>
    <row r="59" ht="12.75" customHeight="1">
      <c r="A59" s="13">
        <v>57.0</v>
      </c>
      <c r="B59" s="14">
        <v>197.27</v>
      </c>
      <c r="C59" s="14">
        <v>289.34</v>
      </c>
      <c r="D59" s="14">
        <v>492.75</v>
      </c>
      <c r="E59" s="14">
        <v>540.88</v>
      </c>
      <c r="F59" s="14">
        <v>552.76</v>
      </c>
      <c r="G59" s="14">
        <v>608.02</v>
      </c>
      <c r="H59" s="15">
        <v>620.19</v>
      </c>
      <c r="I59" s="14">
        <v>737.94</v>
      </c>
      <c r="J59" s="14">
        <v>737.94</v>
      </c>
      <c r="K59" s="15">
        <v>758.45</v>
      </c>
      <c r="L59" s="15">
        <v>758.45</v>
      </c>
    </row>
    <row r="60" ht="12.75" customHeight="1">
      <c r="A60" s="13">
        <v>58.0</v>
      </c>
      <c r="B60" s="14">
        <v>197.84</v>
      </c>
      <c r="C60" s="14">
        <v>290.56</v>
      </c>
      <c r="D60" s="14">
        <v>493.35</v>
      </c>
      <c r="E60" s="14">
        <v>541.4</v>
      </c>
      <c r="F60" s="14">
        <v>564.06</v>
      </c>
      <c r="G60" s="14">
        <v>609.67</v>
      </c>
      <c r="H60" s="15">
        <v>621.87</v>
      </c>
      <c r="I60" s="14">
        <v>769.64</v>
      </c>
      <c r="J60" s="14">
        <v>769.64</v>
      </c>
      <c r="K60" s="15">
        <v>785.55</v>
      </c>
      <c r="L60" s="15">
        <v>785.55</v>
      </c>
    </row>
    <row r="61" ht="12.75" customHeight="1">
      <c r="A61" s="13">
        <v>59.0</v>
      </c>
      <c r="B61" s="14">
        <v>198.39</v>
      </c>
      <c r="C61" s="14">
        <v>291.13</v>
      </c>
      <c r="D61" s="14">
        <v>505.08</v>
      </c>
      <c r="E61" s="14">
        <v>549.55</v>
      </c>
      <c r="F61" s="14">
        <v>565.21</v>
      </c>
      <c r="G61" s="14">
        <v>611.37</v>
      </c>
      <c r="H61" s="15">
        <v>654.85</v>
      </c>
      <c r="I61" s="14">
        <v>772.81</v>
      </c>
      <c r="J61" s="14">
        <v>772.81</v>
      </c>
      <c r="K61" s="15">
        <v>788.27</v>
      </c>
      <c r="L61" s="15">
        <v>788.27</v>
      </c>
    </row>
    <row r="62" ht="12.75" customHeight="1">
      <c r="A62" s="16">
        <v>60.0</v>
      </c>
      <c r="B62" s="17">
        <v>198.96</v>
      </c>
      <c r="C62" s="17">
        <v>291.7</v>
      </c>
      <c r="D62" s="17">
        <v>506.26</v>
      </c>
      <c r="E62" s="17">
        <v>550.38</v>
      </c>
      <c r="F62" s="17">
        <v>566.36</v>
      </c>
      <c r="G62" s="17">
        <v>645.23</v>
      </c>
      <c r="H62" s="18">
        <v>658.15</v>
      </c>
      <c r="I62" s="17">
        <v>780.91</v>
      </c>
      <c r="J62" s="17">
        <v>780.91</v>
      </c>
      <c r="K62" s="18">
        <v>806.99</v>
      </c>
      <c r="L62" s="18">
        <v>806.99</v>
      </c>
    </row>
    <row r="63" ht="12.75" customHeight="1">
      <c r="A63" s="19">
        <v>61.0</v>
      </c>
      <c r="B63" s="20">
        <v>209.34</v>
      </c>
      <c r="C63" s="20">
        <v>301.99</v>
      </c>
      <c r="D63" s="21">
        <v>526.63</v>
      </c>
      <c r="E63" s="21">
        <v>566.32</v>
      </c>
      <c r="F63" s="21">
        <v>589.3</v>
      </c>
      <c r="G63" s="21">
        <v>665.4</v>
      </c>
      <c r="H63" s="22">
        <v>678.73</v>
      </c>
      <c r="I63" s="21">
        <v>794.38</v>
      </c>
      <c r="J63" s="21">
        <v>794.38</v>
      </c>
      <c r="K63" s="22">
        <v>820.9</v>
      </c>
      <c r="L63" s="22">
        <v>820.9</v>
      </c>
    </row>
    <row r="64" ht="12.75" customHeight="1">
      <c r="A64" s="23">
        <v>62.0</v>
      </c>
      <c r="B64" s="24">
        <v>211.73</v>
      </c>
      <c r="C64" s="24">
        <v>311.33</v>
      </c>
      <c r="D64" s="25">
        <v>534.64</v>
      </c>
      <c r="E64" s="25">
        <v>573.35</v>
      </c>
      <c r="F64" s="25">
        <v>591.71</v>
      </c>
      <c r="G64" s="25">
        <v>674.92</v>
      </c>
      <c r="H64" s="26">
        <v>695.06</v>
      </c>
      <c r="I64" s="25">
        <v>795.73</v>
      </c>
      <c r="J64" s="25">
        <v>795.73</v>
      </c>
      <c r="K64" s="26">
        <v>822.31</v>
      </c>
      <c r="L64" s="26">
        <v>822.31</v>
      </c>
    </row>
    <row r="65" ht="12.75" customHeight="1">
      <c r="A65" s="23">
        <v>63.0</v>
      </c>
      <c r="B65" s="24">
        <v>212.35</v>
      </c>
      <c r="C65" s="24">
        <v>312.31</v>
      </c>
      <c r="D65" s="25">
        <v>539.45</v>
      </c>
      <c r="E65" s="25">
        <v>574.17</v>
      </c>
      <c r="F65" s="25">
        <v>594.44</v>
      </c>
      <c r="G65" s="25">
        <v>684.53</v>
      </c>
      <c r="H65" s="26">
        <v>698.23</v>
      </c>
      <c r="I65" s="25">
        <v>807.28</v>
      </c>
      <c r="J65" s="25">
        <v>807.28</v>
      </c>
      <c r="K65" s="26">
        <v>823.43</v>
      </c>
      <c r="L65" s="26">
        <v>823.43</v>
      </c>
    </row>
    <row r="66" ht="12.75" customHeight="1">
      <c r="A66" s="23">
        <v>64.0</v>
      </c>
      <c r="B66" s="24">
        <v>222.98</v>
      </c>
      <c r="C66" s="24">
        <v>322.2</v>
      </c>
      <c r="D66" s="25">
        <v>539.97</v>
      </c>
      <c r="E66" s="25">
        <v>590.28</v>
      </c>
      <c r="F66" s="25">
        <v>612.85</v>
      </c>
      <c r="G66" s="25">
        <v>696.91</v>
      </c>
      <c r="H66" s="26">
        <v>724.08</v>
      </c>
      <c r="I66" s="25">
        <v>818.08</v>
      </c>
      <c r="J66" s="25">
        <v>818.08</v>
      </c>
      <c r="K66" s="26">
        <v>834.45</v>
      </c>
      <c r="L66" s="26">
        <v>834.45</v>
      </c>
    </row>
    <row r="67" ht="12.75" customHeight="1">
      <c r="A67" s="23">
        <v>65.0</v>
      </c>
      <c r="B67" s="28">
        <v>224.06</v>
      </c>
      <c r="C67" s="28">
        <v>324.36</v>
      </c>
      <c r="D67" s="29">
        <v>544.61</v>
      </c>
      <c r="E67" s="29">
        <v>596.71</v>
      </c>
      <c r="F67" s="29">
        <v>616.7</v>
      </c>
      <c r="G67" s="29">
        <v>707.7</v>
      </c>
      <c r="H67" s="30">
        <v>732.22</v>
      </c>
      <c r="I67" s="29">
        <v>831.0</v>
      </c>
      <c r="J67" s="29">
        <v>831.0</v>
      </c>
      <c r="K67" s="30">
        <v>847.63</v>
      </c>
      <c r="L67" s="30">
        <v>847.63</v>
      </c>
    </row>
    <row r="68" ht="12.75" customHeight="1">
      <c r="A68" s="9">
        <v>66.0</v>
      </c>
      <c r="B68" s="10">
        <v>224.64</v>
      </c>
      <c r="C68" s="10">
        <v>325.26</v>
      </c>
      <c r="D68" s="10">
        <v>560.79</v>
      </c>
      <c r="E68" s="10">
        <v>615.3</v>
      </c>
      <c r="F68" s="10">
        <v>635.6</v>
      </c>
      <c r="G68" s="10">
        <v>708.8</v>
      </c>
      <c r="H68" s="11">
        <v>733.73</v>
      </c>
      <c r="I68" s="10">
        <v>836.15</v>
      </c>
      <c r="J68" s="10">
        <v>836.15</v>
      </c>
      <c r="K68" s="11">
        <v>880.56</v>
      </c>
      <c r="L68" s="11">
        <v>880.56</v>
      </c>
    </row>
    <row r="69" ht="12.75" customHeight="1">
      <c r="A69" s="33">
        <v>67.0</v>
      </c>
      <c r="B69" s="14">
        <v>226.78</v>
      </c>
      <c r="C69" s="14">
        <v>342.97</v>
      </c>
      <c r="D69" s="14">
        <v>569.24</v>
      </c>
      <c r="E69" s="14">
        <v>617.17</v>
      </c>
      <c r="F69" s="14">
        <v>637.49</v>
      </c>
      <c r="G69" s="14">
        <v>709.32</v>
      </c>
      <c r="H69" s="15">
        <v>734.24</v>
      </c>
      <c r="I69" s="14">
        <v>847.99</v>
      </c>
      <c r="J69" s="14">
        <v>847.99</v>
      </c>
      <c r="K69" s="15">
        <v>883.87</v>
      </c>
      <c r="L69" s="15">
        <v>883.87</v>
      </c>
    </row>
    <row r="70" ht="12.75" customHeight="1">
      <c r="A70" s="33">
        <v>68.0</v>
      </c>
      <c r="B70" s="14">
        <v>231.91</v>
      </c>
      <c r="C70" s="14">
        <v>344.96</v>
      </c>
      <c r="D70" s="14">
        <v>570.09</v>
      </c>
      <c r="E70" s="14">
        <v>624.79</v>
      </c>
      <c r="F70" s="14">
        <v>638.06</v>
      </c>
      <c r="G70" s="14">
        <v>709.83</v>
      </c>
      <c r="H70" s="15">
        <v>738.5</v>
      </c>
      <c r="I70" s="14">
        <v>849.18</v>
      </c>
      <c r="J70" s="14">
        <v>849.18</v>
      </c>
      <c r="K70" s="15">
        <v>884.4</v>
      </c>
      <c r="L70" s="15">
        <v>884.4</v>
      </c>
    </row>
    <row r="71" ht="12.75" customHeight="1">
      <c r="A71" s="33">
        <v>69.0</v>
      </c>
      <c r="B71" s="14">
        <v>232.45</v>
      </c>
      <c r="C71" s="14">
        <v>345.52</v>
      </c>
      <c r="D71" s="14">
        <v>570.67</v>
      </c>
      <c r="E71" s="14">
        <v>626.54</v>
      </c>
      <c r="F71" s="14">
        <v>639.09</v>
      </c>
      <c r="G71" s="14">
        <v>710.34</v>
      </c>
      <c r="H71" s="15">
        <v>752.6</v>
      </c>
      <c r="I71" s="14">
        <v>866.18</v>
      </c>
      <c r="J71" s="14">
        <v>866.18</v>
      </c>
      <c r="K71" s="15">
        <v>890.0</v>
      </c>
      <c r="L71" s="15">
        <v>890.0</v>
      </c>
    </row>
    <row r="72" ht="12.75" customHeight="1">
      <c r="A72" s="16">
        <v>70.0</v>
      </c>
      <c r="B72" s="17">
        <v>233.02</v>
      </c>
      <c r="C72" s="17">
        <v>346.11</v>
      </c>
      <c r="D72" s="17">
        <v>571.19</v>
      </c>
      <c r="E72" s="17">
        <v>627.07</v>
      </c>
      <c r="F72" s="17">
        <v>639.63</v>
      </c>
      <c r="G72" s="17">
        <v>711.85</v>
      </c>
      <c r="H72" s="18">
        <v>754.03</v>
      </c>
      <c r="I72" s="17">
        <v>878.9</v>
      </c>
      <c r="J72" s="17">
        <v>878.9</v>
      </c>
      <c r="K72" s="18">
        <v>909.24</v>
      </c>
      <c r="L72" s="18">
        <v>909.24</v>
      </c>
    </row>
    <row r="73" ht="12.75" customHeight="1">
      <c r="A73" s="35">
        <v>71.0</v>
      </c>
      <c r="B73" s="20">
        <v>239.67</v>
      </c>
      <c r="C73" s="20">
        <v>346.66</v>
      </c>
      <c r="D73" s="21">
        <v>573.04</v>
      </c>
      <c r="E73" s="21">
        <v>628.2</v>
      </c>
      <c r="F73" s="21">
        <v>640.82</v>
      </c>
      <c r="G73" s="21">
        <v>741.91</v>
      </c>
      <c r="H73" s="22">
        <v>756.77</v>
      </c>
      <c r="I73" s="21">
        <v>893.31</v>
      </c>
      <c r="J73" s="21">
        <v>893.31</v>
      </c>
      <c r="K73" s="22">
        <v>911.18</v>
      </c>
      <c r="L73" s="22">
        <v>911.18</v>
      </c>
    </row>
    <row r="74" ht="12.75" customHeight="1">
      <c r="A74" s="23">
        <v>72.0</v>
      </c>
      <c r="B74" s="24">
        <v>241.2</v>
      </c>
      <c r="C74" s="24">
        <v>356.85</v>
      </c>
      <c r="D74" s="25">
        <v>609.97</v>
      </c>
      <c r="E74" s="25">
        <v>649.3</v>
      </c>
      <c r="F74" s="25">
        <v>662.3</v>
      </c>
      <c r="G74" s="25">
        <v>774.2</v>
      </c>
      <c r="H74" s="26">
        <v>811.32</v>
      </c>
      <c r="I74" s="25">
        <v>901.64</v>
      </c>
      <c r="J74" s="25">
        <v>901.64</v>
      </c>
      <c r="K74" s="26">
        <v>919.68</v>
      </c>
      <c r="L74" s="26">
        <v>919.68</v>
      </c>
    </row>
    <row r="75" ht="12.75" customHeight="1">
      <c r="A75" s="23">
        <v>73.0</v>
      </c>
      <c r="B75" s="24">
        <v>241.76</v>
      </c>
      <c r="C75" s="24">
        <v>364.3</v>
      </c>
      <c r="D75" s="25">
        <v>613.67</v>
      </c>
      <c r="E75" s="25">
        <v>651.42</v>
      </c>
      <c r="F75" s="25">
        <v>664.46</v>
      </c>
      <c r="G75" s="25">
        <v>777.44</v>
      </c>
      <c r="H75" s="26">
        <v>816.79</v>
      </c>
      <c r="I75" s="25">
        <v>903.5</v>
      </c>
      <c r="J75" s="25">
        <v>903.5</v>
      </c>
      <c r="K75" s="26">
        <v>921.57</v>
      </c>
      <c r="L75" s="26">
        <v>921.57</v>
      </c>
    </row>
    <row r="76" ht="12.75" customHeight="1">
      <c r="A76" s="23">
        <v>74.0</v>
      </c>
      <c r="B76" s="24">
        <v>242.34</v>
      </c>
      <c r="C76" s="24">
        <v>365.05</v>
      </c>
      <c r="D76" s="25">
        <v>614.26</v>
      </c>
      <c r="E76" s="25">
        <v>651.95</v>
      </c>
      <c r="F76" s="25">
        <v>665.0</v>
      </c>
      <c r="G76" s="25">
        <v>777.95</v>
      </c>
      <c r="H76" s="26">
        <v>817.38</v>
      </c>
      <c r="I76" s="25">
        <v>940.0</v>
      </c>
      <c r="J76" s="25">
        <v>940.0</v>
      </c>
      <c r="K76" s="26">
        <v>958.81</v>
      </c>
      <c r="L76" s="26">
        <v>958.81</v>
      </c>
    </row>
    <row r="77" ht="12.75" customHeight="1">
      <c r="A77" s="27">
        <v>75.0</v>
      </c>
      <c r="B77" s="28">
        <v>243.48</v>
      </c>
      <c r="C77" s="28">
        <v>366.22</v>
      </c>
      <c r="D77" s="29">
        <v>615.29</v>
      </c>
      <c r="E77" s="29">
        <v>653.0</v>
      </c>
      <c r="F77" s="29">
        <v>666.07</v>
      </c>
      <c r="G77" s="29">
        <v>779.0</v>
      </c>
      <c r="H77" s="30">
        <v>818.41</v>
      </c>
      <c r="I77" s="29">
        <v>943.66</v>
      </c>
      <c r="J77" s="29">
        <v>943.66</v>
      </c>
      <c r="K77" s="30">
        <v>962.54</v>
      </c>
      <c r="L77" s="30">
        <v>962.54</v>
      </c>
    </row>
    <row r="78" ht="12.75" customHeight="1">
      <c r="A78" s="5">
        <v>76.0</v>
      </c>
      <c r="B78" s="6">
        <v>245.23</v>
      </c>
      <c r="C78" s="6">
        <v>376.38</v>
      </c>
      <c r="D78" s="6">
        <v>618.58</v>
      </c>
      <c r="E78" s="6">
        <v>658.58</v>
      </c>
      <c r="F78" s="6">
        <v>671.76</v>
      </c>
      <c r="G78" s="6">
        <v>799.56</v>
      </c>
      <c r="H78" s="7">
        <v>819.21</v>
      </c>
      <c r="I78" s="6">
        <v>953.07</v>
      </c>
      <c r="J78" s="6">
        <v>953.07</v>
      </c>
      <c r="K78" s="7">
        <v>972.14</v>
      </c>
      <c r="L78" s="7">
        <v>972.14</v>
      </c>
    </row>
    <row r="79" ht="12.75" customHeight="1">
      <c r="A79" s="9">
        <v>77.0</v>
      </c>
      <c r="B79" s="10">
        <v>246.03</v>
      </c>
      <c r="C79" s="10">
        <v>377.4</v>
      </c>
      <c r="D79" s="10">
        <v>621.1</v>
      </c>
      <c r="E79" s="10">
        <v>679.65</v>
      </c>
      <c r="F79" s="10">
        <v>698.95</v>
      </c>
      <c r="G79" s="10">
        <v>801.64</v>
      </c>
      <c r="H79" s="11">
        <v>820.01</v>
      </c>
      <c r="I79" s="10">
        <v>963.14</v>
      </c>
      <c r="J79" s="10">
        <v>963.14</v>
      </c>
      <c r="K79" s="11">
        <v>996.89</v>
      </c>
      <c r="L79" s="11">
        <v>996.89</v>
      </c>
    </row>
    <row r="80" ht="12.75" customHeight="1">
      <c r="A80" s="13">
        <v>78.0</v>
      </c>
      <c r="B80" s="14">
        <v>246.83</v>
      </c>
      <c r="C80" s="14">
        <v>378.2</v>
      </c>
      <c r="D80" s="14">
        <v>632.84</v>
      </c>
      <c r="E80" s="14">
        <v>692.07</v>
      </c>
      <c r="F80" s="14">
        <v>714.54</v>
      </c>
      <c r="G80" s="14">
        <v>802.68</v>
      </c>
      <c r="H80" s="15">
        <v>820.81</v>
      </c>
      <c r="I80" s="14">
        <v>965.95</v>
      </c>
      <c r="J80" s="14">
        <v>965.95</v>
      </c>
      <c r="K80" s="15">
        <v>1038.0</v>
      </c>
      <c r="L80" s="15">
        <v>1038.0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13">
        <v>79.0</v>
      </c>
      <c r="B81" s="14">
        <v>247.63</v>
      </c>
      <c r="C81" s="14">
        <v>379.0</v>
      </c>
      <c r="D81" s="14">
        <v>634.02</v>
      </c>
      <c r="E81" s="14">
        <v>693.32</v>
      </c>
      <c r="F81" s="14">
        <v>716.11</v>
      </c>
      <c r="G81" s="14">
        <v>805.01</v>
      </c>
      <c r="H81" s="15">
        <v>821.61</v>
      </c>
      <c r="I81" s="14">
        <v>1003.96</v>
      </c>
      <c r="J81" s="14">
        <v>1003.96</v>
      </c>
      <c r="K81" s="15">
        <v>1042.14</v>
      </c>
      <c r="L81" s="15">
        <v>1042.14</v>
      </c>
    </row>
    <row r="82" ht="12.75" customHeight="1">
      <c r="A82" s="16">
        <v>80.0</v>
      </c>
      <c r="B82" s="17">
        <v>248.64</v>
      </c>
      <c r="C82" s="17">
        <v>379.8</v>
      </c>
      <c r="D82" s="17">
        <v>635.57</v>
      </c>
      <c r="E82" s="17">
        <v>696.05</v>
      </c>
      <c r="F82" s="17">
        <v>718.56</v>
      </c>
      <c r="G82" s="17">
        <v>806.65</v>
      </c>
      <c r="H82" s="18">
        <v>823.26</v>
      </c>
      <c r="I82" s="17">
        <v>1022.2</v>
      </c>
      <c r="J82" s="17">
        <v>1022.2</v>
      </c>
      <c r="K82" s="18">
        <v>1043.17</v>
      </c>
      <c r="L82" s="18">
        <v>1043.17</v>
      </c>
    </row>
    <row r="83" ht="12.75" customHeight="1">
      <c r="A83" s="19">
        <v>81.0</v>
      </c>
      <c r="B83" s="20">
        <v>268.76</v>
      </c>
      <c r="C83" s="20">
        <v>388.7</v>
      </c>
      <c r="D83" s="21">
        <v>666.39</v>
      </c>
      <c r="E83" s="21">
        <v>750.47</v>
      </c>
      <c r="F83" s="21">
        <v>767.55</v>
      </c>
      <c r="G83" s="21">
        <v>839.27</v>
      </c>
      <c r="H83" s="22">
        <v>856.11</v>
      </c>
      <c r="I83" s="21">
        <v>1024.03</v>
      </c>
      <c r="J83" s="21">
        <v>1024.03</v>
      </c>
      <c r="K83" s="22">
        <v>1044.52</v>
      </c>
      <c r="L83" s="22">
        <v>1044.52</v>
      </c>
    </row>
    <row r="84" ht="12.75" customHeight="1">
      <c r="A84" s="23">
        <v>82.0</v>
      </c>
      <c r="B84" s="24">
        <v>270.78</v>
      </c>
      <c r="C84" s="24">
        <v>389.6</v>
      </c>
      <c r="D84" s="25">
        <v>669.92</v>
      </c>
      <c r="E84" s="25">
        <v>755.92</v>
      </c>
      <c r="F84" s="25">
        <v>772.45</v>
      </c>
      <c r="G84" s="25">
        <v>842.54</v>
      </c>
      <c r="H84" s="26">
        <v>859.4</v>
      </c>
      <c r="I84" s="25">
        <v>1025.21</v>
      </c>
      <c r="J84" s="25">
        <v>1025.21</v>
      </c>
      <c r="K84" s="26">
        <v>1045.72</v>
      </c>
      <c r="L84" s="26">
        <v>1045.72</v>
      </c>
    </row>
    <row r="85" ht="12.75" customHeight="1">
      <c r="A85" s="19">
        <v>83.0</v>
      </c>
      <c r="B85" s="24">
        <v>271.93</v>
      </c>
      <c r="C85" s="24">
        <v>390.4</v>
      </c>
      <c r="D85" s="25">
        <v>670.98</v>
      </c>
      <c r="E85" s="25">
        <v>756.99</v>
      </c>
      <c r="F85" s="25">
        <v>773.52</v>
      </c>
      <c r="G85" s="25">
        <v>843.63</v>
      </c>
      <c r="H85" s="26">
        <v>860.51</v>
      </c>
      <c r="I85" s="25">
        <v>1026.01</v>
      </c>
      <c r="J85" s="25">
        <v>1026.01</v>
      </c>
      <c r="K85" s="26">
        <v>1046.92</v>
      </c>
      <c r="L85" s="26">
        <v>1046.92</v>
      </c>
    </row>
    <row r="86" ht="13.5" customHeight="1">
      <c r="A86" s="19">
        <v>84.0</v>
      </c>
      <c r="B86" s="24">
        <v>273.04</v>
      </c>
      <c r="C86" s="24">
        <v>391.2</v>
      </c>
      <c r="D86" s="25">
        <v>672.07</v>
      </c>
      <c r="E86" s="25">
        <v>758.06</v>
      </c>
      <c r="F86" s="25">
        <v>774.62</v>
      </c>
      <c r="G86" s="25">
        <v>860.85</v>
      </c>
      <c r="H86" s="26">
        <v>878.11</v>
      </c>
      <c r="I86" s="25">
        <v>1026.81</v>
      </c>
      <c r="J86" s="25">
        <v>1026.81</v>
      </c>
      <c r="K86" s="26">
        <v>1048.56</v>
      </c>
      <c r="L86" s="26">
        <v>1048.56</v>
      </c>
    </row>
    <row r="87" ht="13.5" customHeight="1">
      <c r="A87" s="27">
        <v>85.0</v>
      </c>
      <c r="B87" s="28">
        <v>274.18</v>
      </c>
      <c r="C87" s="28">
        <v>392.0</v>
      </c>
      <c r="D87" s="29">
        <v>673.15</v>
      </c>
      <c r="E87" s="29">
        <v>759.13</v>
      </c>
      <c r="F87" s="29">
        <v>775.66</v>
      </c>
      <c r="G87" s="29">
        <v>862.59</v>
      </c>
      <c r="H87" s="30">
        <v>879.88</v>
      </c>
      <c r="I87" s="29">
        <v>1027.61</v>
      </c>
      <c r="J87" s="29">
        <v>1027.61</v>
      </c>
      <c r="K87" s="30">
        <v>1061.08</v>
      </c>
      <c r="L87" s="30">
        <v>1061.08</v>
      </c>
    </row>
    <row r="88" ht="13.5" customHeight="1">
      <c r="A88" s="13">
        <v>86.0</v>
      </c>
      <c r="B88" s="10">
        <v>277.8</v>
      </c>
      <c r="C88" s="10">
        <v>392.8</v>
      </c>
      <c r="D88" s="10">
        <v>675.08</v>
      </c>
      <c r="E88" s="10">
        <v>761.87</v>
      </c>
      <c r="F88" s="10">
        <v>777.11</v>
      </c>
      <c r="G88" s="10">
        <v>863.63</v>
      </c>
      <c r="H88" s="11">
        <v>880.92</v>
      </c>
      <c r="I88" s="10">
        <v>1029.71</v>
      </c>
      <c r="J88" s="10">
        <v>1029.71</v>
      </c>
      <c r="K88" s="11">
        <v>1089.01</v>
      </c>
      <c r="L88" s="11">
        <v>1089.01</v>
      </c>
    </row>
    <row r="89" ht="13.5" customHeight="1">
      <c r="A89" s="13">
        <v>87.0</v>
      </c>
      <c r="B89" s="14">
        <v>278.6</v>
      </c>
      <c r="C89" s="14">
        <v>393.6</v>
      </c>
      <c r="D89" s="14">
        <v>699.31</v>
      </c>
      <c r="E89" s="14">
        <v>765.27</v>
      </c>
      <c r="F89" s="14">
        <v>780.59</v>
      </c>
      <c r="G89" s="14">
        <v>864.95</v>
      </c>
      <c r="H89" s="15">
        <v>882.26</v>
      </c>
      <c r="I89" s="14">
        <v>1071.55</v>
      </c>
      <c r="J89" s="14">
        <v>1071.55</v>
      </c>
      <c r="K89" s="15">
        <v>1092.99</v>
      </c>
      <c r="L89" s="15">
        <v>1092.99</v>
      </c>
    </row>
    <row r="90" ht="13.5" customHeight="1">
      <c r="A90" s="13">
        <v>88.0</v>
      </c>
      <c r="B90" s="14">
        <v>279.4</v>
      </c>
      <c r="C90" s="14">
        <v>394.4</v>
      </c>
      <c r="D90" s="14">
        <v>701.74</v>
      </c>
      <c r="E90" s="14">
        <v>766.94</v>
      </c>
      <c r="F90" s="14">
        <v>782.58</v>
      </c>
      <c r="G90" s="14">
        <v>868.25</v>
      </c>
      <c r="H90" s="15">
        <v>886.61</v>
      </c>
      <c r="I90" s="14">
        <v>1081.93</v>
      </c>
      <c r="J90" s="14">
        <v>1081.93</v>
      </c>
      <c r="K90" s="15">
        <v>1115.34</v>
      </c>
      <c r="L90" s="15">
        <v>1115.34</v>
      </c>
    </row>
    <row r="91" ht="13.5" customHeight="1">
      <c r="A91" s="13">
        <v>89.0</v>
      </c>
      <c r="B91" s="14">
        <v>280.2</v>
      </c>
      <c r="C91" s="14">
        <v>395.2</v>
      </c>
      <c r="D91" s="14">
        <v>723.79</v>
      </c>
      <c r="E91" s="14">
        <v>800.14</v>
      </c>
      <c r="F91" s="14">
        <v>822.3</v>
      </c>
      <c r="G91" s="14">
        <v>934.16</v>
      </c>
      <c r="H91" s="15">
        <v>973.33</v>
      </c>
      <c r="I91" s="14">
        <v>1082.97</v>
      </c>
      <c r="J91" s="14">
        <v>1082.97</v>
      </c>
      <c r="K91" s="15">
        <v>1117.58</v>
      </c>
      <c r="L91" s="15">
        <v>1117.58</v>
      </c>
    </row>
    <row r="92" ht="13.5" customHeight="1">
      <c r="A92" s="13">
        <v>90.0</v>
      </c>
      <c r="B92" s="17">
        <v>281.0</v>
      </c>
      <c r="C92" s="17">
        <v>396.0</v>
      </c>
      <c r="D92" s="17">
        <v>726.0</v>
      </c>
      <c r="E92" s="17">
        <v>804.82</v>
      </c>
      <c r="F92" s="17">
        <v>832.59</v>
      </c>
      <c r="G92" s="17">
        <v>970.13</v>
      </c>
      <c r="H92" s="18">
        <v>991.39</v>
      </c>
      <c r="I92" s="17">
        <v>1083.77</v>
      </c>
      <c r="J92" s="17">
        <v>1083.77</v>
      </c>
      <c r="K92" s="18">
        <v>1118.38</v>
      </c>
      <c r="L92" s="18">
        <v>1118.38</v>
      </c>
    </row>
    <row r="93" ht="13.5" customHeight="1">
      <c r="A93" s="31">
        <v>91.0</v>
      </c>
      <c r="B93" s="20">
        <v>281.8</v>
      </c>
      <c r="C93" s="20">
        <v>396.8</v>
      </c>
      <c r="D93" s="21">
        <v>726.8</v>
      </c>
      <c r="E93" s="21">
        <v>805.84</v>
      </c>
      <c r="F93" s="21">
        <v>833.63</v>
      </c>
      <c r="G93" s="21">
        <v>973.74</v>
      </c>
      <c r="H93" s="22">
        <v>993.23</v>
      </c>
      <c r="I93" s="21">
        <v>1084.86</v>
      </c>
      <c r="J93" s="21">
        <v>1084.86</v>
      </c>
      <c r="K93" s="22">
        <v>1119.18</v>
      </c>
      <c r="L93" s="22">
        <v>1119.18</v>
      </c>
    </row>
    <row r="94" ht="13.5" customHeight="1">
      <c r="A94" s="19">
        <v>92.0</v>
      </c>
      <c r="B94" s="24">
        <v>282.6</v>
      </c>
      <c r="C94" s="24">
        <v>397.6</v>
      </c>
      <c r="D94" s="25">
        <v>727.6</v>
      </c>
      <c r="E94" s="25">
        <v>806.87</v>
      </c>
      <c r="F94" s="25">
        <v>834.67</v>
      </c>
      <c r="G94" s="25">
        <v>974.78</v>
      </c>
      <c r="H94" s="26">
        <v>994.4</v>
      </c>
      <c r="I94" s="25">
        <v>1085.84</v>
      </c>
      <c r="J94" s="25">
        <v>1085.84</v>
      </c>
      <c r="K94" s="26">
        <v>1119.98</v>
      </c>
      <c r="L94" s="26">
        <v>1119.98</v>
      </c>
    </row>
    <row r="95" ht="13.5" customHeight="1">
      <c r="A95" s="19">
        <v>93.0</v>
      </c>
      <c r="B95" s="24">
        <v>283.4</v>
      </c>
      <c r="C95" s="24">
        <v>398.4</v>
      </c>
      <c r="D95" s="25">
        <v>728.4</v>
      </c>
      <c r="E95" s="25">
        <v>807.9</v>
      </c>
      <c r="F95" s="25">
        <v>835.7</v>
      </c>
      <c r="G95" s="25">
        <v>976.04</v>
      </c>
      <c r="H95" s="26">
        <v>995.57</v>
      </c>
      <c r="I95" s="25">
        <v>1105.34</v>
      </c>
      <c r="J95" s="25">
        <v>1105.34</v>
      </c>
      <c r="K95" s="26">
        <v>1129.76</v>
      </c>
      <c r="L95" s="26">
        <v>1129.76</v>
      </c>
    </row>
    <row r="96" ht="13.5" customHeight="1">
      <c r="A96" s="19">
        <v>94.0</v>
      </c>
      <c r="B96" s="24">
        <v>284.2</v>
      </c>
      <c r="C96" s="24">
        <v>399.2</v>
      </c>
      <c r="D96" s="25">
        <v>729.2</v>
      </c>
      <c r="E96" s="25">
        <v>808.93</v>
      </c>
      <c r="F96" s="25">
        <v>836.73</v>
      </c>
      <c r="G96" s="25">
        <v>977.19</v>
      </c>
      <c r="H96" s="26">
        <v>996.76</v>
      </c>
      <c r="I96" s="25">
        <v>1107.29</v>
      </c>
      <c r="J96" s="25">
        <v>1107.29</v>
      </c>
      <c r="K96" s="26">
        <v>1130.89</v>
      </c>
      <c r="L96" s="26">
        <v>1130.89</v>
      </c>
    </row>
    <row r="97" ht="13.5" customHeight="1">
      <c r="A97" s="19">
        <v>95.0</v>
      </c>
      <c r="B97" s="28">
        <v>285.0</v>
      </c>
      <c r="C97" s="28">
        <v>400.0</v>
      </c>
      <c r="D97" s="29">
        <v>730.0</v>
      </c>
      <c r="E97" s="29">
        <v>814.74</v>
      </c>
      <c r="F97" s="29">
        <v>837.81</v>
      </c>
      <c r="G97" s="29">
        <v>978.25</v>
      </c>
      <c r="H97" s="30">
        <v>997.95</v>
      </c>
      <c r="I97" s="29">
        <v>1108.09</v>
      </c>
      <c r="J97" s="29">
        <v>1108.09</v>
      </c>
      <c r="K97" s="30">
        <v>1133.94</v>
      </c>
      <c r="L97" s="30">
        <v>1133.94</v>
      </c>
    </row>
    <row r="98" ht="13.5" customHeight="1">
      <c r="A98" s="32">
        <v>96.0</v>
      </c>
      <c r="B98" s="10">
        <v>285.8</v>
      </c>
      <c r="C98" s="10">
        <v>400.8</v>
      </c>
      <c r="D98" s="10">
        <v>730.8</v>
      </c>
      <c r="E98" s="10">
        <v>820.19</v>
      </c>
      <c r="F98" s="10">
        <v>844.0</v>
      </c>
      <c r="G98" s="10">
        <v>979.27</v>
      </c>
      <c r="H98" s="11">
        <v>999.0</v>
      </c>
      <c r="I98" s="10">
        <v>1108.89</v>
      </c>
      <c r="J98" s="10">
        <v>1108.89</v>
      </c>
      <c r="K98" s="11">
        <v>1194.46</v>
      </c>
      <c r="L98" s="11">
        <v>1194.46</v>
      </c>
    </row>
    <row r="99" ht="13.5" customHeight="1">
      <c r="A99" s="13">
        <v>97.0</v>
      </c>
      <c r="B99" s="14">
        <v>286.6</v>
      </c>
      <c r="C99" s="14">
        <v>401.6</v>
      </c>
      <c r="D99" s="14">
        <v>731.6</v>
      </c>
      <c r="E99" s="14">
        <v>826.94</v>
      </c>
      <c r="F99" s="14">
        <v>852.43</v>
      </c>
      <c r="G99" s="14">
        <v>980.29</v>
      </c>
      <c r="H99" s="15">
        <v>1000.3</v>
      </c>
      <c r="I99" s="14">
        <v>1111.63</v>
      </c>
      <c r="J99" s="14">
        <v>1111.63</v>
      </c>
      <c r="K99" s="15">
        <v>1200.53</v>
      </c>
      <c r="L99" s="15">
        <v>1200.53</v>
      </c>
    </row>
    <row r="100" ht="13.5" customHeight="1">
      <c r="A100" s="13">
        <v>98.0</v>
      </c>
      <c r="B100" s="14">
        <v>287.4</v>
      </c>
      <c r="C100" s="14">
        <v>402.4</v>
      </c>
      <c r="D100" s="14">
        <v>732.4</v>
      </c>
      <c r="E100" s="14">
        <v>829.23</v>
      </c>
      <c r="F100" s="14">
        <v>857.57</v>
      </c>
      <c r="G100" s="14">
        <v>982.63</v>
      </c>
      <c r="H100" s="15">
        <v>1002.67</v>
      </c>
      <c r="I100" s="14">
        <v>1136.03</v>
      </c>
      <c r="J100" s="14">
        <v>1136.03</v>
      </c>
      <c r="K100" s="15">
        <v>1201.84</v>
      </c>
      <c r="L100" s="15">
        <v>1201.84</v>
      </c>
    </row>
    <row r="101" ht="13.5" customHeight="1">
      <c r="A101" s="13">
        <v>99.0</v>
      </c>
      <c r="B101" s="14">
        <v>288.2</v>
      </c>
      <c r="C101" s="14">
        <v>403.2</v>
      </c>
      <c r="D101" s="14">
        <v>733.2</v>
      </c>
      <c r="E101" s="14">
        <v>870.91</v>
      </c>
      <c r="F101" s="14">
        <v>890.68</v>
      </c>
      <c r="G101" s="14">
        <v>1029.29</v>
      </c>
      <c r="H101" s="15">
        <v>1049.89</v>
      </c>
      <c r="I101" s="14">
        <v>1195.19</v>
      </c>
      <c r="J101" s="14">
        <v>1195.19</v>
      </c>
      <c r="K101" s="15">
        <v>1219.1</v>
      </c>
      <c r="L101" s="15">
        <v>1219.1</v>
      </c>
    </row>
    <row r="102" ht="13.5" customHeight="1">
      <c r="A102" s="16">
        <v>100.0</v>
      </c>
      <c r="B102" s="17">
        <v>289.0</v>
      </c>
      <c r="C102" s="17">
        <v>404.0</v>
      </c>
      <c r="D102" s="17">
        <v>734.0</v>
      </c>
      <c r="E102" s="17">
        <v>876.0</v>
      </c>
      <c r="F102" s="17">
        <v>894.0</v>
      </c>
      <c r="G102" s="17">
        <v>1095.0</v>
      </c>
      <c r="H102" s="18">
        <v>1166.0</v>
      </c>
      <c r="I102" s="17">
        <v>1301.0</v>
      </c>
      <c r="J102" s="17">
        <v>1301.0</v>
      </c>
      <c r="K102" s="18">
        <v>1328.0</v>
      </c>
      <c r="L102" s="18">
        <v>1328.0</v>
      </c>
    </row>
    <row r="103" ht="13.5" customHeight="1">
      <c r="A103" s="19">
        <v>101.0</v>
      </c>
      <c r="B103" s="20">
        <v>291.89</v>
      </c>
      <c r="C103" s="20">
        <v>408.04</v>
      </c>
      <c r="D103" s="21">
        <v>741.34</v>
      </c>
      <c r="E103" s="21">
        <v>884.76</v>
      </c>
      <c r="F103" s="21">
        <v>902.94</v>
      </c>
      <c r="G103" s="21">
        <v>1105.95</v>
      </c>
      <c r="H103" s="22">
        <v>1177.66</v>
      </c>
      <c r="I103" s="21">
        <v>1314.01</v>
      </c>
      <c r="J103" s="21">
        <v>1314.01</v>
      </c>
      <c r="K103" s="22">
        <v>1341.28</v>
      </c>
      <c r="L103" s="22">
        <v>1341.28</v>
      </c>
    </row>
    <row r="104" ht="13.5" customHeight="1">
      <c r="A104" s="23">
        <v>102.0</v>
      </c>
      <c r="B104" s="24">
        <v>294.78</v>
      </c>
      <c r="C104" s="24">
        <v>412.08</v>
      </c>
      <c r="D104" s="25">
        <v>748.68</v>
      </c>
      <c r="E104" s="25">
        <v>893.52</v>
      </c>
      <c r="F104" s="25">
        <v>911.88</v>
      </c>
      <c r="G104" s="25">
        <v>1116.9</v>
      </c>
      <c r="H104" s="26">
        <v>1189.32</v>
      </c>
      <c r="I104" s="25">
        <v>1327.02</v>
      </c>
      <c r="J104" s="25">
        <v>1327.02</v>
      </c>
      <c r="K104" s="26">
        <v>1354.56</v>
      </c>
      <c r="L104" s="26">
        <v>1354.56</v>
      </c>
    </row>
    <row r="105" ht="13.5" customHeight="1">
      <c r="A105" s="23">
        <v>103.0</v>
      </c>
      <c r="B105" s="24">
        <v>297.67</v>
      </c>
      <c r="C105" s="24">
        <v>416.12</v>
      </c>
      <c r="D105" s="25">
        <v>756.02</v>
      </c>
      <c r="E105" s="25">
        <v>902.28</v>
      </c>
      <c r="F105" s="25">
        <v>920.82</v>
      </c>
      <c r="G105" s="25">
        <v>1127.85</v>
      </c>
      <c r="H105" s="26">
        <v>1200.98</v>
      </c>
      <c r="I105" s="25">
        <v>1340.03</v>
      </c>
      <c r="J105" s="25">
        <v>1340.03</v>
      </c>
      <c r="K105" s="26">
        <v>1367.84</v>
      </c>
      <c r="L105" s="26">
        <v>1367.84</v>
      </c>
    </row>
    <row r="106" ht="13.5" customHeight="1">
      <c r="A106" s="23">
        <v>104.0</v>
      </c>
      <c r="B106" s="24">
        <v>300.56</v>
      </c>
      <c r="C106" s="24">
        <v>420.16</v>
      </c>
      <c r="D106" s="25">
        <v>763.36</v>
      </c>
      <c r="E106" s="25">
        <v>911.04</v>
      </c>
      <c r="F106" s="25">
        <v>929.76</v>
      </c>
      <c r="G106" s="25">
        <v>1138.8</v>
      </c>
      <c r="H106" s="26">
        <v>1212.64</v>
      </c>
      <c r="I106" s="25">
        <v>1353.04</v>
      </c>
      <c r="J106" s="25">
        <v>1353.04</v>
      </c>
      <c r="K106" s="26">
        <v>1381.12</v>
      </c>
      <c r="L106" s="26">
        <v>1381.12</v>
      </c>
    </row>
    <row r="107" ht="12.75" customHeight="1">
      <c r="A107" s="23">
        <v>105.0</v>
      </c>
      <c r="B107" s="28">
        <v>303.45</v>
      </c>
      <c r="C107" s="28">
        <v>424.2</v>
      </c>
      <c r="D107" s="29">
        <v>770.7</v>
      </c>
      <c r="E107" s="29">
        <v>919.8</v>
      </c>
      <c r="F107" s="29">
        <v>938.7</v>
      </c>
      <c r="G107" s="29">
        <v>1149.75</v>
      </c>
      <c r="H107" s="30">
        <v>1224.3</v>
      </c>
      <c r="I107" s="29">
        <v>1366.05</v>
      </c>
      <c r="J107" s="29">
        <v>1366.05</v>
      </c>
      <c r="K107" s="30">
        <v>1394.4</v>
      </c>
      <c r="L107" s="30">
        <v>1394.4</v>
      </c>
    </row>
    <row r="108" ht="12.75" customHeight="1">
      <c r="A108" s="9">
        <v>106.0</v>
      </c>
      <c r="B108" s="10">
        <v>306.34</v>
      </c>
      <c r="C108" s="10">
        <v>428.24</v>
      </c>
      <c r="D108" s="10">
        <v>778.04</v>
      </c>
      <c r="E108" s="10">
        <v>928.56</v>
      </c>
      <c r="F108" s="10">
        <v>947.64</v>
      </c>
      <c r="G108" s="10">
        <v>1160.7</v>
      </c>
      <c r="H108" s="11">
        <v>1235.96</v>
      </c>
      <c r="I108" s="10">
        <v>1379.06</v>
      </c>
      <c r="J108" s="10">
        <v>1379.06</v>
      </c>
      <c r="K108" s="11">
        <v>1407.68</v>
      </c>
      <c r="L108" s="11">
        <v>1407.68</v>
      </c>
    </row>
    <row r="109" ht="12.75" customHeight="1">
      <c r="A109" s="33">
        <v>107.0</v>
      </c>
      <c r="B109" s="14">
        <v>309.23</v>
      </c>
      <c r="C109" s="14">
        <v>432.28</v>
      </c>
      <c r="D109" s="14">
        <v>785.38</v>
      </c>
      <c r="E109" s="14">
        <v>937.32</v>
      </c>
      <c r="F109" s="14">
        <v>956.58</v>
      </c>
      <c r="G109" s="14">
        <v>1171.65</v>
      </c>
      <c r="H109" s="15">
        <v>1247.62</v>
      </c>
      <c r="I109" s="14">
        <v>1392.07</v>
      </c>
      <c r="J109" s="14">
        <v>1392.07</v>
      </c>
      <c r="K109" s="15">
        <v>1420.96</v>
      </c>
      <c r="L109" s="15">
        <v>1420.96</v>
      </c>
    </row>
    <row r="110" ht="12.75" customHeight="1">
      <c r="A110" s="33">
        <v>108.0</v>
      </c>
      <c r="B110" s="14">
        <v>312.12</v>
      </c>
      <c r="C110" s="14">
        <v>436.32</v>
      </c>
      <c r="D110" s="14">
        <v>792.72</v>
      </c>
      <c r="E110" s="14">
        <v>946.08</v>
      </c>
      <c r="F110" s="14">
        <v>965.52</v>
      </c>
      <c r="G110" s="14">
        <v>1182.6</v>
      </c>
      <c r="H110" s="15">
        <v>1259.28</v>
      </c>
      <c r="I110" s="14">
        <v>1405.08</v>
      </c>
      <c r="J110" s="14">
        <v>1405.08</v>
      </c>
      <c r="K110" s="15">
        <v>1434.24</v>
      </c>
      <c r="L110" s="15">
        <v>1434.24</v>
      </c>
    </row>
    <row r="111" ht="12.75" customHeight="1">
      <c r="A111" s="33">
        <v>109.0</v>
      </c>
      <c r="B111" s="14">
        <v>315.01</v>
      </c>
      <c r="C111" s="14">
        <v>440.36</v>
      </c>
      <c r="D111" s="14">
        <v>800.06</v>
      </c>
      <c r="E111" s="14">
        <v>954.84</v>
      </c>
      <c r="F111" s="14">
        <v>974.46</v>
      </c>
      <c r="G111" s="14">
        <v>1193.55</v>
      </c>
      <c r="H111" s="15">
        <v>1270.94</v>
      </c>
      <c r="I111" s="14">
        <v>1418.09</v>
      </c>
      <c r="J111" s="14">
        <v>1418.09</v>
      </c>
      <c r="K111" s="15">
        <v>1447.52</v>
      </c>
      <c r="L111" s="15">
        <v>1447.52</v>
      </c>
    </row>
    <row r="112" ht="12.75" customHeight="1">
      <c r="A112" s="16">
        <v>110.0</v>
      </c>
      <c r="B112" s="17">
        <v>317.9</v>
      </c>
      <c r="C112" s="17">
        <v>444.4</v>
      </c>
      <c r="D112" s="17">
        <v>807.4</v>
      </c>
      <c r="E112" s="17">
        <v>963.6</v>
      </c>
      <c r="F112" s="17">
        <v>983.4</v>
      </c>
      <c r="G112" s="17">
        <v>1204.5</v>
      </c>
      <c r="H112" s="18">
        <v>1282.6</v>
      </c>
      <c r="I112" s="17">
        <v>1431.1</v>
      </c>
      <c r="J112" s="17">
        <v>1431.1</v>
      </c>
      <c r="K112" s="18">
        <v>1460.8</v>
      </c>
      <c r="L112" s="18">
        <v>1460.8</v>
      </c>
    </row>
    <row r="113" ht="12.75" customHeight="1">
      <c r="A113" s="35">
        <v>111.0</v>
      </c>
      <c r="B113" s="20">
        <v>320.79</v>
      </c>
      <c r="C113" s="20">
        <v>448.44</v>
      </c>
      <c r="D113" s="21">
        <v>814.74</v>
      </c>
      <c r="E113" s="21">
        <v>972.36</v>
      </c>
      <c r="F113" s="21">
        <v>992.34</v>
      </c>
      <c r="G113" s="21">
        <v>1215.45</v>
      </c>
      <c r="H113" s="22">
        <v>1294.26</v>
      </c>
      <c r="I113" s="21">
        <v>1444.11</v>
      </c>
      <c r="J113" s="21">
        <v>1444.11</v>
      </c>
      <c r="K113" s="22">
        <v>1474.08</v>
      </c>
      <c r="L113" s="22">
        <v>1474.08</v>
      </c>
    </row>
    <row r="114" ht="12.75" customHeight="1">
      <c r="A114" s="23">
        <v>112.0</v>
      </c>
      <c r="B114" s="24">
        <v>323.68</v>
      </c>
      <c r="C114" s="24">
        <v>452.48</v>
      </c>
      <c r="D114" s="25">
        <v>822.08</v>
      </c>
      <c r="E114" s="25">
        <v>981.12</v>
      </c>
      <c r="F114" s="25">
        <v>1001.28</v>
      </c>
      <c r="G114" s="25">
        <v>1226.4</v>
      </c>
      <c r="H114" s="26">
        <v>1305.92</v>
      </c>
      <c r="I114" s="25">
        <v>1457.12</v>
      </c>
      <c r="J114" s="25">
        <v>1457.12</v>
      </c>
      <c r="K114" s="26">
        <v>1487.36</v>
      </c>
      <c r="L114" s="26">
        <v>1487.36</v>
      </c>
    </row>
    <row r="115" ht="12.75" customHeight="1">
      <c r="A115" s="23">
        <v>113.0</v>
      </c>
      <c r="B115" s="24">
        <v>326.57</v>
      </c>
      <c r="C115" s="24">
        <v>456.52</v>
      </c>
      <c r="D115" s="25">
        <v>829.42</v>
      </c>
      <c r="E115" s="25">
        <v>989.88</v>
      </c>
      <c r="F115" s="25">
        <v>1010.22</v>
      </c>
      <c r="G115" s="25">
        <v>1237.35</v>
      </c>
      <c r="H115" s="26">
        <v>1317.58</v>
      </c>
      <c r="I115" s="25">
        <v>1470.13</v>
      </c>
      <c r="J115" s="25">
        <v>1470.13</v>
      </c>
      <c r="K115" s="26">
        <v>1500.64</v>
      </c>
      <c r="L115" s="26">
        <v>1500.64</v>
      </c>
    </row>
    <row r="116" ht="12.75" customHeight="1">
      <c r="A116" s="23">
        <v>114.0</v>
      </c>
      <c r="B116" s="24">
        <v>329.46</v>
      </c>
      <c r="C116" s="24">
        <v>460.56</v>
      </c>
      <c r="D116" s="25">
        <v>836.76</v>
      </c>
      <c r="E116" s="25">
        <v>998.64</v>
      </c>
      <c r="F116" s="25">
        <v>1019.16</v>
      </c>
      <c r="G116" s="25">
        <v>1248.3</v>
      </c>
      <c r="H116" s="26">
        <v>1329.24</v>
      </c>
      <c r="I116" s="25">
        <v>1483.14</v>
      </c>
      <c r="J116" s="25">
        <v>1483.14</v>
      </c>
      <c r="K116" s="26">
        <v>1513.92</v>
      </c>
      <c r="L116" s="26">
        <v>1513.92</v>
      </c>
    </row>
    <row r="117" ht="12.75" customHeight="1">
      <c r="A117" s="27">
        <v>115.0</v>
      </c>
      <c r="B117" s="28">
        <v>332.35</v>
      </c>
      <c r="C117" s="28">
        <v>464.6</v>
      </c>
      <c r="D117" s="29">
        <v>844.1</v>
      </c>
      <c r="E117" s="29">
        <v>1007.4</v>
      </c>
      <c r="F117" s="29">
        <v>1028.1</v>
      </c>
      <c r="G117" s="29">
        <v>1259.25</v>
      </c>
      <c r="H117" s="30">
        <v>1340.9</v>
      </c>
      <c r="I117" s="29">
        <v>1496.15</v>
      </c>
      <c r="J117" s="29">
        <v>1496.15</v>
      </c>
      <c r="K117" s="30">
        <v>1527.2</v>
      </c>
      <c r="L117" s="30">
        <v>1527.2</v>
      </c>
    </row>
    <row r="118" ht="12.75" customHeight="1">
      <c r="A118" s="5">
        <v>116.0</v>
      </c>
      <c r="B118" s="6">
        <v>335.24</v>
      </c>
      <c r="C118" s="6">
        <v>468.64</v>
      </c>
      <c r="D118" s="6">
        <v>851.44</v>
      </c>
      <c r="E118" s="6">
        <v>1016.16</v>
      </c>
      <c r="F118" s="6">
        <v>1037.04</v>
      </c>
      <c r="G118" s="6">
        <v>1270.2</v>
      </c>
      <c r="H118" s="7">
        <v>1352.56</v>
      </c>
      <c r="I118" s="6">
        <v>1509.16</v>
      </c>
      <c r="J118" s="6">
        <v>1509.16</v>
      </c>
      <c r="K118" s="7">
        <v>1540.48</v>
      </c>
      <c r="L118" s="7">
        <v>1540.48</v>
      </c>
    </row>
    <row r="119" ht="12.75" customHeight="1">
      <c r="A119" s="9">
        <v>117.0</v>
      </c>
      <c r="B119" s="10">
        <v>338.13</v>
      </c>
      <c r="C119" s="10">
        <v>472.68</v>
      </c>
      <c r="D119" s="10">
        <v>858.78</v>
      </c>
      <c r="E119" s="10">
        <v>1024.92</v>
      </c>
      <c r="F119" s="10">
        <v>1045.98</v>
      </c>
      <c r="G119" s="10">
        <v>1281.15</v>
      </c>
      <c r="H119" s="11">
        <v>1364.22</v>
      </c>
      <c r="I119" s="10">
        <v>1522.17</v>
      </c>
      <c r="J119" s="10">
        <v>1522.17</v>
      </c>
      <c r="K119" s="11">
        <v>1553.76</v>
      </c>
      <c r="L119" s="11">
        <v>1553.76</v>
      </c>
    </row>
    <row r="120" ht="12.75" customHeight="1">
      <c r="A120" s="13">
        <v>118.0</v>
      </c>
      <c r="B120" s="14">
        <v>341.02</v>
      </c>
      <c r="C120" s="14">
        <v>476.72</v>
      </c>
      <c r="D120" s="14">
        <v>866.12</v>
      </c>
      <c r="E120" s="14">
        <v>1033.68</v>
      </c>
      <c r="F120" s="14">
        <v>1054.92</v>
      </c>
      <c r="G120" s="14">
        <v>1292.1</v>
      </c>
      <c r="H120" s="15">
        <v>1375.88</v>
      </c>
      <c r="I120" s="14">
        <v>1535.18</v>
      </c>
      <c r="J120" s="14">
        <v>1535.18</v>
      </c>
      <c r="K120" s="15">
        <v>1567.04</v>
      </c>
      <c r="L120" s="15">
        <v>1567.04</v>
      </c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13">
        <v>119.0</v>
      </c>
      <c r="B121" s="14">
        <v>343.91</v>
      </c>
      <c r="C121" s="14">
        <v>480.76</v>
      </c>
      <c r="D121" s="14">
        <v>873.46</v>
      </c>
      <c r="E121" s="14">
        <v>1042.44</v>
      </c>
      <c r="F121" s="14">
        <v>1063.86</v>
      </c>
      <c r="G121" s="14">
        <v>1303.05</v>
      </c>
      <c r="H121" s="15">
        <v>1387.54</v>
      </c>
      <c r="I121" s="14">
        <v>1548.19</v>
      </c>
      <c r="J121" s="14">
        <v>1548.19</v>
      </c>
      <c r="K121" s="15">
        <v>1580.32</v>
      </c>
      <c r="L121" s="15">
        <v>1580.32</v>
      </c>
    </row>
    <row r="122" ht="12.75" customHeight="1">
      <c r="A122" s="16">
        <v>120.0</v>
      </c>
      <c r="B122" s="17">
        <v>346.8</v>
      </c>
      <c r="C122" s="17">
        <v>484.8</v>
      </c>
      <c r="D122" s="17">
        <v>880.8</v>
      </c>
      <c r="E122" s="17">
        <v>1051.2</v>
      </c>
      <c r="F122" s="17">
        <v>1072.8</v>
      </c>
      <c r="G122" s="17">
        <v>1314.0</v>
      </c>
      <c r="H122" s="18">
        <v>1399.2</v>
      </c>
      <c r="I122" s="17">
        <v>1561.2</v>
      </c>
      <c r="J122" s="17">
        <v>1561.2</v>
      </c>
      <c r="K122" s="18">
        <v>1593.6</v>
      </c>
      <c r="L122" s="18">
        <v>1593.6</v>
      </c>
    </row>
    <row r="123" ht="12.75" customHeight="1">
      <c r="A123" s="19">
        <v>121.0</v>
      </c>
      <c r="B123" s="20">
        <v>349.69</v>
      </c>
      <c r="C123" s="20">
        <v>488.84</v>
      </c>
      <c r="D123" s="21">
        <v>888.14</v>
      </c>
      <c r="E123" s="21">
        <v>1059.96</v>
      </c>
      <c r="F123" s="21">
        <v>1081.74</v>
      </c>
      <c r="G123" s="21">
        <v>1324.95</v>
      </c>
      <c r="H123" s="22">
        <v>1410.86</v>
      </c>
      <c r="I123" s="21">
        <v>1574.21</v>
      </c>
      <c r="J123" s="21">
        <v>1574.21</v>
      </c>
      <c r="K123" s="22">
        <v>1606.88</v>
      </c>
      <c r="L123" s="22">
        <v>1606.88</v>
      </c>
    </row>
    <row r="124" ht="12.75" customHeight="1">
      <c r="A124" s="23">
        <v>122.0</v>
      </c>
      <c r="B124" s="24">
        <v>352.58</v>
      </c>
      <c r="C124" s="24">
        <v>492.88</v>
      </c>
      <c r="D124" s="25">
        <v>895.48</v>
      </c>
      <c r="E124" s="25">
        <v>1068.72</v>
      </c>
      <c r="F124" s="25">
        <v>1090.68</v>
      </c>
      <c r="G124" s="25">
        <v>1335.9</v>
      </c>
      <c r="H124" s="26">
        <v>1422.52</v>
      </c>
      <c r="I124" s="25">
        <v>1587.22</v>
      </c>
      <c r="J124" s="25">
        <v>1587.22</v>
      </c>
      <c r="K124" s="26">
        <v>1620.16</v>
      </c>
      <c r="L124" s="26">
        <v>1620.16</v>
      </c>
    </row>
    <row r="125" ht="12.75" customHeight="1">
      <c r="A125" s="19">
        <v>123.0</v>
      </c>
      <c r="B125" s="24">
        <v>355.47</v>
      </c>
      <c r="C125" s="24">
        <v>496.92</v>
      </c>
      <c r="D125" s="25">
        <v>902.82</v>
      </c>
      <c r="E125" s="25">
        <v>1077.48</v>
      </c>
      <c r="F125" s="25">
        <v>1099.62</v>
      </c>
      <c r="G125" s="25">
        <v>1346.85</v>
      </c>
      <c r="H125" s="26">
        <v>1434.18</v>
      </c>
      <c r="I125" s="25">
        <v>1600.23</v>
      </c>
      <c r="J125" s="25">
        <v>1600.23</v>
      </c>
      <c r="K125" s="26">
        <v>1633.44</v>
      </c>
      <c r="L125" s="26">
        <v>1633.44</v>
      </c>
    </row>
    <row r="126" ht="12.75" customHeight="1">
      <c r="A126" s="19">
        <v>124.0</v>
      </c>
      <c r="B126" s="24">
        <v>358.36</v>
      </c>
      <c r="C126" s="24">
        <v>500.96</v>
      </c>
      <c r="D126" s="25">
        <v>910.16</v>
      </c>
      <c r="E126" s="25">
        <v>1086.24</v>
      </c>
      <c r="F126" s="25">
        <v>1108.56</v>
      </c>
      <c r="G126" s="25">
        <v>1357.8</v>
      </c>
      <c r="H126" s="26">
        <v>1445.84</v>
      </c>
      <c r="I126" s="25">
        <v>1613.24</v>
      </c>
      <c r="J126" s="25">
        <v>1613.24</v>
      </c>
      <c r="K126" s="26">
        <v>1646.72</v>
      </c>
      <c r="L126" s="26">
        <v>1646.72</v>
      </c>
    </row>
    <row r="127" ht="12.75" customHeight="1">
      <c r="A127" s="27">
        <v>125.0</v>
      </c>
      <c r="B127" s="28">
        <v>361.25</v>
      </c>
      <c r="C127" s="28">
        <v>505.0</v>
      </c>
      <c r="D127" s="29">
        <v>917.5</v>
      </c>
      <c r="E127" s="29">
        <v>1095.0</v>
      </c>
      <c r="F127" s="29">
        <v>1117.5</v>
      </c>
      <c r="G127" s="29">
        <v>1368.75</v>
      </c>
      <c r="H127" s="30">
        <v>1457.5</v>
      </c>
      <c r="I127" s="29">
        <v>1626.25</v>
      </c>
      <c r="J127" s="29">
        <v>1626.25</v>
      </c>
      <c r="K127" s="30">
        <v>1660.0</v>
      </c>
      <c r="L127" s="30">
        <v>1660.0</v>
      </c>
    </row>
    <row r="128" ht="12.75" customHeight="1">
      <c r="A128" s="13">
        <v>126.0</v>
      </c>
      <c r="B128" s="10">
        <v>364.14</v>
      </c>
      <c r="C128" s="10">
        <v>509.04</v>
      </c>
      <c r="D128" s="10">
        <v>924.84</v>
      </c>
      <c r="E128" s="10">
        <v>1103.76</v>
      </c>
      <c r="F128" s="10">
        <v>1126.44</v>
      </c>
      <c r="G128" s="10">
        <v>1379.7</v>
      </c>
      <c r="H128" s="11">
        <v>1469.16</v>
      </c>
      <c r="I128" s="10">
        <v>1639.26</v>
      </c>
      <c r="J128" s="10">
        <v>1639.26</v>
      </c>
      <c r="K128" s="11">
        <v>1673.28</v>
      </c>
      <c r="L128" s="11">
        <v>1673.28</v>
      </c>
    </row>
    <row r="129" ht="12.75" customHeight="1">
      <c r="A129" s="13">
        <v>127.0</v>
      </c>
      <c r="B129" s="14">
        <v>367.03</v>
      </c>
      <c r="C129" s="14">
        <v>513.08</v>
      </c>
      <c r="D129" s="14">
        <v>932.18</v>
      </c>
      <c r="E129" s="14">
        <v>1112.52</v>
      </c>
      <c r="F129" s="14">
        <v>1135.38</v>
      </c>
      <c r="G129" s="14">
        <v>1390.65</v>
      </c>
      <c r="H129" s="15">
        <v>1480.82</v>
      </c>
      <c r="I129" s="14">
        <v>1652.27</v>
      </c>
      <c r="J129" s="14">
        <v>1652.27</v>
      </c>
      <c r="K129" s="15">
        <v>1686.56</v>
      </c>
      <c r="L129" s="15">
        <v>1686.56</v>
      </c>
    </row>
    <row r="130" ht="12.75" customHeight="1">
      <c r="A130" s="13">
        <v>128.0</v>
      </c>
      <c r="B130" s="14">
        <v>369.92</v>
      </c>
      <c r="C130" s="14">
        <v>517.12</v>
      </c>
      <c r="D130" s="14">
        <v>939.52</v>
      </c>
      <c r="E130" s="14">
        <v>1121.28</v>
      </c>
      <c r="F130" s="14">
        <v>1144.32</v>
      </c>
      <c r="G130" s="14">
        <v>1401.6</v>
      </c>
      <c r="H130" s="15">
        <v>1492.48</v>
      </c>
      <c r="I130" s="14">
        <v>1665.28</v>
      </c>
      <c r="J130" s="14">
        <v>1665.28</v>
      </c>
      <c r="K130" s="15">
        <v>1699.84</v>
      </c>
      <c r="L130" s="15">
        <v>1699.84</v>
      </c>
    </row>
    <row r="131" ht="12.75" customHeight="1">
      <c r="A131" s="13">
        <v>129.0</v>
      </c>
      <c r="B131" s="14">
        <v>372.81</v>
      </c>
      <c r="C131" s="14">
        <v>521.16</v>
      </c>
      <c r="D131" s="14">
        <v>946.86</v>
      </c>
      <c r="E131" s="14">
        <v>1130.04</v>
      </c>
      <c r="F131" s="14">
        <v>1153.26</v>
      </c>
      <c r="G131" s="14">
        <v>1412.55</v>
      </c>
      <c r="H131" s="15">
        <v>1504.14</v>
      </c>
      <c r="I131" s="14">
        <v>1678.29</v>
      </c>
      <c r="J131" s="14">
        <v>1678.29</v>
      </c>
      <c r="K131" s="15">
        <v>1713.12</v>
      </c>
      <c r="L131" s="15">
        <v>1713.12</v>
      </c>
    </row>
    <row r="132" ht="12.75" customHeight="1">
      <c r="A132" s="13">
        <v>130.0</v>
      </c>
      <c r="B132" s="17">
        <v>375.7</v>
      </c>
      <c r="C132" s="17">
        <v>525.2</v>
      </c>
      <c r="D132" s="17">
        <v>954.2</v>
      </c>
      <c r="E132" s="17">
        <v>1138.8</v>
      </c>
      <c r="F132" s="17">
        <v>1162.2</v>
      </c>
      <c r="G132" s="17">
        <v>1423.5</v>
      </c>
      <c r="H132" s="18">
        <v>1515.8</v>
      </c>
      <c r="I132" s="17">
        <v>1691.3</v>
      </c>
      <c r="J132" s="17">
        <v>1691.3</v>
      </c>
      <c r="K132" s="18">
        <v>1726.4</v>
      </c>
      <c r="L132" s="18">
        <v>1726.4</v>
      </c>
    </row>
    <row r="133" ht="12.75" customHeight="1">
      <c r="A133" s="31">
        <v>131.0</v>
      </c>
      <c r="B133" s="20">
        <v>378.59</v>
      </c>
      <c r="C133" s="20">
        <v>529.24</v>
      </c>
      <c r="D133" s="21">
        <v>961.54</v>
      </c>
      <c r="E133" s="21">
        <v>1147.56</v>
      </c>
      <c r="F133" s="21">
        <v>1171.14</v>
      </c>
      <c r="G133" s="21">
        <v>1434.45</v>
      </c>
      <c r="H133" s="22">
        <v>1527.46</v>
      </c>
      <c r="I133" s="21">
        <v>1704.31</v>
      </c>
      <c r="J133" s="21">
        <v>1704.31</v>
      </c>
      <c r="K133" s="22">
        <v>1739.68</v>
      </c>
      <c r="L133" s="22">
        <v>1739.68</v>
      </c>
    </row>
    <row r="134" ht="12.75" customHeight="1">
      <c r="A134" s="19">
        <v>132.0</v>
      </c>
      <c r="B134" s="24">
        <v>381.48</v>
      </c>
      <c r="C134" s="24">
        <v>533.28</v>
      </c>
      <c r="D134" s="25">
        <v>968.88</v>
      </c>
      <c r="E134" s="25">
        <v>1156.32</v>
      </c>
      <c r="F134" s="25">
        <v>1180.08</v>
      </c>
      <c r="G134" s="25">
        <v>1445.4</v>
      </c>
      <c r="H134" s="26">
        <v>1539.12</v>
      </c>
      <c r="I134" s="25">
        <v>1717.32</v>
      </c>
      <c r="J134" s="25">
        <v>1717.32</v>
      </c>
      <c r="K134" s="26">
        <v>1752.96</v>
      </c>
      <c r="L134" s="26">
        <v>1752.96</v>
      </c>
    </row>
    <row r="135" ht="12.75" customHeight="1">
      <c r="A135" s="19">
        <v>133.0</v>
      </c>
      <c r="B135" s="24">
        <v>384.37</v>
      </c>
      <c r="C135" s="24">
        <v>537.32</v>
      </c>
      <c r="D135" s="25">
        <v>976.22</v>
      </c>
      <c r="E135" s="25">
        <v>1165.08</v>
      </c>
      <c r="F135" s="25">
        <v>1189.02</v>
      </c>
      <c r="G135" s="25">
        <v>1456.35</v>
      </c>
      <c r="H135" s="26">
        <v>1550.78</v>
      </c>
      <c r="I135" s="25">
        <v>1730.33</v>
      </c>
      <c r="J135" s="25">
        <v>1730.33</v>
      </c>
      <c r="K135" s="26">
        <v>1766.24</v>
      </c>
      <c r="L135" s="26">
        <v>1766.24</v>
      </c>
    </row>
    <row r="136" ht="12.75" customHeight="1">
      <c r="A136" s="19">
        <v>134.0</v>
      </c>
      <c r="B136" s="24">
        <v>387.26</v>
      </c>
      <c r="C136" s="24">
        <v>541.36</v>
      </c>
      <c r="D136" s="25">
        <v>983.56</v>
      </c>
      <c r="E136" s="25">
        <v>1173.84</v>
      </c>
      <c r="F136" s="25">
        <v>1197.96</v>
      </c>
      <c r="G136" s="25">
        <v>1467.3</v>
      </c>
      <c r="H136" s="26">
        <v>1562.44</v>
      </c>
      <c r="I136" s="25">
        <v>1743.34</v>
      </c>
      <c r="J136" s="25">
        <v>1743.34</v>
      </c>
      <c r="K136" s="26">
        <v>1779.52</v>
      </c>
      <c r="L136" s="26">
        <v>1779.52</v>
      </c>
    </row>
    <row r="137" ht="12.75" customHeight="1">
      <c r="A137" s="19">
        <v>135.0</v>
      </c>
      <c r="B137" s="28">
        <v>390.15</v>
      </c>
      <c r="C137" s="28">
        <v>545.4</v>
      </c>
      <c r="D137" s="29">
        <v>990.9</v>
      </c>
      <c r="E137" s="29">
        <v>1182.6</v>
      </c>
      <c r="F137" s="29">
        <v>1206.9</v>
      </c>
      <c r="G137" s="29">
        <v>1478.25</v>
      </c>
      <c r="H137" s="30">
        <v>1574.1</v>
      </c>
      <c r="I137" s="29">
        <v>1756.35</v>
      </c>
      <c r="J137" s="29">
        <v>1756.35</v>
      </c>
      <c r="K137" s="30">
        <v>1792.8</v>
      </c>
      <c r="L137" s="30">
        <v>1792.8</v>
      </c>
    </row>
    <row r="138" ht="12.75" customHeight="1">
      <c r="A138" s="32">
        <v>136.0</v>
      </c>
      <c r="B138" s="10">
        <v>393.04</v>
      </c>
      <c r="C138" s="10">
        <v>549.44</v>
      </c>
      <c r="D138" s="10">
        <v>998.24</v>
      </c>
      <c r="E138" s="10">
        <v>1191.36</v>
      </c>
      <c r="F138" s="10">
        <v>1215.84</v>
      </c>
      <c r="G138" s="10">
        <v>1489.2</v>
      </c>
      <c r="H138" s="11">
        <v>1585.76</v>
      </c>
      <c r="I138" s="10">
        <v>1769.36</v>
      </c>
      <c r="J138" s="10">
        <v>1769.36</v>
      </c>
      <c r="K138" s="11">
        <v>1806.08</v>
      </c>
      <c r="L138" s="11">
        <v>1806.08</v>
      </c>
    </row>
    <row r="139" ht="12.75" customHeight="1">
      <c r="A139" s="13">
        <v>137.0</v>
      </c>
      <c r="B139" s="14">
        <v>395.93</v>
      </c>
      <c r="C139" s="14">
        <v>553.48</v>
      </c>
      <c r="D139" s="14">
        <v>1005.58</v>
      </c>
      <c r="E139" s="14">
        <v>1200.12</v>
      </c>
      <c r="F139" s="14">
        <v>1224.78</v>
      </c>
      <c r="G139" s="14">
        <v>1500.15</v>
      </c>
      <c r="H139" s="15">
        <v>1597.42</v>
      </c>
      <c r="I139" s="14">
        <v>1782.37</v>
      </c>
      <c r="J139" s="14">
        <v>1782.37</v>
      </c>
      <c r="K139" s="15">
        <v>1819.36</v>
      </c>
      <c r="L139" s="15">
        <v>1819.36</v>
      </c>
    </row>
    <row r="140" ht="12.75" customHeight="1">
      <c r="A140" s="13">
        <v>138.0</v>
      </c>
      <c r="B140" s="14">
        <v>398.82</v>
      </c>
      <c r="C140" s="14">
        <v>557.52</v>
      </c>
      <c r="D140" s="14">
        <v>1012.92</v>
      </c>
      <c r="E140" s="14">
        <v>1208.88</v>
      </c>
      <c r="F140" s="14">
        <v>1233.72</v>
      </c>
      <c r="G140" s="14">
        <v>1511.1</v>
      </c>
      <c r="H140" s="15">
        <v>1609.08</v>
      </c>
      <c r="I140" s="14">
        <v>1795.38</v>
      </c>
      <c r="J140" s="14">
        <v>1795.38</v>
      </c>
      <c r="K140" s="15">
        <v>1832.64</v>
      </c>
      <c r="L140" s="15">
        <v>1832.64</v>
      </c>
    </row>
    <row r="141" ht="12.75" customHeight="1">
      <c r="A141" s="13">
        <v>139.0</v>
      </c>
      <c r="B141" s="14">
        <v>401.71</v>
      </c>
      <c r="C141" s="14">
        <v>561.56</v>
      </c>
      <c r="D141" s="14">
        <v>1020.26</v>
      </c>
      <c r="E141" s="14">
        <v>1217.64</v>
      </c>
      <c r="F141" s="14">
        <v>1242.66</v>
      </c>
      <c r="G141" s="14">
        <v>1522.05</v>
      </c>
      <c r="H141" s="15">
        <v>1620.74</v>
      </c>
      <c r="I141" s="14">
        <v>1808.39</v>
      </c>
      <c r="J141" s="14">
        <v>1808.39</v>
      </c>
      <c r="K141" s="15">
        <v>1845.92</v>
      </c>
      <c r="L141" s="15">
        <v>1845.92</v>
      </c>
    </row>
    <row r="142" ht="12.75" customHeight="1">
      <c r="A142" s="16">
        <v>140.0</v>
      </c>
      <c r="B142" s="17">
        <v>404.6</v>
      </c>
      <c r="C142" s="17">
        <v>565.6</v>
      </c>
      <c r="D142" s="17">
        <v>1027.6</v>
      </c>
      <c r="E142" s="17">
        <v>1226.4</v>
      </c>
      <c r="F142" s="17">
        <v>1251.6</v>
      </c>
      <c r="G142" s="17">
        <v>1533.0</v>
      </c>
      <c r="H142" s="18">
        <v>1632.4</v>
      </c>
      <c r="I142" s="17">
        <v>1821.4</v>
      </c>
      <c r="J142" s="17">
        <v>1821.4</v>
      </c>
      <c r="K142" s="18">
        <v>1859.2</v>
      </c>
      <c r="L142" s="18">
        <v>1859.2</v>
      </c>
    </row>
    <row r="143" ht="12.75" customHeight="1">
      <c r="A143" s="19">
        <v>141.0</v>
      </c>
      <c r="B143" s="20">
        <v>407.49</v>
      </c>
      <c r="C143" s="20">
        <v>569.64</v>
      </c>
      <c r="D143" s="21">
        <v>1034.94</v>
      </c>
      <c r="E143" s="21">
        <v>1235.16</v>
      </c>
      <c r="F143" s="21">
        <v>1260.54</v>
      </c>
      <c r="G143" s="21">
        <v>1543.95</v>
      </c>
      <c r="H143" s="22">
        <v>1644.06</v>
      </c>
      <c r="I143" s="21">
        <v>1834.41</v>
      </c>
      <c r="J143" s="21">
        <v>1834.41</v>
      </c>
      <c r="K143" s="22">
        <v>1872.48</v>
      </c>
      <c r="L143" s="22">
        <v>1872.48</v>
      </c>
    </row>
    <row r="144" ht="12.75" customHeight="1">
      <c r="A144" s="23">
        <v>142.0</v>
      </c>
      <c r="B144" s="24">
        <v>410.38</v>
      </c>
      <c r="C144" s="24">
        <v>573.68</v>
      </c>
      <c r="D144" s="25">
        <v>1042.28</v>
      </c>
      <c r="E144" s="25">
        <v>1243.92</v>
      </c>
      <c r="F144" s="25">
        <v>1269.48</v>
      </c>
      <c r="G144" s="25">
        <v>1554.9</v>
      </c>
      <c r="H144" s="26">
        <v>1655.72</v>
      </c>
      <c r="I144" s="25">
        <v>1847.42</v>
      </c>
      <c r="J144" s="25">
        <v>1847.42</v>
      </c>
      <c r="K144" s="26">
        <v>1885.76</v>
      </c>
      <c r="L144" s="26">
        <v>1885.76</v>
      </c>
    </row>
    <row r="145" ht="12.75" customHeight="1">
      <c r="A145" s="23">
        <v>143.0</v>
      </c>
      <c r="B145" s="24">
        <v>413.27</v>
      </c>
      <c r="C145" s="24">
        <v>577.72</v>
      </c>
      <c r="D145" s="25">
        <v>1049.62</v>
      </c>
      <c r="E145" s="25">
        <v>1252.68</v>
      </c>
      <c r="F145" s="25">
        <v>1278.42</v>
      </c>
      <c r="G145" s="25">
        <v>1565.85</v>
      </c>
      <c r="H145" s="26">
        <v>1667.38</v>
      </c>
      <c r="I145" s="25">
        <v>1860.43</v>
      </c>
      <c r="J145" s="25">
        <v>1860.43</v>
      </c>
      <c r="K145" s="26">
        <v>1899.04</v>
      </c>
      <c r="L145" s="26">
        <v>1899.04</v>
      </c>
    </row>
    <row r="146" ht="12.75" customHeight="1">
      <c r="A146" s="23">
        <v>144.0</v>
      </c>
      <c r="B146" s="24">
        <v>416.16</v>
      </c>
      <c r="C146" s="24">
        <v>581.76</v>
      </c>
      <c r="D146" s="25">
        <v>1056.96</v>
      </c>
      <c r="E146" s="25">
        <v>1261.44</v>
      </c>
      <c r="F146" s="25">
        <v>1287.36</v>
      </c>
      <c r="G146" s="25">
        <v>1576.8</v>
      </c>
      <c r="H146" s="26">
        <v>1679.04</v>
      </c>
      <c r="I146" s="25">
        <v>1873.44</v>
      </c>
      <c r="J146" s="25">
        <v>1873.44</v>
      </c>
      <c r="K146" s="26">
        <v>1912.32</v>
      </c>
      <c r="L146" s="26">
        <v>1912.32</v>
      </c>
    </row>
    <row r="147" ht="12.75" customHeight="1">
      <c r="A147" s="23">
        <v>145.0</v>
      </c>
      <c r="B147" s="28">
        <v>419.05</v>
      </c>
      <c r="C147" s="28">
        <v>585.8</v>
      </c>
      <c r="D147" s="29">
        <v>1064.3</v>
      </c>
      <c r="E147" s="29">
        <v>1270.2</v>
      </c>
      <c r="F147" s="29">
        <v>1296.3</v>
      </c>
      <c r="G147" s="29">
        <v>1587.75</v>
      </c>
      <c r="H147" s="30">
        <v>1690.7</v>
      </c>
      <c r="I147" s="29">
        <v>1886.45</v>
      </c>
      <c r="J147" s="29">
        <v>1886.45</v>
      </c>
      <c r="K147" s="30">
        <v>1925.6</v>
      </c>
      <c r="L147" s="30">
        <v>1925.6</v>
      </c>
    </row>
    <row r="148" ht="12.75" customHeight="1">
      <c r="A148" s="9">
        <v>146.0</v>
      </c>
      <c r="B148" s="10">
        <v>421.94</v>
      </c>
      <c r="C148" s="10">
        <v>589.84</v>
      </c>
      <c r="D148" s="10">
        <v>1071.64</v>
      </c>
      <c r="E148" s="10">
        <v>1278.96</v>
      </c>
      <c r="F148" s="10">
        <v>1305.24</v>
      </c>
      <c r="G148" s="10">
        <v>1598.7</v>
      </c>
      <c r="H148" s="11">
        <v>1702.36</v>
      </c>
      <c r="I148" s="10">
        <v>1899.46</v>
      </c>
      <c r="J148" s="10">
        <v>1899.46</v>
      </c>
      <c r="K148" s="11">
        <v>1938.88</v>
      </c>
      <c r="L148" s="11">
        <v>1938.88</v>
      </c>
    </row>
    <row r="149" ht="12.75" customHeight="1">
      <c r="A149" s="33">
        <v>147.0</v>
      </c>
      <c r="B149" s="14">
        <v>424.83</v>
      </c>
      <c r="C149" s="14">
        <v>593.88</v>
      </c>
      <c r="D149" s="14">
        <v>1078.98</v>
      </c>
      <c r="E149" s="14">
        <v>1287.72</v>
      </c>
      <c r="F149" s="14">
        <v>1314.18</v>
      </c>
      <c r="G149" s="14">
        <v>1609.65</v>
      </c>
      <c r="H149" s="15">
        <v>1714.02</v>
      </c>
      <c r="I149" s="14">
        <v>1912.47</v>
      </c>
      <c r="J149" s="14">
        <v>1912.47</v>
      </c>
      <c r="K149" s="15">
        <v>1952.16</v>
      </c>
      <c r="L149" s="15">
        <v>1952.16</v>
      </c>
    </row>
    <row r="150" ht="12.75" customHeight="1">
      <c r="A150" s="33">
        <v>148.0</v>
      </c>
      <c r="B150" s="14">
        <v>427.72</v>
      </c>
      <c r="C150" s="14">
        <v>597.92</v>
      </c>
      <c r="D150" s="14">
        <v>1086.32</v>
      </c>
      <c r="E150" s="14">
        <v>1296.48</v>
      </c>
      <c r="F150" s="14">
        <v>1323.12</v>
      </c>
      <c r="G150" s="14">
        <v>1620.6</v>
      </c>
      <c r="H150" s="15">
        <v>1725.68</v>
      </c>
      <c r="I150" s="14">
        <v>1925.48</v>
      </c>
      <c r="J150" s="14">
        <v>1925.48</v>
      </c>
      <c r="K150" s="15">
        <v>1965.44</v>
      </c>
      <c r="L150" s="15">
        <v>1965.44</v>
      </c>
    </row>
    <row r="151" ht="12.75" customHeight="1">
      <c r="A151" s="33">
        <v>149.0</v>
      </c>
      <c r="B151" s="14">
        <v>430.61</v>
      </c>
      <c r="C151" s="14">
        <v>601.96</v>
      </c>
      <c r="D151" s="14">
        <v>1093.66</v>
      </c>
      <c r="E151" s="14">
        <v>1305.24</v>
      </c>
      <c r="F151" s="14">
        <v>1332.06</v>
      </c>
      <c r="G151" s="14">
        <v>1631.55</v>
      </c>
      <c r="H151" s="15">
        <v>1737.34</v>
      </c>
      <c r="I151" s="14">
        <v>1938.49</v>
      </c>
      <c r="J151" s="14">
        <v>1938.49</v>
      </c>
      <c r="K151" s="15">
        <v>1978.72</v>
      </c>
      <c r="L151" s="15">
        <v>1978.72</v>
      </c>
    </row>
    <row r="152" ht="12.75" customHeight="1">
      <c r="A152" s="16">
        <v>150.0</v>
      </c>
      <c r="B152" s="17">
        <v>433.5</v>
      </c>
      <c r="C152" s="17">
        <v>606.0</v>
      </c>
      <c r="D152" s="17">
        <v>1101.0</v>
      </c>
      <c r="E152" s="17">
        <v>1314.0</v>
      </c>
      <c r="F152" s="17">
        <v>1341.0</v>
      </c>
      <c r="G152" s="17">
        <v>1642.5</v>
      </c>
      <c r="H152" s="18">
        <v>1749.0</v>
      </c>
      <c r="I152" s="17">
        <v>1951.5</v>
      </c>
      <c r="J152" s="17">
        <v>1951.5</v>
      </c>
      <c r="K152" s="18">
        <v>1992.0</v>
      </c>
      <c r="L152" s="18">
        <v>1992.0</v>
      </c>
    </row>
    <row r="153" ht="12.75" customHeight="1">
      <c r="A153" s="36">
        <v>1000.0</v>
      </c>
      <c r="B153" s="37">
        <v>2.89</v>
      </c>
      <c r="C153" s="37">
        <v>4.04</v>
      </c>
      <c r="D153" s="37">
        <v>7.34</v>
      </c>
      <c r="E153" s="37">
        <v>8.76</v>
      </c>
      <c r="F153" s="37">
        <v>8.94</v>
      </c>
      <c r="G153" s="37">
        <v>10.95</v>
      </c>
      <c r="H153" s="38">
        <v>11.66</v>
      </c>
      <c r="I153" s="39">
        <v>13.01</v>
      </c>
      <c r="J153" s="39">
        <v>13.01</v>
      </c>
      <c r="K153" s="40">
        <v>13.28</v>
      </c>
      <c r="L153" s="40">
        <v>13.28</v>
      </c>
    </row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57" footer="0.0" header="0.0" left="0.75" right="0.75" top="0.51"/>
  <pageSetup scale="92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00"/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6.63"/>
    <col customWidth="1" min="2" max="8" width="7.63"/>
    <col customWidth="1" min="9" max="10" width="8.38"/>
    <col customWidth="1" min="11" max="12" width="8.25"/>
    <col customWidth="1" min="13" max="13" width="9.0"/>
    <col customWidth="1" min="14" max="26" width="8.63"/>
  </cols>
  <sheetData>
    <row r="1" ht="12.75" customHeight="1">
      <c r="A1" s="41"/>
      <c r="B1" s="42" t="s">
        <v>0</v>
      </c>
      <c r="C1" s="42" t="s">
        <v>0</v>
      </c>
      <c r="D1" s="42" t="s">
        <v>0</v>
      </c>
      <c r="E1" s="42" t="s">
        <v>0</v>
      </c>
      <c r="F1" s="42" t="s">
        <v>0</v>
      </c>
      <c r="G1" s="42" t="s">
        <v>0</v>
      </c>
      <c r="H1" s="42" t="s">
        <v>0</v>
      </c>
      <c r="I1" s="42" t="s">
        <v>7</v>
      </c>
      <c r="J1" s="42" t="s">
        <v>8</v>
      </c>
      <c r="K1" s="42" t="s">
        <v>9</v>
      </c>
      <c r="L1" s="42" t="s">
        <v>10</v>
      </c>
      <c r="M1" s="42" t="s">
        <v>11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ht="12.75" customHeight="1">
      <c r="A2" s="1" t="s">
        <v>1</v>
      </c>
      <c r="B2" s="3">
        <v>2.0</v>
      </c>
      <c r="C2" s="3">
        <v>3.0</v>
      </c>
      <c r="D2" s="3">
        <v>4.0</v>
      </c>
      <c r="E2" s="3">
        <v>5.0</v>
      </c>
      <c r="F2" s="3">
        <v>6.0</v>
      </c>
      <c r="G2" s="3">
        <v>7.0</v>
      </c>
      <c r="H2" s="3">
        <v>8.0</v>
      </c>
      <c r="I2" s="3">
        <v>9.0</v>
      </c>
      <c r="J2" s="3">
        <v>10.0</v>
      </c>
      <c r="K2" s="3">
        <v>11.0</v>
      </c>
      <c r="L2" s="3">
        <v>12.0</v>
      </c>
      <c r="M2" s="2" t="s">
        <v>12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>
        <v>1.0</v>
      </c>
      <c r="B3" s="43">
        <v>25.23</v>
      </c>
      <c r="C3" s="43">
        <v>26.3</v>
      </c>
      <c r="D3" s="43">
        <v>27.42</v>
      </c>
      <c r="E3" s="43">
        <v>33.31</v>
      </c>
      <c r="F3" s="43">
        <v>40.01</v>
      </c>
      <c r="G3" s="43">
        <v>42.67</v>
      </c>
      <c r="H3" s="43">
        <v>43.54</v>
      </c>
      <c r="I3" s="43">
        <v>63.05</v>
      </c>
      <c r="J3" s="43">
        <v>63.05</v>
      </c>
      <c r="K3" s="44">
        <v>81.65</v>
      </c>
      <c r="L3" s="44">
        <v>81.65</v>
      </c>
      <c r="M3" s="43">
        <v>56.7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9">
        <v>2.0</v>
      </c>
      <c r="B4" s="45">
        <v>26.26</v>
      </c>
      <c r="C4" s="45">
        <v>27.59</v>
      </c>
      <c r="D4" s="45">
        <v>28.48</v>
      </c>
      <c r="E4" s="45">
        <v>36.19</v>
      </c>
      <c r="F4" s="45">
        <v>45.11</v>
      </c>
      <c r="G4" s="45">
        <v>50.07</v>
      </c>
      <c r="H4" s="45">
        <v>52.69</v>
      </c>
      <c r="I4" s="45">
        <v>70.41</v>
      </c>
      <c r="J4" s="45">
        <v>70.41</v>
      </c>
      <c r="K4" s="46">
        <v>99.7</v>
      </c>
      <c r="L4" s="46">
        <v>99.7</v>
      </c>
      <c r="M4" s="45">
        <v>62.2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13">
        <v>3.0</v>
      </c>
      <c r="B5" s="47">
        <v>26.68</v>
      </c>
      <c r="C5" s="47">
        <v>28.48</v>
      </c>
      <c r="D5" s="47">
        <v>30.16</v>
      </c>
      <c r="E5" s="47">
        <v>39.85</v>
      </c>
      <c r="F5" s="47">
        <v>51.83</v>
      </c>
      <c r="G5" s="47">
        <v>58.0</v>
      </c>
      <c r="H5" s="47">
        <v>60.45</v>
      </c>
      <c r="I5" s="47">
        <v>80.38</v>
      </c>
      <c r="J5" s="47">
        <v>80.38</v>
      </c>
      <c r="K5" s="48">
        <v>101.52</v>
      </c>
      <c r="L5" s="48">
        <v>101.52</v>
      </c>
      <c r="M5" s="47">
        <v>70.95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13">
        <v>4.0</v>
      </c>
      <c r="B6" s="47">
        <v>27.5</v>
      </c>
      <c r="C6" s="47">
        <v>29.48</v>
      </c>
      <c r="D6" s="47">
        <v>32.65</v>
      </c>
      <c r="E6" s="47">
        <v>46.52</v>
      </c>
      <c r="F6" s="47">
        <v>59.88</v>
      </c>
      <c r="G6" s="47">
        <v>66.24</v>
      </c>
      <c r="H6" s="47">
        <v>68.81</v>
      </c>
      <c r="I6" s="47">
        <v>85.65</v>
      </c>
      <c r="J6" s="47">
        <v>85.65</v>
      </c>
      <c r="K6" s="48">
        <v>105.96</v>
      </c>
      <c r="L6" s="48">
        <v>105.96</v>
      </c>
      <c r="M6" s="47">
        <v>75.7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16">
        <v>5.0</v>
      </c>
      <c r="B7" s="49">
        <v>28.33</v>
      </c>
      <c r="C7" s="49">
        <v>30.43</v>
      </c>
      <c r="D7" s="49">
        <v>35.49</v>
      </c>
      <c r="E7" s="49">
        <v>51.7</v>
      </c>
      <c r="F7" s="49">
        <v>66.89</v>
      </c>
      <c r="G7" s="49">
        <v>73.79</v>
      </c>
      <c r="H7" s="49">
        <v>78.29</v>
      </c>
      <c r="I7" s="49">
        <v>93.09</v>
      </c>
      <c r="J7" s="49">
        <v>93.09</v>
      </c>
      <c r="K7" s="50">
        <v>109.66</v>
      </c>
      <c r="L7" s="50">
        <v>109.66</v>
      </c>
      <c r="M7" s="49">
        <v>82.1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9">
        <v>6.0</v>
      </c>
      <c r="B8" s="51">
        <v>29.55</v>
      </c>
      <c r="C8" s="51">
        <v>31.62</v>
      </c>
      <c r="D8" s="52">
        <v>38.68</v>
      </c>
      <c r="E8" s="52">
        <v>56.44</v>
      </c>
      <c r="F8" s="52">
        <v>74.36</v>
      </c>
      <c r="G8" s="52">
        <v>82.01</v>
      </c>
      <c r="H8" s="52">
        <v>83.66</v>
      </c>
      <c r="I8" s="52">
        <v>105.44</v>
      </c>
      <c r="J8" s="52">
        <v>105.44</v>
      </c>
      <c r="K8" s="53">
        <v>119.74</v>
      </c>
      <c r="L8" s="53">
        <v>119.74</v>
      </c>
      <c r="M8" s="52">
        <v>87.5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3">
        <v>7.0</v>
      </c>
      <c r="B9" s="54">
        <v>30.79</v>
      </c>
      <c r="C9" s="54">
        <v>34.65</v>
      </c>
      <c r="D9" s="55">
        <v>41.96</v>
      </c>
      <c r="E9" s="55">
        <v>61.69</v>
      </c>
      <c r="F9" s="55">
        <v>83.64</v>
      </c>
      <c r="G9" s="55">
        <v>88.65</v>
      </c>
      <c r="H9" s="55">
        <v>90.45</v>
      </c>
      <c r="I9" s="55">
        <v>106.68</v>
      </c>
      <c r="J9" s="55">
        <v>106.68</v>
      </c>
      <c r="K9" s="56">
        <v>120.75</v>
      </c>
      <c r="L9" s="56">
        <v>120.75</v>
      </c>
      <c r="M9" s="55">
        <v>94.15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19">
        <v>8.0</v>
      </c>
      <c r="B10" s="54">
        <v>32.03</v>
      </c>
      <c r="C10" s="54">
        <v>37.81</v>
      </c>
      <c r="D10" s="55">
        <v>44.9</v>
      </c>
      <c r="E10" s="55">
        <v>67.3</v>
      </c>
      <c r="F10" s="55">
        <v>92.55</v>
      </c>
      <c r="G10" s="55">
        <v>100.29</v>
      </c>
      <c r="H10" s="55">
        <v>103.93</v>
      </c>
      <c r="I10" s="55">
        <v>119.55</v>
      </c>
      <c r="J10" s="55">
        <v>119.55</v>
      </c>
      <c r="K10" s="56">
        <v>135.14</v>
      </c>
      <c r="L10" s="56">
        <v>135.14</v>
      </c>
      <c r="M10" s="55">
        <v>99.7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19">
        <v>9.0</v>
      </c>
      <c r="B11" s="54">
        <v>33.67</v>
      </c>
      <c r="C11" s="54">
        <v>39.47</v>
      </c>
      <c r="D11" s="55">
        <v>48.51</v>
      </c>
      <c r="E11" s="55">
        <v>72.25</v>
      </c>
      <c r="F11" s="55">
        <v>96.41</v>
      </c>
      <c r="G11" s="55">
        <v>109.98</v>
      </c>
      <c r="H11" s="55">
        <v>114.08</v>
      </c>
      <c r="I11" s="55">
        <v>120.84</v>
      </c>
      <c r="J11" s="55">
        <v>120.84</v>
      </c>
      <c r="K11" s="56">
        <v>142.3</v>
      </c>
      <c r="L11" s="56">
        <v>142.3</v>
      </c>
      <c r="M11" s="55">
        <v>105.9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">
        <v>10.0</v>
      </c>
      <c r="B12" s="57">
        <v>33.96</v>
      </c>
      <c r="C12" s="57">
        <v>42.09</v>
      </c>
      <c r="D12" s="58">
        <v>52.25</v>
      </c>
      <c r="E12" s="58">
        <v>77.17</v>
      </c>
      <c r="F12" s="58">
        <v>107.51</v>
      </c>
      <c r="G12" s="58">
        <v>119.63</v>
      </c>
      <c r="H12" s="58">
        <v>123.41</v>
      </c>
      <c r="I12" s="58">
        <v>138.79</v>
      </c>
      <c r="J12" s="58">
        <v>138.79</v>
      </c>
      <c r="K12" s="59">
        <v>148.33</v>
      </c>
      <c r="L12" s="59">
        <v>148.33</v>
      </c>
      <c r="M12" s="58">
        <v>115.1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>
        <v>11.0</v>
      </c>
      <c r="B13" s="45">
        <v>36.92</v>
      </c>
      <c r="C13" s="45">
        <v>44.32</v>
      </c>
      <c r="D13" s="45">
        <v>54.65</v>
      </c>
      <c r="E13" s="45">
        <v>82.52</v>
      </c>
      <c r="F13" s="45">
        <v>116.05</v>
      </c>
      <c r="G13" s="45">
        <v>128.23</v>
      </c>
      <c r="H13" s="45">
        <v>133.71</v>
      </c>
      <c r="I13" s="45">
        <v>140.59</v>
      </c>
      <c r="J13" s="45">
        <v>140.59</v>
      </c>
      <c r="K13" s="46">
        <v>148.95</v>
      </c>
      <c r="L13" s="46">
        <v>148.95</v>
      </c>
      <c r="M13" s="45">
        <v>121.75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13">
        <v>12.0</v>
      </c>
      <c r="B14" s="47">
        <v>38.88</v>
      </c>
      <c r="C14" s="47">
        <v>46.93</v>
      </c>
      <c r="D14" s="47">
        <v>57.65</v>
      </c>
      <c r="E14" s="47">
        <v>87.18</v>
      </c>
      <c r="F14" s="47">
        <v>119.69</v>
      </c>
      <c r="G14" s="47">
        <v>132.09</v>
      </c>
      <c r="H14" s="47">
        <v>134.74</v>
      </c>
      <c r="I14" s="47">
        <v>142.95</v>
      </c>
      <c r="J14" s="47">
        <v>142.95</v>
      </c>
      <c r="K14" s="48">
        <v>149.64</v>
      </c>
      <c r="L14" s="48">
        <v>149.64</v>
      </c>
      <c r="M14" s="47">
        <v>128.75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3">
        <v>13.0</v>
      </c>
      <c r="B15" s="47">
        <v>41.62</v>
      </c>
      <c r="C15" s="47">
        <v>49.37</v>
      </c>
      <c r="D15" s="47">
        <v>59.86</v>
      </c>
      <c r="E15" s="47">
        <v>92.41</v>
      </c>
      <c r="F15" s="47">
        <v>133.18</v>
      </c>
      <c r="G15" s="47">
        <v>144.23</v>
      </c>
      <c r="H15" s="47">
        <v>151.26</v>
      </c>
      <c r="I15" s="47">
        <v>157.87</v>
      </c>
      <c r="J15" s="47">
        <v>157.87</v>
      </c>
      <c r="K15" s="48">
        <v>162.93</v>
      </c>
      <c r="L15" s="48">
        <v>162.93</v>
      </c>
      <c r="M15" s="47">
        <v>133.5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>
        <v>14.0</v>
      </c>
      <c r="B16" s="47">
        <v>43.71</v>
      </c>
      <c r="C16" s="47">
        <v>51.93</v>
      </c>
      <c r="D16" s="47">
        <v>63.77</v>
      </c>
      <c r="E16" s="47">
        <v>97.73</v>
      </c>
      <c r="F16" s="47">
        <v>135.3</v>
      </c>
      <c r="G16" s="47">
        <v>149.91</v>
      </c>
      <c r="H16" s="47">
        <v>152.92</v>
      </c>
      <c r="I16" s="47">
        <v>164.05</v>
      </c>
      <c r="J16" s="47">
        <v>164.05</v>
      </c>
      <c r="K16" s="48">
        <v>169.35</v>
      </c>
      <c r="L16" s="48">
        <v>169.35</v>
      </c>
      <c r="M16" s="47">
        <v>138.6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13">
        <v>15.0</v>
      </c>
      <c r="B17" s="49">
        <v>45.36</v>
      </c>
      <c r="C17" s="49">
        <v>53.19</v>
      </c>
      <c r="D17" s="49">
        <v>66.88</v>
      </c>
      <c r="E17" s="49">
        <v>101.51</v>
      </c>
      <c r="F17" s="49">
        <v>148.81</v>
      </c>
      <c r="G17" s="49">
        <v>158.49</v>
      </c>
      <c r="H17" s="49">
        <v>165.23</v>
      </c>
      <c r="I17" s="49">
        <v>171.6</v>
      </c>
      <c r="J17" s="49">
        <v>171.6</v>
      </c>
      <c r="K17" s="50">
        <v>178.55</v>
      </c>
      <c r="L17" s="50">
        <v>178.55</v>
      </c>
      <c r="M17" s="49">
        <v>143.9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1">
        <v>16.0</v>
      </c>
      <c r="B18" s="51">
        <v>46.43</v>
      </c>
      <c r="C18" s="51">
        <v>54.96</v>
      </c>
      <c r="D18" s="52">
        <v>69.79</v>
      </c>
      <c r="E18" s="52">
        <v>104.81</v>
      </c>
      <c r="F18" s="52">
        <v>155.34</v>
      </c>
      <c r="G18" s="52">
        <v>166.61</v>
      </c>
      <c r="H18" s="52">
        <v>172.24</v>
      </c>
      <c r="I18" s="52">
        <v>178.65</v>
      </c>
      <c r="J18" s="52">
        <v>178.65</v>
      </c>
      <c r="K18" s="53">
        <v>188.61</v>
      </c>
      <c r="L18" s="53">
        <v>188.61</v>
      </c>
      <c r="M18" s="52">
        <v>150.35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9">
        <v>17.0</v>
      </c>
      <c r="B19" s="54">
        <v>47.85</v>
      </c>
      <c r="C19" s="54">
        <v>56.6</v>
      </c>
      <c r="D19" s="55">
        <v>72.81</v>
      </c>
      <c r="E19" s="55">
        <v>109.85</v>
      </c>
      <c r="F19" s="55">
        <v>162.34</v>
      </c>
      <c r="G19" s="55">
        <v>174.61</v>
      </c>
      <c r="H19" s="55">
        <v>180.24</v>
      </c>
      <c r="I19" s="55">
        <v>187.17</v>
      </c>
      <c r="J19" s="55">
        <v>187.17</v>
      </c>
      <c r="K19" s="56">
        <v>196.35</v>
      </c>
      <c r="L19" s="56">
        <v>196.35</v>
      </c>
      <c r="M19" s="55">
        <v>156.6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9">
        <v>18.0</v>
      </c>
      <c r="B20" s="54">
        <v>49.45</v>
      </c>
      <c r="C20" s="54">
        <v>58.46</v>
      </c>
      <c r="D20" s="55">
        <v>75.46</v>
      </c>
      <c r="E20" s="55">
        <v>113.64</v>
      </c>
      <c r="F20" s="55">
        <v>169.07</v>
      </c>
      <c r="G20" s="55">
        <v>175.43</v>
      </c>
      <c r="H20" s="55">
        <v>181.05</v>
      </c>
      <c r="I20" s="55">
        <v>190.83</v>
      </c>
      <c r="J20" s="55">
        <v>190.83</v>
      </c>
      <c r="K20" s="56">
        <v>197.25</v>
      </c>
      <c r="L20" s="56">
        <v>197.25</v>
      </c>
      <c r="M20" s="55">
        <v>164.35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9">
        <v>19.0</v>
      </c>
      <c r="B21" s="54">
        <v>51.42</v>
      </c>
      <c r="C21" s="54">
        <v>60.07</v>
      </c>
      <c r="D21" s="55">
        <v>77.7</v>
      </c>
      <c r="E21" s="55">
        <v>118.28</v>
      </c>
      <c r="F21" s="55">
        <v>175.24</v>
      </c>
      <c r="G21" s="55">
        <v>191.69</v>
      </c>
      <c r="H21" s="55">
        <v>197.14</v>
      </c>
      <c r="I21" s="55">
        <v>204.8</v>
      </c>
      <c r="J21" s="55">
        <v>204.8</v>
      </c>
      <c r="K21" s="56">
        <v>214.76</v>
      </c>
      <c r="L21" s="56">
        <v>214.76</v>
      </c>
      <c r="M21" s="55">
        <v>173.0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19">
        <v>20.0</v>
      </c>
      <c r="B22" s="57">
        <v>53.19</v>
      </c>
      <c r="C22" s="57">
        <v>62.66</v>
      </c>
      <c r="D22" s="58">
        <v>80.7</v>
      </c>
      <c r="E22" s="58">
        <v>123.79</v>
      </c>
      <c r="F22" s="58">
        <v>181.48</v>
      </c>
      <c r="G22" s="58">
        <v>198.27</v>
      </c>
      <c r="H22" s="58">
        <v>204.48</v>
      </c>
      <c r="I22" s="58">
        <v>212.06</v>
      </c>
      <c r="J22" s="58">
        <v>212.06</v>
      </c>
      <c r="K22" s="59">
        <v>217.12</v>
      </c>
      <c r="L22" s="59">
        <v>217.12</v>
      </c>
      <c r="M22" s="58">
        <v>179.3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">
        <v>21.0</v>
      </c>
      <c r="B23" s="45">
        <v>55.67</v>
      </c>
      <c r="C23" s="45">
        <v>65.1</v>
      </c>
      <c r="D23" s="45">
        <v>83.73</v>
      </c>
      <c r="E23" s="45">
        <v>127.97</v>
      </c>
      <c r="F23" s="45">
        <v>182.11</v>
      </c>
      <c r="G23" s="45">
        <v>205.08</v>
      </c>
      <c r="H23" s="45">
        <v>209.41</v>
      </c>
      <c r="I23" s="45">
        <v>213.6</v>
      </c>
      <c r="J23" s="45">
        <v>213.6</v>
      </c>
      <c r="K23" s="46">
        <v>217.9</v>
      </c>
      <c r="L23" s="46">
        <v>217.9</v>
      </c>
      <c r="M23" s="45">
        <v>186.0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3">
        <v>22.0</v>
      </c>
      <c r="B24" s="47">
        <v>57.38</v>
      </c>
      <c r="C24" s="47">
        <v>68.24</v>
      </c>
      <c r="D24" s="47">
        <v>86.04</v>
      </c>
      <c r="E24" s="47">
        <v>131.58</v>
      </c>
      <c r="F24" s="47">
        <v>194.05</v>
      </c>
      <c r="G24" s="47">
        <v>212.92</v>
      </c>
      <c r="H24" s="47">
        <v>217.53</v>
      </c>
      <c r="I24" s="47">
        <v>221.91</v>
      </c>
      <c r="J24" s="47">
        <v>221.91</v>
      </c>
      <c r="K24" s="48">
        <v>232.6</v>
      </c>
      <c r="L24" s="48">
        <v>232.6</v>
      </c>
      <c r="M24" s="47">
        <v>194.6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3">
        <v>23.0</v>
      </c>
      <c r="B25" s="47">
        <v>58.79</v>
      </c>
      <c r="C25" s="47">
        <v>69.74</v>
      </c>
      <c r="D25" s="47">
        <v>89.13</v>
      </c>
      <c r="E25" s="47">
        <v>135.33</v>
      </c>
      <c r="F25" s="47">
        <v>201.07</v>
      </c>
      <c r="G25" s="47">
        <v>219.91</v>
      </c>
      <c r="H25" s="47">
        <v>224.98</v>
      </c>
      <c r="I25" s="47">
        <v>229.5</v>
      </c>
      <c r="J25" s="47">
        <v>229.5</v>
      </c>
      <c r="K25" s="48">
        <v>234.09</v>
      </c>
      <c r="L25" s="48">
        <v>234.09</v>
      </c>
      <c r="M25" s="47">
        <v>201.75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3">
        <v>24.0</v>
      </c>
      <c r="B26" s="47">
        <v>60.14</v>
      </c>
      <c r="C26" s="47">
        <v>72.52</v>
      </c>
      <c r="D26" s="47">
        <v>91.98</v>
      </c>
      <c r="E26" s="47">
        <v>140.58</v>
      </c>
      <c r="F26" s="47">
        <v>208.41</v>
      </c>
      <c r="G26" s="47">
        <v>222.9</v>
      </c>
      <c r="H26" s="47">
        <v>227.36</v>
      </c>
      <c r="I26" s="47">
        <v>231.92</v>
      </c>
      <c r="J26" s="47">
        <v>231.92</v>
      </c>
      <c r="K26" s="48">
        <v>242.35</v>
      </c>
      <c r="L26" s="48">
        <v>242.35</v>
      </c>
      <c r="M26" s="47">
        <v>209.2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6">
        <v>25.0</v>
      </c>
      <c r="B27" s="49">
        <v>62.08</v>
      </c>
      <c r="C27" s="49">
        <v>74.58</v>
      </c>
      <c r="D27" s="49">
        <v>93.73</v>
      </c>
      <c r="E27" s="49">
        <v>145.41</v>
      </c>
      <c r="F27" s="49">
        <v>215.19</v>
      </c>
      <c r="G27" s="49">
        <v>236.57</v>
      </c>
      <c r="H27" s="49">
        <v>246.46</v>
      </c>
      <c r="I27" s="49">
        <v>256.16</v>
      </c>
      <c r="J27" s="49">
        <v>256.16</v>
      </c>
      <c r="K27" s="50">
        <v>267.85</v>
      </c>
      <c r="L27" s="50">
        <v>267.85</v>
      </c>
      <c r="M27" s="49">
        <v>216.55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9">
        <v>26.0</v>
      </c>
      <c r="B28" s="51">
        <v>63.95</v>
      </c>
      <c r="C28" s="51">
        <v>76.63</v>
      </c>
      <c r="D28" s="52">
        <v>97.21</v>
      </c>
      <c r="E28" s="52">
        <v>150.18</v>
      </c>
      <c r="F28" s="52">
        <v>222.49</v>
      </c>
      <c r="G28" s="52">
        <v>244.7</v>
      </c>
      <c r="H28" s="52">
        <v>253.25</v>
      </c>
      <c r="I28" s="52">
        <v>262.85</v>
      </c>
      <c r="J28" s="52">
        <v>262.85</v>
      </c>
      <c r="K28" s="53">
        <v>276.1</v>
      </c>
      <c r="L28" s="53">
        <v>276.1</v>
      </c>
      <c r="M28" s="52">
        <v>218.15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>
        <v>27.0</v>
      </c>
      <c r="B29" s="54">
        <v>65.99</v>
      </c>
      <c r="C29" s="54">
        <v>78.87</v>
      </c>
      <c r="D29" s="55">
        <v>99.68</v>
      </c>
      <c r="E29" s="55">
        <v>155.49</v>
      </c>
      <c r="F29" s="55">
        <v>230.03</v>
      </c>
      <c r="G29" s="55">
        <v>252.92</v>
      </c>
      <c r="H29" s="55">
        <v>261.21</v>
      </c>
      <c r="I29" s="55">
        <v>271.35</v>
      </c>
      <c r="J29" s="55">
        <v>271.35</v>
      </c>
      <c r="K29" s="56">
        <v>284.41</v>
      </c>
      <c r="L29" s="56">
        <v>284.41</v>
      </c>
      <c r="M29" s="55">
        <v>225.05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>
        <v>28.0</v>
      </c>
      <c r="B30" s="54">
        <v>68.11</v>
      </c>
      <c r="C30" s="54">
        <v>81.46</v>
      </c>
      <c r="D30" s="55">
        <v>101.98</v>
      </c>
      <c r="E30" s="55">
        <v>159.19</v>
      </c>
      <c r="F30" s="55">
        <v>235.91</v>
      </c>
      <c r="G30" s="55">
        <v>259.45</v>
      </c>
      <c r="H30" s="55">
        <v>267.53</v>
      </c>
      <c r="I30" s="55">
        <v>280.08</v>
      </c>
      <c r="J30" s="55">
        <v>280.08</v>
      </c>
      <c r="K30" s="56">
        <v>294.48</v>
      </c>
      <c r="L30" s="56">
        <v>294.48</v>
      </c>
      <c r="M30" s="55">
        <v>232.2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>
        <v>29.0</v>
      </c>
      <c r="B31" s="54">
        <v>69.88</v>
      </c>
      <c r="C31" s="54">
        <v>82.98</v>
      </c>
      <c r="D31" s="55">
        <v>104.99</v>
      </c>
      <c r="E31" s="55">
        <v>162.98</v>
      </c>
      <c r="F31" s="55">
        <v>242.27</v>
      </c>
      <c r="G31" s="55">
        <v>265.94</v>
      </c>
      <c r="H31" s="55">
        <v>275.5</v>
      </c>
      <c r="I31" s="55">
        <v>287.13</v>
      </c>
      <c r="J31" s="55">
        <v>287.13</v>
      </c>
      <c r="K31" s="56">
        <v>302.73</v>
      </c>
      <c r="L31" s="56">
        <v>302.73</v>
      </c>
      <c r="M31" s="55">
        <v>238.5</v>
      </c>
    </row>
    <row r="32" ht="12.75" customHeight="1">
      <c r="A32" s="23">
        <v>30.0</v>
      </c>
      <c r="B32" s="57">
        <v>70.15</v>
      </c>
      <c r="C32" s="57">
        <v>85.23</v>
      </c>
      <c r="D32" s="58">
        <v>108.63</v>
      </c>
      <c r="E32" s="58">
        <v>168.3</v>
      </c>
      <c r="F32" s="58">
        <v>248.91</v>
      </c>
      <c r="G32" s="58">
        <v>273.13</v>
      </c>
      <c r="H32" s="58">
        <v>282.47</v>
      </c>
      <c r="I32" s="58">
        <v>296.23</v>
      </c>
      <c r="J32" s="58">
        <v>296.23</v>
      </c>
      <c r="K32" s="59">
        <v>310.48</v>
      </c>
      <c r="L32" s="59">
        <v>310.48</v>
      </c>
      <c r="M32" s="58">
        <v>245.5</v>
      </c>
    </row>
    <row r="33" ht="12.75" customHeight="1">
      <c r="A33" s="9">
        <v>31.0</v>
      </c>
      <c r="B33" s="45">
        <v>70.43</v>
      </c>
      <c r="C33" s="45">
        <v>88.09</v>
      </c>
      <c r="D33" s="45">
        <v>111.56</v>
      </c>
      <c r="E33" s="45">
        <v>172.08</v>
      </c>
      <c r="F33" s="45">
        <v>254.6</v>
      </c>
      <c r="G33" s="45">
        <v>279.04</v>
      </c>
      <c r="H33" s="45">
        <v>290.03</v>
      </c>
      <c r="I33" s="45">
        <v>303.52</v>
      </c>
      <c r="J33" s="45">
        <v>303.52</v>
      </c>
      <c r="K33" s="46">
        <v>311.34</v>
      </c>
      <c r="L33" s="46">
        <v>311.34</v>
      </c>
      <c r="M33" s="45">
        <v>252.3</v>
      </c>
    </row>
    <row r="34" ht="12.75" customHeight="1">
      <c r="A34" s="33">
        <v>32.0</v>
      </c>
      <c r="B34" s="47">
        <v>70.74</v>
      </c>
      <c r="C34" s="47">
        <v>90.05</v>
      </c>
      <c r="D34" s="47">
        <v>114.74</v>
      </c>
      <c r="E34" s="47">
        <v>176.24</v>
      </c>
      <c r="F34" s="47">
        <v>262.06</v>
      </c>
      <c r="G34" s="47">
        <v>286.79</v>
      </c>
      <c r="H34" s="47">
        <v>297.03</v>
      </c>
      <c r="I34" s="47">
        <v>313.06</v>
      </c>
      <c r="J34" s="47">
        <v>313.06</v>
      </c>
      <c r="K34" s="48">
        <v>328.39</v>
      </c>
      <c r="L34" s="48">
        <v>328.39</v>
      </c>
      <c r="M34" s="47">
        <v>259.65</v>
      </c>
    </row>
    <row r="35" ht="12.75" customHeight="1">
      <c r="A35" s="33">
        <v>33.0</v>
      </c>
      <c r="B35" s="47">
        <v>76.58</v>
      </c>
      <c r="C35" s="47">
        <v>92.39</v>
      </c>
      <c r="D35" s="47">
        <v>117.93</v>
      </c>
      <c r="E35" s="47">
        <v>180.0</v>
      </c>
      <c r="F35" s="47">
        <v>269.09</v>
      </c>
      <c r="G35" s="47">
        <v>293.39</v>
      </c>
      <c r="H35" s="47">
        <v>304.59</v>
      </c>
      <c r="I35" s="47">
        <v>314.02</v>
      </c>
      <c r="J35" s="47">
        <v>314.02</v>
      </c>
      <c r="K35" s="48">
        <v>331.61</v>
      </c>
      <c r="L35" s="48">
        <v>331.61</v>
      </c>
      <c r="M35" s="47">
        <v>266.7</v>
      </c>
    </row>
    <row r="36" ht="12.75" customHeight="1">
      <c r="A36" s="33">
        <v>34.0</v>
      </c>
      <c r="B36" s="47">
        <v>78.98</v>
      </c>
      <c r="C36" s="47">
        <v>94.1</v>
      </c>
      <c r="D36" s="47">
        <v>120.41</v>
      </c>
      <c r="E36" s="47">
        <v>186.3</v>
      </c>
      <c r="F36" s="47">
        <v>277.23</v>
      </c>
      <c r="G36" s="47">
        <v>300.68</v>
      </c>
      <c r="H36" s="47">
        <v>312.08</v>
      </c>
      <c r="I36" s="47">
        <v>319.21</v>
      </c>
      <c r="J36" s="47">
        <v>319.21</v>
      </c>
      <c r="K36" s="48">
        <v>331.94</v>
      </c>
      <c r="L36" s="48">
        <v>331.94</v>
      </c>
      <c r="M36" s="47">
        <v>273.65</v>
      </c>
    </row>
    <row r="37" ht="12.75" customHeight="1">
      <c r="A37" s="16">
        <v>35.0</v>
      </c>
      <c r="B37" s="49">
        <v>80.57</v>
      </c>
      <c r="C37" s="49">
        <v>96.96</v>
      </c>
      <c r="D37" s="49">
        <v>123.01</v>
      </c>
      <c r="E37" s="49">
        <v>189.99</v>
      </c>
      <c r="F37" s="49">
        <v>285.55</v>
      </c>
      <c r="G37" s="49">
        <v>307.3</v>
      </c>
      <c r="H37" s="49">
        <v>313.45</v>
      </c>
      <c r="I37" s="49">
        <v>319.73</v>
      </c>
      <c r="J37" s="49">
        <v>319.73</v>
      </c>
      <c r="K37" s="50">
        <v>332.33</v>
      </c>
      <c r="L37" s="50">
        <v>332.33</v>
      </c>
      <c r="M37" s="49">
        <v>281.0</v>
      </c>
    </row>
    <row r="38" ht="12.75" customHeight="1">
      <c r="A38" s="5">
        <v>36.0</v>
      </c>
      <c r="B38" s="60">
        <v>81.83</v>
      </c>
      <c r="C38" s="60">
        <v>99.09</v>
      </c>
      <c r="D38" s="60">
        <v>125.56</v>
      </c>
      <c r="E38" s="60">
        <v>193.89</v>
      </c>
      <c r="F38" s="60">
        <v>293.22</v>
      </c>
      <c r="G38" s="60">
        <v>315.22</v>
      </c>
      <c r="H38" s="60">
        <v>321.54</v>
      </c>
      <c r="I38" s="60">
        <v>327.98</v>
      </c>
      <c r="J38" s="60">
        <v>327.98</v>
      </c>
      <c r="K38" s="61">
        <v>339.5</v>
      </c>
      <c r="L38" s="61">
        <v>339.5</v>
      </c>
      <c r="M38" s="60">
        <v>293.3</v>
      </c>
    </row>
    <row r="39" ht="12.75" customHeight="1">
      <c r="A39" s="9">
        <v>37.0</v>
      </c>
      <c r="B39" s="45">
        <v>83.35</v>
      </c>
      <c r="C39" s="45">
        <v>100.52</v>
      </c>
      <c r="D39" s="45">
        <v>128.6</v>
      </c>
      <c r="E39" s="45">
        <v>198.9</v>
      </c>
      <c r="F39" s="45">
        <v>301.19</v>
      </c>
      <c r="G39" s="45">
        <v>326.43</v>
      </c>
      <c r="H39" s="45">
        <v>336.61</v>
      </c>
      <c r="I39" s="45">
        <v>354.2</v>
      </c>
      <c r="J39" s="45">
        <v>354.2</v>
      </c>
      <c r="K39" s="46">
        <v>361.73</v>
      </c>
      <c r="L39" s="46">
        <v>361.73</v>
      </c>
      <c r="M39" s="45">
        <v>300.7</v>
      </c>
    </row>
    <row r="40" ht="12.75" customHeight="1">
      <c r="A40" s="13">
        <v>38.0</v>
      </c>
      <c r="B40" s="47">
        <v>84.75</v>
      </c>
      <c r="C40" s="47">
        <v>102.04</v>
      </c>
      <c r="D40" s="47">
        <v>131.85</v>
      </c>
      <c r="E40" s="47">
        <v>202.92</v>
      </c>
      <c r="F40" s="47">
        <v>308.86</v>
      </c>
      <c r="G40" s="47">
        <v>334.91</v>
      </c>
      <c r="H40" s="47">
        <v>345.79</v>
      </c>
      <c r="I40" s="47">
        <v>356.83</v>
      </c>
      <c r="J40" s="47">
        <v>356.83</v>
      </c>
      <c r="K40" s="48">
        <v>363.98</v>
      </c>
      <c r="L40" s="48">
        <v>363.98</v>
      </c>
      <c r="M40" s="47">
        <v>307.8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13">
        <v>39.0</v>
      </c>
      <c r="B41" s="47">
        <v>87.44</v>
      </c>
      <c r="C41" s="47">
        <v>104.74</v>
      </c>
      <c r="D41" s="47">
        <v>134.07</v>
      </c>
      <c r="E41" s="47">
        <v>206.96</v>
      </c>
      <c r="F41" s="47">
        <v>316.34</v>
      </c>
      <c r="G41" s="47">
        <v>343.82</v>
      </c>
      <c r="H41" s="47">
        <v>354.78</v>
      </c>
      <c r="I41" s="47">
        <v>372.71</v>
      </c>
      <c r="J41" s="47">
        <v>372.71</v>
      </c>
      <c r="K41" s="48">
        <v>389.61</v>
      </c>
      <c r="L41" s="48">
        <v>389.61</v>
      </c>
      <c r="M41" s="47">
        <v>314.95</v>
      </c>
    </row>
    <row r="42" ht="12.75" customHeight="1">
      <c r="A42" s="16">
        <v>40.0</v>
      </c>
      <c r="B42" s="49">
        <v>87.71</v>
      </c>
      <c r="C42" s="49">
        <v>107.52</v>
      </c>
      <c r="D42" s="49">
        <v>137.26</v>
      </c>
      <c r="E42" s="49">
        <v>211.63</v>
      </c>
      <c r="F42" s="49">
        <v>323.52</v>
      </c>
      <c r="G42" s="49">
        <v>352.25</v>
      </c>
      <c r="H42" s="49">
        <v>362.62</v>
      </c>
      <c r="I42" s="49">
        <v>380.15</v>
      </c>
      <c r="J42" s="49">
        <v>380.15</v>
      </c>
      <c r="K42" s="50">
        <v>393.39</v>
      </c>
      <c r="L42" s="50">
        <v>393.39</v>
      </c>
      <c r="M42" s="49">
        <v>321.35</v>
      </c>
    </row>
    <row r="43" ht="12.75" customHeight="1">
      <c r="A43" s="19">
        <v>41.0</v>
      </c>
      <c r="B43" s="51">
        <v>91.97</v>
      </c>
      <c r="C43" s="51">
        <v>110.12</v>
      </c>
      <c r="D43" s="52">
        <v>138.86</v>
      </c>
      <c r="E43" s="52">
        <v>215.51</v>
      </c>
      <c r="F43" s="52">
        <v>330.83</v>
      </c>
      <c r="G43" s="52">
        <v>361.44</v>
      </c>
      <c r="H43" s="52">
        <v>372.42</v>
      </c>
      <c r="I43" s="52">
        <v>388.45</v>
      </c>
      <c r="J43" s="52">
        <v>388.45</v>
      </c>
      <c r="K43" s="53">
        <v>402.48</v>
      </c>
      <c r="L43" s="53">
        <v>402.48</v>
      </c>
      <c r="M43" s="52">
        <v>328.2</v>
      </c>
    </row>
    <row r="44" ht="12.75" customHeight="1">
      <c r="A44" s="23">
        <v>42.0</v>
      </c>
      <c r="B44" s="54">
        <v>93.47</v>
      </c>
      <c r="C44" s="54">
        <v>112.79</v>
      </c>
      <c r="D44" s="55">
        <v>141.69</v>
      </c>
      <c r="E44" s="55">
        <v>220.06</v>
      </c>
      <c r="F44" s="55">
        <v>337.92</v>
      </c>
      <c r="G44" s="55">
        <v>370.35</v>
      </c>
      <c r="H44" s="55">
        <v>381.77</v>
      </c>
      <c r="I44" s="55">
        <v>395.47</v>
      </c>
      <c r="J44" s="55">
        <v>395.47</v>
      </c>
      <c r="K44" s="56">
        <v>403.39</v>
      </c>
      <c r="L44" s="56">
        <v>403.39</v>
      </c>
      <c r="M44" s="55">
        <v>335.75</v>
      </c>
    </row>
    <row r="45" ht="12.75" customHeight="1">
      <c r="A45" s="19">
        <v>43.0</v>
      </c>
      <c r="B45" s="54">
        <v>95.43</v>
      </c>
      <c r="C45" s="54">
        <v>115.13</v>
      </c>
      <c r="D45" s="55">
        <v>143.85</v>
      </c>
      <c r="E45" s="55">
        <v>223.73</v>
      </c>
      <c r="F45" s="55">
        <v>345.87</v>
      </c>
      <c r="G45" s="55">
        <v>377.22</v>
      </c>
      <c r="H45" s="55">
        <v>389.74</v>
      </c>
      <c r="I45" s="55">
        <v>404.71</v>
      </c>
      <c r="J45" s="55">
        <v>404.71</v>
      </c>
      <c r="K45" s="56">
        <v>421.29</v>
      </c>
      <c r="L45" s="56">
        <v>421.29</v>
      </c>
      <c r="M45" s="55">
        <v>342.35</v>
      </c>
    </row>
    <row r="46" ht="12.75" customHeight="1">
      <c r="A46" s="19">
        <v>44.0</v>
      </c>
      <c r="B46" s="54">
        <v>97.04</v>
      </c>
      <c r="C46" s="54">
        <v>116.55</v>
      </c>
      <c r="D46" s="55">
        <v>147.11</v>
      </c>
      <c r="E46" s="55">
        <v>227.72</v>
      </c>
      <c r="F46" s="55">
        <v>352.61</v>
      </c>
      <c r="G46" s="55">
        <v>383.63</v>
      </c>
      <c r="H46" s="55">
        <v>397.41</v>
      </c>
      <c r="I46" s="55">
        <v>412.76</v>
      </c>
      <c r="J46" s="55">
        <v>412.76</v>
      </c>
      <c r="K46" s="56">
        <v>428.37</v>
      </c>
      <c r="L46" s="56">
        <v>428.37</v>
      </c>
      <c r="M46" s="55">
        <v>348.75</v>
      </c>
    </row>
    <row r="47" ht="12.75" customHeight="1">
      <c r="A47" s="27">
        <v>45.0</v>
      </c>
      <c r="B47" s="57">
        <v>97.47</v>
      </c>
      <c r="C47" s="57">
        <v>119.41</v>
      </c>
      <c r="D47" s="58">
        <v>149.25</v>
      </c>
      <c r="E47" s="58">
        <v>230.88</v>
      </c>
      <c r="F47" s="58">
        <v>359.03</v>
      </c>
      <c r="G47" s="58">
        <v>390.81</v>
      </c>
      <c r="H47" s="58">
        <v>403.34</v>
      </c>
      <c r="I47" s="58">
        <v>418.77</v>
      </c>
      <c r="J47" s="58">
        <v>418.77</v>
      </c>
      <c r="K47" s="59">
        <v>432.19</v>
      </c>
      <c r="L47" s="59">
        <v>432.19</v>
      </c>
      <c r="M47" s="58">
        <v>354.05</v>
      </c>
    </row>
    <row r="48" ht="12.75" customHeight="1">
      <c r="A48" s="13">
        <v>46.0</v>
      </c>
      <c r="B48" s="45">
        <v>100.48</v>
      </c>
      <c r="C48" s="45">
        <v>120.74</v>
      </c>
      <c r="D48" s="45">
        <v>152.25</v>
      </c>
      <c r="E48" s="45">
        <v>233.24</v>
      </c>
      <c r="F48" s="45">
        <v>365.1</v>
      </c>
      <c r="G48" s="45">
        <v>397.12</v>
      </c>
      <c r="H48" s="45">
        <v>412.04</v>
      </c>
      <c r="I48" s="45">
        <v>420.81</v>
      </c>
      <c r="J48" s="45">
        <v>420.81</v>
      </c>
      <c r="K48" s="46">
        <v>432.59</v>
      </c>
      <c r="L48" s="46">
        <v>432.59</v>
      </c>
      <c r="M48" s="45">
        <v>362.6</v>
      </c>
    </row>
    <row r="49" ht="12.75" customHeight="1">
      <c r="A49" s="13">
        <v>47.0</v>
      </c>
      <c r="B49" s="47">
        <v>100.8</v>
      </c>
      <c r="C49" s="47">
        <v>121.01</v>
      </c>
      <c r="D49" s="47">
        <v>154.79</v>
      </c>
      <c r="E49" s="47">
        <v>233.54</v>
      </c>
      <c r="F49" s="47">
        <v>365.76</v>
      </c>
      <c r="G49" s="47">
        <v>397.77</v>
      </c>
      <c r="H49" s="47">
        <v>412.92</v>
      </c>
      <c r="I49" s="47">
        <v>421.19</v>
      </c>
      <c r="J49" s="47">
        <v>421.19</v>
      </c>
      <c r="K49" s="48">
        <v>432.89</v>
      </c>
      <c r="L49" s="48">
        <v>432.89</v>
      </c>
      <c r="M49" s="47">
        <v>369.45</v>
      </c>
    </row>
    <row r="50" ht="12.75" customHeight="1">
      <c r="A50" s="13">
        <v>48.0</v>
      </c>
      <c r="B50" s="47">
        <v>102.9</v>
      </c>
      <c r="C50" s="47">
        <v>125.89</v>
      </c>
      <c r="D50" s="47">
        <v>157.54</v>
      </c>
      <c r="E50" s="47">
        <v>233.83</v>
      </c>
      <c r="F50" s="47">
        <v>378.86</v>
      </c>
      <c r="G50" s="47">
        <v>407.38</v>
      </c>
      <c r="H50" s="47">
        <v>416.2</v>
      </c>
      <c r="I50" s="47">
        <v>424.54</v>
      </c>
      <c r="J50" s="47">
        <v>424.54</v>
      </c>
      <c r="K50" s="48">
        <v>433.18</v>
      </c>
      <c r="L50" s="48">
        <v>433.18</v>
      </c>
      <c r="M50" s="47">
        <v>375.85</v>
      </c>
    </row>
    <row r="51" ht="12.75" customHeight="1">
      <c r="A51" s="13">
        <v>49.0</v>
      </c>
      <c r="B51" s="47">
        <v>103.17</v>
      </c>
      <c r="C51" s="47">
        <v>126.39</v>
      </c>
      <c r="D51" s="47">
        <v>157.86</v>
      </c>
      <c r="E51" s="47">
        <v>234.09</v>
      </c>
      <c r="F51" s="47">
        <v>385.3</v>
      </c>
      <c r="G51" s="47">
        <v>408.35</v>
      </c>
      <c r="H51" s="47">
        <v>416.53</v>
      </c>
      <c r="I51" s="47">
        <v>424.88</v>
      </c>
      <c r="J51" s="47">
        <v>424.88</v>
      </c>
      <c r="K51" s="48">
        <v>433.38</v>
      </c>
      <c r="L51" s="48">
        <v>433.38</v>
      </c>
      <c r="M51" s="47">
        <v>382.95</v>
      </c>
    </row>
    <row r="52" ht="12.75" customHeight="1">
      <c r="A52" s="13">
        <v>50.0</v>
      </c>
      <c r="B52" s="49">
        <v>103.46</v>
      </c>
      <c r="C52" s="49">
        <v>126.66</v>
      </c>
      <c r="D52" s="49">
        <v>162.8</v>
      </c>
      <c r="E52" s="49">
        <v>234.54</v>
      </c>
      <c r="F52" s="49">
        <v>391.89</v>
      </c>
      <c r="G52" s="49">
        <v>409.01</v>
      </c>
      <c r="H52" s="49">
        <v>417.2</v>
      </c>
      <c r="I52" s="49">
        <v>425.56</v>
      </c>
      <c r="J52" s="49">
        <v>425.56</v>
      </c>
      <c r="K52" s="50">
        <v>434.08</v>
      </c>
      <c r="L52" s="50">
        <v>434.08</v>
      </c>
      <c r="M52" s="49">
        <v>383.05</v>
      </c>
    </row>
    <row r="53" ht="12.75" customHeight="1">
      <c r="A53" s="31">
        <v>51.0</v>
      </c>
      <c r="B53" s="51">
        <v>104.42</v>
      </c>
      <c r="C53" s="51">
        <v>127.21</v>
      </c>
      <c r="D53" s="52">
        <v>166.41</v>
      </c>
      <c r="E53" s="52">
        <v>243.39</v>
      </c>
      <c r="F53" s="52">
        <v>412.28</v>
      </c>
      <c r="G53" s="52">
        <v>422.06</v>
      </c>
      <c r="H53" s="52">
        <v>430.51</v>
      </c>
      <c r="I53" s="52">
        <v>439.13</v>
      </c>
      <c r="J53" s="52">
        <v>439.13</v>
      </c>
      <c r="K53" s="53">
        <v>447.92</v>
      </c>
      <c r="L53" s="53">
        <v>447.92</v>
      </c>
      <c r="M53" s="52">
        <v>395.95</v>
      </c>
    </row>
    <row r="54" ht="12.75" customHeight="1">
      <c r="A54" s="19">
        <v>52.0</v>
      </c>
      <c r="B54" s="54">
        <v>111.79</v>
      </c>
      <c r="C54" s="54">
        <v>134.04</v>
      </c>
      <c r="D54" s="55">
        <v>171.75</v>
      </c>
      <c r="E54" s="55">
        <v>256.78</v>
      </c>
      <c r="F54" s="55">
        <v>418.55</v>
      </c>
      <c r="G54" s="55">
        <v>452.17</v>
      </c>
      <c r="H54" s="55">
        <v>462.7</v>
      </c>
      <c r="I54" s="55">
        <v>471.96</v>
      </c>
      <c r="J54" s="55">
        <v>471.96</v>
      </c>
      <c r="K54" s="56">
        <v>486.41</v>
      </c>
      <c r="L54" s="56">
        <v>486.41</v>
      </c>
      <c r="M54" s="55">
        <v>396.8</v>
      </c>
    </row>
    <row r="55" ht="12.75" customHeight="1">
      <c r="A55" s="19">
        <v>53.0</v>
      </c>
      <c r="B55" s="54">
        <v>114.03</v>
      </c>
      <c r="C55" s="54">
        <v>136.76</v>
      </c>
      <c r="D55" s="55">
        <v>174.17</v>
      </c>
      <c r="E55" s="55">
        <v>258.67</v>
      </c>
      <c r="F55" s="55">
        <v>419.19</v>
      </c>
      <c r="G55" s="55">
        <v>456.79</v>
      </c>
      <c r="H55" s="55">
        <v>465.93</v>
      </c>
      <c r="I55" s="55">
        <v>475.25</v>
      </c>
      <c r="J55" s="55">
        <v>475.25</v>
      </c>
      <c r="K55" s="56">
        <v>490.26</v>
      </c>
      <c r="L55" s="56">
        <v>490.26</v>
      </c>
      <c r="M55" s="55">
        <v>402.7</v>
      </c>
    </row>
    <row r="56" ht="12.75" customHeight="1">
      <c r="A56" s="19">
        <v>54.0</v>
      </c>
      <c r="B56" s="54">
        <v>115.64</v>
      </c>
      <c r="C56" s="54">
        <v>138.42</v>
      </c>
      <c r="D56" s="55">
        <v>176.89</v>
      </c>
      <c r="E56" s="55">
        <v>259.28</v>
      </c>
      <c r="F56" s="55">
        <v>420.1</v>
      </c>
      <c r="G56" s="55">
        <v>457.36</v>
      </c>
      <c r="H56" s="55">
        <v>466.52</v>
      </c>
      <c r="I56" s="55">
        <v>475.87</v>
      </c>
      <c r="J56" s="55">
        <v>475.87</v>
      </c>
      <c r="K56" s="56">
        <v>490.86</v>
      </c>
      <c r="L56" s="56">
        <v>490.86</v>
      </c>
      <c r="M56" s="55">
        <v>407.7</v>
      </c>
    </row>
    <row r="57" ht="12.75" customHeight="1">
      <c r="A57" s="19">
        <v>55.0</v>
      </c>
      <c r="B57" s="57">
        <v>117.77</v>
      </c>
      <c r="C57" s="57">
        <v>138.97</v>
      </c>
      <c r="D57" s="58">
        <v>178.44</v>
      </c>
      <c r="E57" s="58">
        <v>259.87</v>
      </c>
      <c r="F57" s="58">
        <v>438.08</v>
      </c>
      <c r="G57" s="58">
        <v>457.93</v>
      </c>
      <c r="H57" s="58">
        <v>467.09</v>
      </c>
      <c r="I57" s="58">
        <v>476.44</v>
      </c>
      <c r="J57" s="58">
        <v>476.44</v>
      </c>
      <c r="K57" s="59">
        <v>491.39</v>
      </c>
      <c r="L57" s="59">
        <v>491.39</v>
      </c>
      <c r="M57" s="58">
        <v>420.05</v>
      </c>
    </row>
    <row r="58" ht="12.75" customHeight="1">
      <c r="A58" s="32">
        <v>56.0</v>
      </c>
      <c r="B58" s="45">
        <v>118.71</v>
      </c>
      <c r="C58" s="45">
        <v>139.52</v>
      </c>
      <c r="D58" s="45">
        <v>178.99</v>
      </c>
      <c r="E58" s="45">
        <v>260.62</v>
      </c>
      <c r="F58" s="45">
        <v>439.9</v>
      </c>
      <c r="G58" s="45">
        <v>458.49</v>
      </c>
      <c r="H58" s="45">
        <v>467.68</v>
      </c>
      <c r="I58" s="45">
        <v>477.05</v>
      </c>
      <c r="J58" s="45">
        <v>477.05</v>
      </c>
      <c r="K58" s="46">
        <v>491.91</v>
      </c>
      <c r="L58" s="46">
        <v>491.91</v>
      </c>
      <c r="M58" s="45">
        <v>421.2</v>
      </c>
    </row>
    <row r="59" ht="12.75" customHeight="1">
      <c r="A59" s="13">
        <v>57.0</v>
      </c>
      <c r="B59" s="47">
        <v>119.26</v>
      </c>
      <c r="C59" s="47">
        <v>145.52</v>
      </c>
      <c r="D59" s="47">
        <v>184.48</v>
      </c>
      <c r="E59" s="47">
        <v>275.33</v>
      </c>
      <c r="F59" s="47">
        <v>454.22</v>
      </c>
      <c r="G59" s="47">
        <v>467.75</v>
      </c>
      <c r="H59" s="47">
        <v>477.12</v>
      </c>
      <c r="I59" s="47">
        <v>486.67</v>
      </c>
      <c r="J59" s="47">
        <v>486.67</v>
      </c>
      <c r="K59" s="48">
        <v>500.71</v>
      </c>
      <c r="L59" s="48">
        <v>500.71</v>
      </c>
      <c r="M59" s="47">
        <v>428.85</v>
      </c>
    </row>
    <row r="60" ht="12.75" customHeight="1">
      <c r="A60" s="13">
        <v>58.0</v>
      </c>
      <c r="B60" s="47">
        <v>119.82</v>
      </c>
      <c r="C60" s="47">
        <v>146.14</v>
      </c>
      <c r="D60" s="47">
        <v>185.03</v>
      </c>
      <c r="E60" s="47">
        <v>276.82</v>
      </c>
      <c r="F60" s="47">
        <v>459.49</v>
      </c>
      <c r="G60" s="47">
        <v>468.69</v>
      </c>
      <c r="H60" s="47">
        <v>478.07</v>
      </c>
      <c r="I60" s="47">
        <v>487.64</v>
      </c>
      <c r="J60" s="47">
        <v>487.64</v>
      </c>
      <c r="K60" s="48">
        <v>501.6</v>
      </c>
      <c r="L60" s="48">
        <v>501.6</v>
      </c>
      <c r="M60" s="47">
        <v>436.05</v>
      </c>
    </row>
    <row r="61" ht="12.75" customHeight="1">
      <c r="A61" s="13">
        <v>59.0</v>
      </c>
      <c r="B61" s="47">
        <v>120.37</v>
      </c>
      <c r="C61" s="47">
        <v>147.01</v>
      </c>
      <c r="D61" s="47">
        <v>191.43</v>
      </c>
      <c r="E61" s="47">
        <v>277.43</v>
      </c>
      <c r="F61" s="47">
        <v>465.21</v>
      </c>
      <c r="G61" s="47">
        <v>474.52</v>
      </c>
      <c r="H61" s="47">
        <v>484.02</v>
      </c>
      <c r="I61" s="47">
        <v>493.71</v>
      </c>
      <c r="J61" s="47">
        <v>493.71</v>
      </c>
      <c r="K61" s="48">
        <v>503.6</v>
      </c>
      <c r="L61" s="48">
        <v>503.6</v>
      </c>
      <c r="M61" s="47">
        <v>441.95</v>
      </c>
    </row>
    <row r="62" ht="12.75" customHeight="1">
      <c r="A62" s="16">
        <v>60.0</v>
      </c>
      <c r="B62" s="49">
        <v>120.93</v>
      </c>
      <c r="C62" s="49">
        <v>147.56</v>
      </c>
      <c r="D62" s="49">
        <v>192.51</v>
      </c>
      <c r="E62" s="49">
        <v>285.16</v>
      </c>
      <c r="F62" s="49">
        <v>472.36</v>
      </c>
      <c r="G62" s="49">
        <v>485.05</v>
      </c>
      <c r="H62" s="49">
        <v>494.76</v>
      </c>
      <c r="I62" s="49">
        <v>504.66</v>
      </c>
      <c r="J62" s="49">
        <v>504.66</v>
      </c>
      <c r="K62" s="50">
        <v>514.78</v>
      </c>
      <c r="L62" s="50">
        <v>514.78</v>
      </c>
      <c r="M62" s="49">
        <v>447.3</v>
      </c>
    </row>
    <row r="63" ht="12.75" customHeight="1">
      <c r="A63" s="19">
        <v>61.0</v>
      </c>
      <c r="B63" s="51">
        <v>121.48</v>
      </c>
      <c r="C63" s="51">
        <v>148.13</v>
      </c>
      <c r="D63" s="52">
        <v>193.06</v>
      </c>
      <c r="E63" s="52">
        <v>285.95</v>
      </c>
      <c r="F63" s="52">
        <v>479.06</v>
      </c>
      <c r="G63" s="52">
        <v>489.03</v>
      </c>
      <c r="H63" s="52">
        <v>498.82</v>
      </c>
      <c r="I63" s="52">
        <v>508.8</v>
      </c>
      <c r="J63" s="52">
        <v>508.8</v>
      </c>
      <c r="K63" s="53">
        <v>518.98</v>
      </c>
      <c r="L63" s="53">
        <v>518.98</v>
      </c>
      <c r="M63" s="52">
        <v>455.3</v>
      </c>
    </row>
    <row r="64" ht="12.75" customHeight="1">
      <c r="A64" s="23">
        <v>62.0</v>
      </c>
      <c r="B64" s="54">
        <v>122.03</v>
      </c>
      <c r="C64" s="54">
        <v>148.67</v>
      </c>
      <c r="D64" s="55">
        <v>193.63</v>
      </c>
      <c r="E64" s="55">
        <v>286.55</v>
      </c>
      <c r="F64" s="55">
        <v>480.11</v>
      </c>
      <c r="G64" s="55">
        <v>489.94</v>
      </c>
      <c r="H64" s="55">
        <v>499.74</v>
      </c>
      <c r="I64" s="55">
        <v>509.76</v>
      </c>
      <c r="J64" s="55">
        <v>509.76</v>
      </c>
      <c r="K64" s="56">
        <v>519.97</v>
      </c>
      <c r="L64" s="56">
        <v>519.97</v>
      </c>
      <c r="M64" s="55">
        <v>470.15</v>
      </c>
    </row>
    <row r="65" ht="12.75" customHeight="1">
      <c r="A65" s="23">
        <v>63.0</v>
      </c>
      <c r="B65" s="54">
        <v>122.58</v>
      </c>
      <c r="C65" s="54">
        <v>149.22</v>
      </c>
      <c r="D65" s="55">
        <v>194.19</v>
      </c>
      <c r="E65" s="55">
        <v>292.47</v>
      </c>
      <c r="F65" s="55">
        <v>497.42</v>
      </c>
      <c r="G65" s="55">
        <v>507.39</v>
      </c>
      <c r="H65" s="55">
        <v>517.55</v>
      </c>
      <c r="I65" s="55">
        <v>527.92</v>
      </c>
      <c r="J65" s="55">
        <v>527.92</v>
      </c>
      <c r="K65" s="56">
        <v>538.48</v>
      </c>
      <c r="L65" s="56">
        <v>538.48</v>
      </c>
      <c r="M65" s="55">
        <v>478.1</v>
      </c>
    </row>
    <row r="66" ht="12.75" customHeight="1">
      <c r="A66" s="23">
        <v>64.0</v>
      </c>
      <c r="B66" s="54">
        <v>130.27</v>
      </c>
      <c r="C66" s="54">
        <v>152.15</v>
      </c>
      <c r="D66" s="55">
        <v>194.75</v>
      </c>
      <c r="E66" s="55">
        <v>293.07</v>
      </c>
      <c r="F66" s="55">
        <v>499.16</v>
      </c>
      <c r="G66" s="55">
        <v>509.15</v>
      </c>
      <c r="H66" s="55">
        <v>519.35</v>
      </c>
      <c r="I66" s="55">
        <v>529.74</v>
      </c>
      <c r="J66" s="55">
        <v>529.74</v>
      </c>
      <c r="K66" s="56">
        <v>540.35</v>
      </c>
      <c r="L66" s="56">
        <v>540.35</v>
      </c>
      <c r="M66" s="55">
        <v>478.45</v>
      </c>
    </row>
    <row r="67" ht="12.75" customHeight="1">
      <c r="A67" s="23">
        <v>65.0</v>
      </c>
      <c r="B67" s="57">
        <v>135.17</v>
      </c>
      <c r="C67" s="57">
        <v>156.18</v>
      </c>
      <c r="D67" s="58">
        <v>195.3</v>
      </c>
      <c r="E67" s="58">
        <v>300.85</v>
      </c>
      <c r="F67" s="58">
        <v>499.7</v>
      </c>
      <c r="G67" s="58">
        <v>509.7</v>
      </c>
      <c r="H67" s="58">
        <v>519.9</v>
      </c>
      <c r="I67" s="58">
        <v>530.31</v>
      </c>
      <c r="J67" s="58">
        <v>530.31</v>
      </c>
      <c r="K67" s="59">
        <v>540.93</v>
      </c>
      <c r="L67" s="59">
        <v>540.93</v>
      </c>
      <c r="M67" s="58">
        <v>486.8</v>
      </c>
    </row>
    <row r="68" ht="12.75" customHeight="1">
      <c r="A68" s="9">
        <v>66.0</v>
      </c>
      <c r="B68" s="45">
        <v>135.72</v>
      </c>
      <c r="C68" s="45">
        <v>156.73</v>
      </c>
      <c r="D68" s="45">
        <v>197.49</v>
      </c>
      <c r="E68" s="45">
        <v>301.64</v>
      </c>
      <c r="F68" s="45">
        <v>500.57</v>
      </c>
      <c r="G68" s="45">
        <v>510.59</v>
      </c>
      <c r="H68" s="45">
        <v>520.82</v>
      </c>
      <c r="I68" s="45">
        <v>531.24</v>
      </c>
      <c r="J68" s="45">
        <v>531.24</v>
      </c>
      <c r="K68" s="46">
        <v>541.89</v>
      </c>
      <c r="L68" s="46">
        <v>541.89</v>
      </c>
      <c r="M68" s="45">
        <v>494.95</v>
      </c>
    </row>
    <row r="69" ht="12.75" customHeight="1">
      <c r="A69" s="33">
        <v>67.0</v>
      </c>
      <c r="B69" s="47">
        <v>136.28</v>
      </c>
      <c r="C69" s="47">
        <v>159.87</v>
      </c>
      <c r="D69" s="47">
        <v>197.99</v>
      </c>
      <c r="E69" s="47">
        <v>302.23</v>
      </c>
      <c r="F69" s="47">
        <v>501.12</v>
      </c>
      <c r="G69" s="47">
        <v>511.15</v>
      </c>
      <c r="H69" s="47">
        <v>521.38</v>
      </c>
      <c r="I69" s="47">
        <v>531.82</v>
      </c>
      <c r="J69" s="47">
        <v>531.82</v>
      </c>
      <c r="K69" s="48">
        <v>542.47</v>
      </c>
      <c r="L69" s="48">
        <v>542.47</v>
      </c>
      <c r="M69" s="47">
        <v>496.85</v>
      </c>
    </row>
    <row r="70" ht="12.75" customHeight="1">
      <c r="A70" s="33">
        <v>68.0</v>
      </c>
      <c r="B70" s="47">
        <v>136.83</v>
      </c>
      <c r="C70" s="47">
        <v>161.15</v>
      </c>
      <c r="D70" s="47">
        <v>203.49</v>
      </c>
      <c r="E70" s="47">
        <v>302.83</v>
      </c>
      <c r="F70" s="47">
        <v>501.67</v>
      </c>
      <c r="G70" s="47">
        <v>511.71</v>
      </c>
      <c r="H70" s="47">
        <v>521.95</v>
      </c>
      <c r="I70" s="47">
        <v>532.39</v>
      </c>
      <c r="J70" s="47">
        <v>532.39</v>
      </c>
      <c r="K70" s="48">
        <v>543.04</v>
      </c>
      <c r="L70" s="48">
        <v>543.04</v>
      </c>
      <c r="M70" s="47">
        <v>509.8</v>
      </c>
    </row>
    <row r="71" ht="12.75" customHeight="1">
      <c r="A71" s="33">
        <v>69.0</v>
      </c>
      <c r="B71" s="47">
        <v>137.39</v>
      </c>
      <c r="C71" s="47">
        <v>164.72</v>
      </c>
      <c r="D71" s="47">
        <v>204.05</v>
      </c>
      <c r="E71" s="47">
        <v>304.15</v>
      </c>
      <c r="F71" s="47">
        <v>503.38</v>
      </c>
      <c r="G71" s="47">
        <v>513.46</v>
      </c>
      <c r="H71" s="47">
        <v>523.73</v>
      </c>
      <c r="I71" s="47">
        <v>534.22</v>
      </c>
      <c r="J71" s="47">
        <v>534.22</v>
      </c>
      <c r="K71" s="48">
        <v>544.91</v>
      </c>
      <c r="L71" s="48">
        <v>544.91</v>
      </c>
      <c r="M71" s="47">
        <v>517.25</v>
      </c>
    </row>
    <row r="72" ht="12.75" customHeight="1">
      <c r="A72" s="16">
        <v>70.0</v>
      </c>
      <c r="B72" s="49">
        <v>137.94</v>
      </c>
      <c r="C72" s="49">
        <v>179.54</v>
      </c>
      <c r="D72" s="49">
        <v>211.19</v>
      </c>
      <c r="E72" s="49">
        <v>329.94</v>
      </c>
      <c r="F72" s="49">
        <v>529.82</v>
      </c>
      <c r="G72" s="49">
        <v>546.71</v>
      </c>
      <c r="H72" s="49">
        <v>557.65</v>
      </c>
      <c r="I72" s="49">
        <v>568.81</v>
      </c>
      <c r="J72" s="49">
        <v>568.81</v>
      </c>
      <c r="K72" s="50">
        <v>580.21</v>
      </c>
      <c r="L72" s="50">
        <v>580.21</v>
      </c>
      <c r="M72" s="49">
        <v>523.55</v>
      </c>
    </row>
    <row r="73" ht="12.75" customHeight="1">
      <c r="A73" s="35">
        <v>71.0</v>
      </c>
      <c r="B73" s="51">
        <v>146.32</v>
      </c>
      <c r="C73" s="51">
        <v>181.96</v>
      </c>
      <c r="D73" s="52">
        <v>211.92</v>
      </c>
      <c r="E73" s="52">
        <v>332.54</v>
      </c>
      <c r="F73" s="52">
        <v>532.47</v>
      </c>
      <c r="G73" s="52">
        <v>552.16</v>
      </c>
      <c r="H73" s="52">
        <v>563.23</v>
      </c>
      <c r="I73" s="52">
        <v>574.51</v>
      </c>
      <c r="J73" s="52">
        <v>574.51</v>
      </c>
      <c r="K73" s="53">
        <v>586.01</v>
      </c>
      <c r="L73" s="53">
        <v>586.01</v>
      </c>
      <c r="M73" s="52">
        <v>524.95</v>
      </c>
    </row>
    <row r="74" ht="12.75" customHeight="1">
      <c r="A74" s="23">
        <v>72.0</v>
      </c>
      <c r="B74" s="54">
        <v>147.16</v>
      </c>
      <c r="C74" s="54">
        <v>182.51</v>
      </c>
      <c r="D74" s="55">
        <v>212.46</v>
      </c>
      <c r="E74" s="55">
        <v>333.13</v>
      </c>
      <c r="F74" s="55">
        <v>541.52</v>
      </c>
      <c r="G74" s="55">
        <v>552.71</v>
      </c>
      <c r="H74" s="55">
        <v>563.79</v>
      </c>
      <c r="I74" s="55">
        <v>575.08</v>
      </c>
      <c r="J74" s="55">
        <v>575.08</v>
      </c>
      <c r="K74" s="56">
        <v>586.59</v>
      </c>
      <c r="L74" s="56">
        <v>586.59</v>
      </c>
      <c r="M74" s="55">
        <v>526.15</v>
      </c>
    </row>
    <row r="75" ht="12.75" customHeight="1">
      <c r="A75" s="23">
        <v>73.0</v>
      </c>
      <c r="B75" s="54">
        <v>147.66</v>
      </c>
      <c r="C75" s="54">
        <v>183.09</v>
      </c>
      <c r="D75" s="55">
        <v>213.5</v>
      </c>
      <c r="E75" s="55">
        <v>338.61</v>
      </c>
      <c r="F75" s="55">
        <v>542.43</v>
      </c>
      <c r="G75" s="55">
        <v>553.28</v>
      </c>
      <c r="H75" s="55">
        <v>564.36</v>
      </c>
      <c r="I75" s="55">
        <v>575.65</v>
      </c>
      <c r="J75" s="55">
        <v>575.65</v>
      </c>
      <c r="K75" s="56">
        <v>587.18</v>
      </c>
      <c r="L75" s="56">
        <v>587.18</v>
      </c>
      <c r="M75" s="55">
        <v>531.7</v>
      </c>
    </row>
    <row r="76" ht="12.75" customHeight="1">
      <c r="A76" s="23">
        <v>74.0</v>
      </c>
      <c r="B76" s="54">
        <v>148.17</v>
      </c>
      <c r="C76" s="54">
        <v>183.64</v>
      </c>
      <c r="D76" s="55">
        <v>214.04</v>
      </c>
      <c r="E76" s="55">
        <v>339.2</v>
      </c>
      <c r="F76" s="55">
        <v>543.19</v>
      </c>
      <c r="G76" s="55">
        <v>554.06</v>
      </c>
      <c r="H76" s="55">
        <v>565.15</v>
      </c>
      <c r="I76" s="55">
        <v>576.46</v>
      </c>
      <c r="J76" s="55">
        <v>576.46</v>
      </c>
      <c r="K76" s="56">
        <v>588.0</v>
      </c>
      <c r="L76" s="56">
        <v>588.0</v>
      </c>
      <c r="M76" s="55">
        <v>569.25</v>
      </c>
    </row>
    <row r="77" ht="12.75" customHeight="1">
      <c r="A77" s="27">
        <v>75.0</v>
      </c>
      <c r="B77" s="57">
        <v>149.18</v>
      </c>
      <c r="C77" s="57">
        <v>184.75</v>
      </c>
      <c r="D77" s="58">
        <v>215.15</v>
      </c>
      <c r="E77" s="58">
        <v>346.04</v>
      </c>
      <c r="F77" s="58">
        <v>558.23</v>
      </c>
      <c r="G77" s="58">
        <v>569.4</v>
      </c>
      <c r="H77" s="58">
        <v>580.81</v>
      </c>
      <c r="I77" s="58">
        <v>592.43</v>
      </c>
      <c r="J77" s="58">
        <v>592.43</v>
      </c>
      <c r="K77" s="59">
        <v>604.29</v>
      </c>
      <c r="L77" s="59">
        <v>604.29</v>
      </c>
      <c r="M77" s="58">
        <v>569.3</v>
      </c>
    </row>
    <row r="78" ht="12.75" customHeight="1">
      <c r="A78" s="5">
        <v>76.0</v>
      </c>
      <c r="B78" s="60">
        <v>152.03</v>
      </c>
      <c r="C78" s="60">
        <v>185.84</v>
      </c>
      <c r="D78" s="60">
        <v>216.26</v>
      </c>
      <c r="E78" s="60">
        <v>348.53</v>
      </c>
      <c r="F78" s="60">
        <v>566.96</v>
      </c>
      <c r="G78" s="60">
        <v>578.3</v>
      </c>
      <c r="H78" s="60">
        <v>589.87</v>
      </c>
      <c r="I78" s="60">
        <v>601.68</v>
      </c>
      <c r="J78" s="60">
        <v>601.68</v>
      </c>
      <c r="K78" s="61">
        <v>613.73</v>
      </c>
      <c r="L78" s="61">
        <v>613.73</v>
      </c>
      <c r="M78" s="60">
        <v>569.4</v>
      </c>
    </row>
    <row r="79" ht="12.75" customHeight="1">
      <c r="A79" s="9">
        <v>77.0</v>
      </c>
      <c r="B79" s="45">
        <v>153.13</v>
      </c>
      <c r="C79" s="45">
        <v>186.96</v>
      </c>
      <c r="D79" s="45">
        <v>220.68</v>
      </c>
      <c r="E79" s="45">
        <v>349.73</v>
      </c>
      <c r="F79" s="45">
        <v>584.3</v>
      </c>
      <c r="G79" s="45">
        <v>596.11</v>
      </c>
      <c r="H79" s="45">
        <v>608.04</v>
      </c>
      <c r="I79" s="45">
        <v>620.21</v>
      </c>
      <c r="J79" s="45">
        <v>620.21</v>
      </c>
      <c r="K79" s="46">
        <v>632.63</v>
      </c>
      <c r="L79" s="46">
        <v>632.63</v>
      </c>
      <c r="M79" s="45">
        <v>569.45</v>
      </c>
    </row>
    <row r="80" ht="12.75" customHeight="1">
      <c r="A80" s="13">
        <v>78.0</v>
      </c>
      <c r="B80" s="47">
        <v>154.24</v>
      </c>
      <c r="C80" s="47">
        <v>188.06</v>
      </c>
      <c r="D80" s="47">
        <v>224.93</v>
      </c>
      <c r="E80" s="47">
        <v>366.49</v>
      </c>
      <c r="F80" s="47">
        <v>586.04</v>
      </c>
      <c r="G80" s="47">
        <v>606.79</v>
      </c>
      <c r="H80" s="47">
        <v>651.33</v>
      </c>
      <c r="I80" s="47">
        <v>664.37</v>
      </c>
      <c r="J80" s="47">
        <v>664.37</v>
      </c>
      <c r="K80" s="48">
        <v>677.67</v>
      </c>
      <c r="L80" s="48">
        <v>677.67</v>
      </c>
      <c r="M80" s="47">
        <v>569.5</v>
      </c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13">
        <v>79.0</v>
      </c>
      <c r="B81" s="47">
        <v>155.36</v>
      </c>
      <c r="C81" s="47">
        <v>189.17</v>
      </c>
      <c r="D81" s="47">
        <v>226.03</v>
      </c>
      <c r="E81" s="47">
        <v>368.18</v>
      </c>
      <c r="F81" s="47">
        <v>589.17</v>
      </c>
      <c r="G81" s="47">
        <v>642.79</v>
      </c>
      <c r="H81" s="47">
        <v>655.68</v>
      </c>
      <c r="I81" s="47">
        <v>668.8</v>
      </c>
      <c r="J81" s="47">
        <v>668.8</v>
      </c>
      <c r="K81" s="48">
        <v>682.19</v>
      </c>
      <c r="L81" s="48">
        <v>682.19</v>
      </c>
      <c r="M81" s="47">
        <v>588.25</v>
      </c>
    </row>
    <row r="82" ht="12.75" customHeight="1">
      <c r="A82" s="16">
        <v>80.0</v>
      </c>
      <c r="B82" s="49">
        <v>156.47</v>
      </c>
      <c r="C82" s="49">
        <v>189.97</v>
      </c>
      <c r="D82" s="49">
        <v>227.14</v>
      </c>
      <c r="E82" s="49">
        <v>369.38</v>
      </c>
      <c r="F82" s="49">
        <v>621.24</v>
      </c>
      <c r="G82" s="49">
        <v>646.39</v>
      </c>
      <c r="H82" s="49">
        <v>659.32</v>
      </c>
      <c r="I82" s="49">
        <v>673.42</v>
      </c>
      <c r="J82" s="49">
        <v>673.42</v>
      </c>
      <c r="K82" s="50">
        <v>686.91</v>
      </c>
      <c r="L82" s="50">
        <v>686.91</v>
      </c>
      <c r="M82" s="49">
        <v>588.35</v>
      </c>
    </row>
    <row r="83" ht="12.75" customHeight="1">
      <c r="A83" s="19">
        <v>81.0</v>
      </c>
      <c r="B83" s="51">
        <v>161.89</v>
      </c>
      <c r="C83" s="51">
        <v>191.29</v>
      </c>
      <c r="D83" s="52">
        <v>228.24</v>
      </c>
      <c r="E83" s="52">
        <v>370.57</v>
      </c>
      <c r="F83" s="52">
        <v>624.46</v>
      </c>
      <c r="G83" s="52">
        <v>648.37</v>
      </c>
      <c r="H83" s="52">
        <v>661.34</v>
      </c>
      <c r="I83" s="52">
        <v>674.58</v>
      </c>
      <c r="J83" s="52">
        <v>674.58</v>
      </c>
      <c r="K83" s="53">
        <v>688.08</v>
      </c>
      <c r="L83" s="53">
        <v>688.08</v>
      </c>
      <c r="M83" s="52">
        <v>589.25</v>
      </c>
    </row>
    <row r="84" ht="12.75" customHeight="1">
      <c r="A84" s="23">
        <v>82.0</v>
      </c>
      <c r="B84" s="54">
        <v>163.46</v>
      </c>
      <c r="C84" s="54">
        <v>192.29</v>
      </c>
      <c r="D84" s="55">
        <v>229.36</v>
      </c>
      <c r="E84" s="55">
        <v>371.75</v>
      </c>
      <c r="F84" s="55">
        <v>625.64</v>
      </c>
      <c r="G84" s="55">
        <v>649.49</v>
      </c>
      <c r="H84" s="55">
        <v>662.48</v>
      </c>
      <c r="I84" s="55">
        <v>675.75</v>
      </c>
      <c r="J84" s="55">
        <v>675.75</v>
      </c>
      <c r="K84" s="56">
        <v>689.27</v>
      </c>
      <c r="L84" s="56">
        <v>689.27</v>
      </c>
      <c r="M84" s="55">
        <v>615.2</v>
      </c>
    </row>
    <row r="85" ht="12.75" customHeight="1">
      <c r="A85" s="19">
        <v>83.0</v>
      </c>
      <c r="B85" s="54">
        <v>165.66</v>
      </c>
      <c r="C85" s="54">
        <v>195.31</v>
      </c>
      <c r="D85" s="55">
        <v>230.47</v>
      </c>
      <c r="E85" s="55">
        <v>372.96</v>
      </c>
      <c r="F85" s="55">
        <v>635.52</v>
      </c>
      <c r="G85" s="55">
        <v>650.6</v>
      </c>
      <c r="H85" s="55">
        <v>663.62</v>
      </c>
      <c r="I85" s="55">
        <v>676.91</v>
      </c>
      <c r="J85" s="55">
        <v>676.91</v>
      </c>
      <c r="K85" s="56">
        <v>690.46</v>
      </c>
      <c r="L85" s="56">
        <v>690.46</v>
      </c>
      <c r="M85" s="55">
        <v>619.8</v>
      </c>
    </row>
    <row r="86" ht="12.75" customHeight="1">
      <c r="A86" s="19">
        <v>84.0</v>
      </c>
      <c r="B86" s="54">
        <v>166.78</v>
      </c>
      <c r="C86" s="54">
        <v>196.43</v>
      </c>
      <c r="D86" s="55">
        <v>233.9</v>
      </c>
      <c r="E86" s="55">
        <v>374.15</v>
      </c>
      <c r="F86" s="55">
        <v>642.32</v>
      </c>
      <c r="G86" s="55">
        <v>661.58</v>
      </c>
      <c r="H86" s="55">
        <v>674.82</v>
      </c>
      <c r="I86" s="55">
        <v>688.32</v>
      </c>
      <c r="J86" s="55">
        <v>688.32</v>
      </c>
      <c r="K86" s="56">
        <v>702.13</v>
      </c>
      <c r="L86" s="56">
        <v>702.13</v>
      </c>
      <c r="M86" s="55">
        <v>619.95</v>
      </c>
    </row>
    <row r="87" ht="12.75" customHeight="1">
      <c r="A87" s="27">
        <v>85.0</v>
      </c>
      <c r="B87" s="57">
        <v>174.47</v>
      </c>
      <c r="C87" s="57">
        <v>200.9</v>
      </c>
      <c r="D87" s="58">
        <v>245.87</v>
      </c>
      <c r="E87" s="58">
        <v>389.44</v>
      </c>
      <c r="F87" s="58">
        <v>643.51</v>
      </c>
      <c r="G87" s="58">
        <v>662.7</v>
      </c>
      <c r="H87" s="58">
        <v>675.97</v>
      </c>
      <c r="I87" s="58">
        <v>689.5</v>
      </c>
      <c r="J87" s="58">
        <v>689.5</v>
      </c>
      <c r="K87" s="59">
        <v>703.76</v>
      </c>
      <c r="L87" s="59">
        <v>703.76</v>
      </c>
      <c r="M87" s="58">
        <v>621.65</v>
      </c>
    </row>
    <row r="88" ht="12.75" customHeight="1">
      <c r="A88" s="13">
        <v>86.0</v>
      </c>
      <c r="B88" s="45">
        <v>175.6</v>
      </c>
      <c r="C88" s="45">
        <v>207.09</v>
      </c>
      <c r="D88" s="45">
        <v>247.09</v>
      </c>
      <c r="E88" s="45">
        <v>390.98</v>
      </c>
      <c r="F88" s="45">
        <v>644.68</v>
      </c>
      <c r="G88" s="45">
        <v>663.74</v>
      </c>
      <c r="H88" s="45">
        <v>677.04</v>
      </c>
      <c r="I88" s="45">
        <v>690.98</v>
      </c>
      <c r="J88" s="45">
        <v>690.98</v>
      </c>
      <c r="K88" s="46">
        <v>704.81</v>
      </c>
      <c r="L88" s="46">
        <v>704.81</v>
      </c>
      <c r="M88" s="45">
        <v>621.8</v>
      </c>
    </row>
    <row r="89" ht="12.75" customHeight="1">
      <c r="A89" s="13">
        <v>87.0</v>
      </c>
      <c r="B89" s="47">
        <v>176.7</v>
      </c>
      <c r="C89" s="47">
        <v>208.18</v>
      </c>
      <c r="D89" s="47">
        <v>248.18</v>
      </c>
      <c r="E89" s="47">
        <v>392.18</v>
      </c>
      <c r="F89" s="47">
        <v>645.85</v>
      </c>
      <c r="G89" s="47">
        <v>668.22</v>
      </c>
      <c r="H89" s="47">
        <v>681.6</v>
      </c>
      <c r="I89" s="47">
        <v>695.24</v>
      </c>
      <c r="J89" s="47">
        <v>695.24</v>
      </c>
      <c r="K89" s="48">
        <v>709.16</v>
      </c>
      <c r="L89" s="48">
        <v>709.16</v>
      </c>
      <c r="M89" s="47">
        <v>632.1</v>
      </c>
    </row>
    <row r="90" ht="12.75" customHeight="1">
      <c r="A90" s="13">
        <v>88.0</v>
      </c>
      <c r="B90" s="47">
        <v>177.81</v>
      </c>
      <c r="C90" s="47">
        <v>209.32</v>
      </c>
      <c r="D90" s="47">
        <v>249.29</v>
      </c>
      <c r="E90" s="47">
        <v>393.38</v>
      </c>
      <c r="F90" s="47">
        <v>647.04</v>
      </c>
      <c r="G90" s="47">
        <v>673.4</v>
      </c>
      <c r="H90" s="47">
        <v>686.88</v>
      </c>
      <c r="I90" s="47">
        <v>700.62</v>
      </c>
      <c r="J90" s="47">
        <v>700.62</v>
      </c>
      <c r="K90" s="48">
        <v>714.64</v>
      </c>
      <c r="L90" s="48">
        <v>714.64</v>
      </c>
      <c r="M90" s="47">
        <v>640.05</v>
      </c>
    </row>
    <row r="91" ht="12.75" customHeight="1">
      <c r="A91" s="13">
        <v>89.0</v>
      </c>
      <c r="B91" s="47">
        <v>178.91</v>
      </c>
      <c r="C91" s="47">
        <v>210.42</v>
      </c>
      <c r="D91" s="47">
        <v>250.4</v>
      </c>
      <c r="E91" s="47">
        <v>394.55</v>
      </c>
      <c r="F91" s="47">
        <v>655.02</v>
      </c>
      <c r="G91" s="47">
        <v>674.5</v>
      </c>
      <c r="H91" s="47">
        <v>688.01</v>
      </c>
      <c r="I91" s="47">
        <v>701.79</v>
      </c>
      <c r="J91" s="47">
        <v>701.79</v>
      </c>
      <c r="K91" s="48">
        <v>715.84</v>
      </c>
      <c r="L91" s="48">
        <v>715.84</v>
      </c>
      <c r="M91" s="47">
        <v>640.6</v>
      </c>
    </row>
    <row r="92" ht="12.75" customHeight="1">
      <c r="A92" s="13">
        <v>90.0</v>
      </c>
      <c r="B92" s="49">
        <v>180.04</v>
      </c>
      <c r="C92" s="49">
        <v>211.52</v>
      </c>
      <c r="D92" s="49">
        <v>251.52</v>
      </c>
      <c r="E92" s="49">
        <v>395.76</v>
      </c>
      <c r="F92" s="49">
        <v>661.81</v>
      </c>
      <c r="G92" s="49">
        <v>675.64</v>
      </c>
      <c r="H92" s="49">
        <v>689.16</v>
      </c>
      <c r="I92" s="49">
        <v>702.96</v>
      </c>
      <c r="J92" s="49">
        <v>702.96</v>
      </c>
      <c r="K92" s="50">
        <v>717.02</v>
      </c>
      <c r="L92" s="50">
        <v>717.02</v>
      </c>
      <c r="M92" s="49">
        <v>650.15</v>
      </c>
    </row>
    <row r="93" ht="12.75" customHeight="1">
      <c r="A93" s="31">
        <v>91.0</v>
      </c>
      <c r="B93" s="51">
        <v>181.14</v>
      </c>
      <c r="C93" s="51">
        <v>212.63</v>
      </c>
      <c r="D93" s="52">
        <v>252.61</v>
      </c>
      <c r="E93" s="52">
        <v>396.95</v>
      </c>
      <c r="F93" s="52">
        <v>662.99</v>
      </c>
      <c r="G93" s="52">
        <v>676.77</v>
      </c>
      <c r="H93" s="52">
        <v>690.31</v>
      </c>
      <c r="I93" s="52">
        <v>704.12</v>
      </c>
      <c r="J93" s="52">
        <v>704.12</v>
      </c>
      <c r="K93" s="53">
        <v>718.21</v>
      </c>
      <c r="L93" s="53">
        <v>718.21</v>
      </c>
      <c r="M93" s="52">
        <v>650.7</v>
      </c>
    </row>
    <row r="94" ht="12.75" customHeight="1">
      <c r="A94" s="19">
        <v>92.0</v>
      </c>
      <c r="B94" s="54">
        <v>182.25</v>
      </c>
      <c r="C94" s="54">
        <v>213.74</v>
      </c>
      <c r="D94" s="55">
        <v>253.72</v>
      </c>
      <c r="E94" s="55">
        <v>398.14</v>
      </c>
      <c r="F94" s="55">
        <v>664.17</v>
      </c>
      <c r="G94" s="55">
        <v>677.88</v>
      </c>
      <c r="H94" s="55">
        <v>691.45</v>
      </c>
      <c r="I94" s="55">
        <v>705.28</v>
      </c>
      <c r="J94" s="55">
        <v>705.28</v>
      </c>
      <c r="K94" s="56">
        <v>719.4</v>
      </c>
      <c r="L94" s="56">
        <v>719.4</v>
      </c>
      <c r="M94" s="55">
        <v>656.5</v>
      </c>
    </row>
    <row r="95" ht="12.75" customHeight="1">
      <c r="A95" s="19">
        <v>93.0</v>
      </c>
      <c r="B95" s="54">
        <v>183.36</v>
      </c>
      <c r="C95" s="54">
        <v>214.84</v>
      </c>
      <c r="D95" s="55">
        <v>254.83</v>
      </c>
      <c r="E95" s="55">
        <v>399.33</v>
      </c>
      <c r="F95" s="55">
        <v>665.34</v>
      </c>
      <c r="G95" s="55">
        <v>678.99</v>
      </c>
      <c r="H95" s="55">
        <v>692.57</v>
      </c>
      <c r="I95" s="55">
        <v>706.44</v>
      </c>
      <c r="J95" s="55">
        <v>706.44</v>
      </c>
      <c r="K95" s="56">
        <v>720.57</v>
      </c>
      <c r="L95" s="56">
        <v>720.57</v>
      </c>
      <c r="M95" s="55">
        <v>656.7</v>
      </c>
    </row>
    <row r="96" ht="12.75" customHeight="1">
      <c r="A96" s="19">
        <v>94.0</v>
      </c>
      <c r="B96" s="54">
        <v>184.48</v>
      </c>
      <c r="C96" s="54">
        <v>215.97</v>
      </c>
      <c r="D96" s="55">
        <v>255.96</v>
      </c>
      <c r="E96" s="55">
        <v>400.52</v>
      </c>
      <c r="F96" s="55">
        <v>666.53</v>
      </c>
      <c r="G96" s="55">
        <v>680.12</v>
      </c>
      <c r="H96" s="55">
        <v>693.73</v>
      </c>
      <c r="I96" s="55">
        <v>707.61</v>
      </c>
      <c r="J96" s="55">
        <v>707.61</v>
      </c>
      <c r="K96" s="56">
        <v>721.77</v>
      </c>
      <c r="L96" s="56">
        <v>721.77</v>
      </c>
      <c r="M96" s="55">
        <v>678.9</v>
      </c>
    </row>
    <row r="97" ht="12.75" customHeight="1">
      <c r="A97" s="19">
        <v>95.0</v>
      </c>
      <c r="B97" s="57">
        <v>185.57</v>
      </c>
      <c r="C97" s="57">
        <v>217.07</v>
      </c>
      <c r="D97" s="58">
        <v>257.06</v>
      </c>
      <c r="E97" s="58">
        <v>401.74</v>
      </c>
      <c r="F97" s="58">
        <v>668.55</v>
      </c>
      <c r="G97" s="58">
        <v>686.16</v>
      </c>
      <c r="H97" s="58">
        <v>699.9</v>
      </c>
      <c r="I97" s="58">
        <v>713.9</v>
      </c>
      <c r="J97" s="58">
        <v>713.9</v>
      </c>
      <c r="K97" s="59">
        <v>728.19</v>
      </c>
      <c r="L97" s="59">
        <v>728.19</v>
      </c>
      <c r="M97" s="58">
        <v>679.1</v>
      </c>
    </row>
    <row r="98" ht="12.75" customHeight="1">
      <c r="A98" s="32">
        <v>96.0</v>
      </c>
      <c r="B98" s="45">
        <v>187.8</v>
      </c>
      <c r="C98" s="45">
        <v>218.07</v>
      </c>
      <c r="D98" s="45">
        <v>264.41</v>
      </c>
      <c r="E98" s="45">
        <v>408.83</v>
      </c>
      <c r="F98" s="45">
        <v>673.79</v>
      </c>
      <c r="G98" s="45">
        <v>687.27</v>
      </c>
      <c r="H98" s="45">
        <v>701.02</v>
      </c>
      <c r="I98" s="45">
        <v>715.07</v>
      </c>
      <c r="J98" s="45">
        <v>715.07</v>
      </c>
      <c r="K98" s="46">
        <v>729.38</v>
      </c>
      <c r="L98" s="46">
        <v>729.38</v>
      </c>
      <c r="M98" s="45">
        <v>682.25</v>
      </c>
    </row>
    <row r="99" ht="12.75" customHeight="1">
      <c r="A99" s="13">
        <v>97.0</v>
      </c>
      <c r="B99" s="47">
        <v>188.6</v>
      </c>
      <c r="C99" s="47">
        <v>219.29</v>
      </c>
      <c r="D99" s="47">
        <v>270.8</v>
      </c>
      <c r="E99" s="47">
        <v>410.02</v>
      </c>
      <c r="F99" s="47">
        <v>687.97</v>
      </c>
      <c r="G99" s="47">
        <v>701.73</v>
      </c>
      <c r="H99" s="47">
        <v>715.77</v>
      </c>
      <c r="I99" s="47">
        <v>730.1</v>
      </c>
      <c r="J99" s="47">
        <v>730.1</v>
      </c>
      <c r="K99" s="48">
        <v>744.72</v>
      </c>
      <c r="L99" s="48">
        <v>744.72</v>
      </c>
      <c r="M99" s="47">
        <v>682.85</v>
      </c>
    </row>
    <row r="100" ht="12.75" customHeight="1">
      <c r="A100" s="13">
        <v>98.0</v>
      </c>
      <c r="B100" s="47">
        <v>189.4</v>
      </c>
      <c r="C100" s="47">
        <v>220.09</v>
      </c>
      <c r="D100" s="47">
        <v>271.9</v>
      </c>
      <c r="E100" s="47">
        <v>411.22</v>
      </c>
      <c r="F100" s="47">
        <v>704.06</v>
      </c>
      <c r="G100" s="47">
        <v>718.15</v>
      </c>
      <c r="H100" s="47">
        <v>732.54</v>
      </c>
      <c r="I100" s="47">
        <v>747.2</v>
      </c>
      <c r="J100" s="47">
        <v>747.2</v>
      </c>
      <c r="K100" s="48">
        <v>762.15</v>
      </c>
      <c r="L100" s="48">
        <v>762.15</v>
      </c>
      <c r="M100" s="47">
        <v>683.05</v>
      </c>
    </row>
    <row r="101" ht="12.75" customHeight="1">
      <c r="A101" s="13">
        <v>99.0</v>
      </c>
      <c r="B101" s="47">
        <v>190.2</v>
      </c>
      <c r="C101" s="47">
        <v>221.52</v>
      </c>
      <c r="D101" s="47">
        <v>278.32</v>
      </c>
      <c r="E101" s="47">
        <v>435.16</v>
      </c>
      <c r="F101" s="47">
        <v>716.17</v>
      </c>
      <c r="G101" s="47">
        <v>750.47</v>
      </c>
      <c r="H101" s="47">
        <v>774.04</v>
      </c>
      <c r="I101" s="47">
        <v>789.53</v>
      </c>
      <c r="J101" s="47">
        <v>789.53</v>
      </c>
      <c r="K101" s="48">
        <v>805.33</v>
      </c>
      <c r="L101" s="48">
        <v>805.33</v>
      </c>
      <c r="M101" s="47">
        <v>683.6</v>
      </c>
    </row>
    <row r="102" ht="12.75" customHeight="1">
      <c r="A102" s="16">
        <v>100.0</v>
      </c>
      <c r="B102" s="49">
        <v>191.0</v>
      </c>
      <c r="C102" s="49">
        <v>239.0</v>
      </c>
      <c r="D102" s="49">
        <v>308.0</v>
      </c>
      <c r="E102" s="49">
        <v>458.0</v>
      </c>
      <c r="F102" s="49">
        <v>727.0</v>
      </c>
      <c r="G102" s="49">
        <v>830.0</v>
      </c>
      <c r="H102" s="49">
        <v>855.0</v>
      </c>
      <c r="I102" s="49">
        <v>873.0</v>
      </c>
      <c r="J102" s="49">
        <v>873.0</v>
      </c>
      <c r="K102" s="50">
        <v>892.0</v>
      </c>
      <c r="L102" s="50">
        <v>892.0</v>
      </c>
      <c r="M102" s="49">
        <v>739.0</v>
      </c>
    </row>
    <row r="103" ht="12.75" customHeight="1">
      <c r="A103" s="19">
        <v>101.0</v>
      </c>
      <c r="B103" s="51">
        <v>192.91</v>
      </c>
      <c r="C103" s="51">
        <v>241.39</v>
      </c>
      <c r="D103" s="52">
        <v>311.08</v>
      </c>
      <c r="E103" s="52">
        <v>462.58</v>
      </c>
      <c r="F103" s="52">
        <v>734.27</v>
      </c>
      <c r="G103" s="52">
        <v>838.3</v>
      </c>
      <c r="H103" s="52">
        <v>863.55</v>
      </c>
      <c r="I103" s="52">
        <v>881.73</v>
      </c>
      <c r="J103" s="52">
        <v>881.73</v>
      </c>
      <c r="K103" s="53">
        <v>900.92</v>
      </c>
      <c r="L103" s="53">
        <v>900.92</v>
      </c>
      <c r="M103" s="52">
        <v>746.39</v>
      </c>
    </row>
    <row r="104" ht="12.75" customHeight="1">
      <c r="A104" s="23">
        <v>102.0</v>
      </c>
      <c r="B104" s="54">
        <v>194.82</v>
      </c>
      <c r="C104" s="54">
        <v>243.78</v>
      </c>
      <c r="D104" s="55">
        <v>314.16</v>
      </c>
      <c r="E104" s="55">
        <v>467.16</v>
      </c>
      <c r="F104" s="55">
        <v>741.54</v>
      </c>
      <c r="G104" s="55">
        <v>846.6</v>
      </c>
      <c r="H104" s="55">
        <v>872.1</v>
      </c>
      <c r="I104" s="55">
        <v>890.46</v>
      </c>
      <c r="J104" s="55">
        <v>890.46</v>
      </c>
      <c r="K104" s="56">
        <v>909.84</v>
      </c>
      <c r="L104" s="56">
        <v>909.84</v>
      </c>
      <c r="M104" s="55">
        <v>753.78</v>
      </c>
    </row>
    <row r="105" ht="12.75" customHeight="1">
      <c r="A105" s="23">
        <v>103.0</v>
      </c>
      <c r="B105" s="54">
        <v>196.73</v>
      </c>
      <c r="C105" s="54">
        <v>246.17</v>
      </c>
      <c r="D105" s="55">
        <v>317.24</v>
      </c>
      <c r="E105" s="55">
        <v>471.74</v>
      </c>
      <c r="F105" s="55">
        <v>748.81</v>
      </c>
      <c r="G105" s="55">
        <v>854.9</v>
      </c>
      <c r="H105" s="55">
        <v>880.65</v>
      </c>
      <c r="I105" s="55">
        <v>899.19</v>
      </c>
      <c r="J105" s="55">
        <v>899.19</v>
      </c>
      <c r="K105" s="56">
        <v>918.76</v>
      </c>
      <c r="L105" s="56">
        <v>918.76</v>
      </c>
      <c r="M105" s="55">
        <v>761.17</v>
      </c>
    </row>
    <row r="106" ht="12.75" customHeight="1">
      <c r="A106" s="23">
        <v>104.0</v>
      </c>
      <c r="B106" s="54">
        <v>198.64</v>
      </c>
      <c r="C106" s="54">
        <v>248.56</v>
      </c>
      <c r="D106" s="55">
        <v>320.32</v>
      </c>
      <c r="E106" s="55">
        <v>476.32</v>
      </c>
      <c r="F106" s="55">
        <v>756.08</v>
      </c>
      <c r="G106" s="55">
        <v>863.2</v>
      </c>
      <c r="H106" s="55">
        <v>889.2</v>
      </c>
      <c r="I106" s="55">
        <v>907.92</v>
      </c>
      <c r="J106" s="55">
        <v>907.92</v>
      </c>
      <c r="K106" s="56">
        <v>927.68</v>
      </c>
      <c r="L106" s="56">
        <v>927.68</v>
      </c>
      <c r="M106" s="55">
        <v>768.56</v>
      </c>
    </row>
    <row r="107" ht="12.75" customHeight="1">
      <c r="A107" s="23">
        <v>105.0</v>
      </c>
      <c r="B107" s="57">
        <v>200.55</v>
      </c>
      <c r="C107" s="57">
        <v>250.95</v>
      </c>
      <c r="D107" s="58">
        <v>323.4</v>
      </c>
      <c r="E107" s="58">
        <v>480.9</v>
      </c>
      <c r="F107" s="58">
        <v>763.35</v>
      </c>
      <c r="G107" s="58">
        <v>871.5</v>
      </c>
      <c r="H107" s="58">
        <v>897.75</v>
      </c>
      <c r="I107" s="58">
        <v>916.65</v>
      </c>
      <c r="J107" s="58">
        <v>916.65</v>
      </c>
      <c r="K107" s="59">
        <v>936.6</v>
      </c>
      <c r="L107" s="59">
        <v>936.6</v>
      </c>
      <c r="M107" s="58">
        <v>775.95</v>
      </c>
    </row>
    <row r="108" ht="12.75" customHeight="1">
      <c r="A108" s="9">
        <v>106.0</v>
      </c>
      <c r="B108" s="45">
        <v>202.46</v>
      </c>
      <c r="C108" s="45">
        <v>253.34</v>
      </c>
      <c r="D108" s="45">
        <v>326.48</v>
      </c>
      <c r="E108" s="45">
        <v>485.48</v>
      </c>
      <c r="F108" s="45">
        <v>770.62</v>
      </c>
      <c r="G108" s="45">
        <v>879.8</v>
      </c>
      <c r="H108" s="45">
        <v>906.3</v>
      </c>
      <c r="I108" s="45">
        <v>925.38</v>
      </c>
      <c r="J108" s="45">
        <v>925.38</v>
      </c>
      <c r="K108" s="46">
        <v>945.52</v>
      </c>
      <c r="L108" s="46">
        <v>945.52</v>
      </c>
      <c r="M108" s="45">
        <v>783.34</v>
      </c>
    </row>
    <row r="109" ht="12.75" customHeight="1">
      <c r="A109" s="33">
        <v>107.0</v>
      </c>
      <c r="B109" s="47">
        <v>204.37</v>
      </c>
      <c r="C109" s="47">
        <v>255.73</v>
      </c>
      <c r="D109" s="47">
        <v>329.56</v>
      </c>
      <c r="E109" s="47">
        <v>490.06</v>
      </c>
      <c r="F109" s="47">
        <v>777.89</v>
      </c>
      <c r="G109" s="47">
        <v>888.1</v>
      </c>
      <c r="H109" s="47">
        <v>914.85</v>
      </c>
      <c r="I109" s="47">
        <v>934.11</v>
      </c>
      <c r="J109" s="47">
        <v>934.11</v>
      </c>
      <c r="K109" s="48">
        <v>954.44</v>
      </c>
      <c r="L109" s="48">
        <v>954.44</v>
      </c>
      <c r="M109" s="47">
        <v>790.73</v>
      </c>
    </row>
    <row r="110" ht="12.75" customHeight="1">
      <c r="A110" s="33">
        <v>108.0</v>
      </c>
      <c r="B110" s="47">
        <v>206.28</v>
      </c>
      <c r="C110" s="47">
        <v>258.12</v>
      </c>
      <c r="D110" s="47">
        <v>332.64</v>
      </c>
      <c r="E110" s="47">
        <v>494.64</v>
      </c>
      <c r="F110" s="47">
        <v>785.16</v>
      </c>
      <c r="G110" s="47">
        <v>896.4</v>
      </c>
      <c r="H110" s="47">
        <v>923.4</v>
      </c>
      <c r="I110" s="47">
        <v>942.84</v>
      </c>
      <c r="J110" s="47">
        <v>942.84</v>
      </c>
      <c r="K110" s="48">
        <v>963.36</v>
      </c>
      <c r="L110" s="48">
        <v>963.36</v>
      </c>
      <c r="M110" s="47">
        <v>798.12</v>
      </c>
    </row>
    <row r="111" ht="12.75" customHeight="1">
      <c r="A111" s="33">
        <v>109.0</v>
      </c>
      <c r="B111" s="47">
        <v>208.19</v>
      </c>
      <c r="C111" s="47">
        <v>260.51</v>
      </c>
      <c r="D111" s="47">
        <v>335.72</v>
      </c>
      <c r="E111" s="47">
        <v>499.22</v>
      </c>
      <c r="F111" s="47">
        <v>792.43</v>
      </c>
      <c r="G111" s="47">
        <v>904.7</v>
      </c>
      <c r="H111" s="47">
        <v>931.95</v>
      </c>
      <c r="I111" s="47">
        <v>951.57</v>
      </c>
      <c r="J111" s="47">
        <v>951.57</v>
      </c>
      <c r="K111" s="48">
        <v>972.28</v>
      </c>
      <c r="L111" s="48">
        <v>972.28</v>
      </c>
      <c r="M111" s="47">
        <v>805.51</v>
      </c>
    </row>
    <row r="112" ht="12.75" customHeight="1">
      <c r="A112" s="16">
        <v>110.0</v>
      </c>
      <c r="B112" s="49">
        <v>210.1</v>
      </c>
      <c r="C112" s="49">
        <v>262.9</v>
      </c>
      <c r="D112" s="49">
        <v>338.8</v>
      </c>
      <c r="E112" s="49">
        <v>503.8</v>
      </c>
      <c r="F112" s="49">
        <v>799.7</v>
      </c>
      <c r="G112" s="49">
        <v>913.0</v>
      </c>
      <c r="H112" s="49">
        <v>940.5</v>
      </c>
      <c r="I112" s="49">
        <v>960.3</v>
      </c>
      <c r="J112" s="49">
        <v>960.3</v>
      </c>
      <c r="K112" s="50">
        <v>981.2</v>
      </c>
      <c r="L112" s="50">
        <v>981.2</v>
      </c>
      <c r="M112" s="49">
        <v>812.9</v>
      </c>
    </row>
    <row r="113" ht="12.75" customHeight="1">
      <c r="A113" s="35">
        <v>111.0</v>
      </c>
      <c r="B113" s="51">
        <v>212.01</v>
      </c>
      <c r="C113" s="51">
        <v>265.29</v>
      </c>
      <c r="D113" s="52">
        <v>341.88</v>
      </c>
      <c r="E113" s="52">
        <v>508.38</v>
      </c>
      <c r="F113" s="52">
        <v>806.97</v>
      </c>
      <c r="G113" s="52">
        <v>921.3</v>
      </c>
      <c r="H113" s="52">
        <v>949.05</v>
      </c>
      <c r="I113" s="52">
        <v>969.03</v>
      </c>
      <c r="J113" s="52">
        <v>969.03</v>
      </c>
      <c r="K113" s="53">
        <v>990.12</v>
      </c>
      <c r="L113" s="53">
        <v>990.12</v>
      </c>
      <c r="M113" s="52">
        <v>820.29</v>
      </c>
    </row>
    <row r="114" ht="12.75" customHeight="1">
      <c r="A114" s="23">
        <v>112.0</v>
      </c>
      <c r="B114" s="54">
        <v>213.92</v>
      </c>
      <c r="C114" s="54">
        <v>267.68</v>
      </c>
      <c r="D114" s="55">
        <v>344.96</v>
      </c>
      <c r="E114" s="55">
        <v>512.96</v>
      </c>
      <c r="F114" s="55">
        <v>814.24</v>
      </c>
      <c r="G114" s="55">
        <v>929.6</v>
      </c>
      <c r="H114" s="55">
        <v>957.6</v>
      </c>
      <c r="I114" s="55">
        <v>977.76</v>
      </c>
      <c r="J114" s="55">
        <v>977.76</v>
      </c>
      <c r="K114" s="56">
        <v>999.04</v>
      </c>
      <c r="L114" s="56">
        <v>999.04</v>
      </c>
      <c r="M114" s="55">
        <v>827.68</v>
      </c>
    </row>
    <row r="115" ht="12.75" customHeight="1">
      <c r="A115" s="23">
        <v>113.0</v>
      </c>
      <c r="B115" s="54">
        <v>215.83</v>
      </c>
      <c r="C115" s="54">
        <v>270.07</v>
      </c>
      <c r="D115" s="55">
        <v>348.04</v>
      </c>
      <c r="E115" s="55">
        <v>517.54</v>
      </c>
      <c r="F115" s="55">
        <v>821.51</v>
      </c>
      <c r="G115" s="55">
        <v>937.9</v>
      </c>
      <c r="H115" s="55">
        <v>966.15</v>
      </c>
      <c r="I115" s="55">
        <v>986.49</v>
      </c>
      <c r="J115" s="55">
        <v>986.49</v>
      </c>
      <c r="K115" s="56">
        <v>1007.96</v>
      </c>
      <c r="L115" s="56">
        <v>1007.96</v>
      </c>
      <c r="M115" s="55">
        <v>835.07</v>
      </c>
    </row>
    <row r="116" ht="12.75" customHeight="1">
      <c r="A116" s="23">
        <v>114.0</v>
      </c>
      <c r="B116" s="54">
        <v>217.74</v>
      </c>
      <c r="C116" s="54">
        <v>272.46</v>
      </c>
      <c r="D116" s="55">
        <v>351.12</v>
      </c>
      <c r="E116" s="55">
        <v>522.12</v>
      </c>
      <c r="F116" s="55">
        <v>828.78</v>
      </c>
      <c r="G116" s="55">
        <v>946.2</v>
      </c>
      <c r="H116" s="55">
        <v>974.7</v>
      </c>
      <c r="I116" s="55">
        <v>995.22</v>
      </c>
      <c r="J116" s="55">
        <v>995.22</v>
      </c>
      <c r="K116" s="56">
        <v>1016.88</v>
      </c>
      <c r="L116" s="56">
        <v>1016.88</v>
      </c>
      <c r="M116" s="55">
        <v>842.46</v>
      </c>
    </row>
    <row r="117" ht="12.75" customHeight="1">
      <c r="A117" s="27">
        <v>115.0</v>
      </c>
      <c r="B117" s="57">
        <v>219.65</v>
      </c>
      <c r="C117" s="57">
        <v>274.85</v>
      </c>
      <c r="D117" s="58">
        <v>354.2</v>
      </c>
      <c r="E117" s="58">
        <v>526.7</v>
      </c>
      <c r="F117" s="58">
        <v>836.05</v>
      </c>
      <c r="G117" s="58">
        <v>954.5</v>
      </c>
      <c r="H117" s="58">
        <v>983.25</v>
      </c>
      <c r="I117" s="58">
        <v>1003.95</v>
      </c>
      <c r="J117" s="58">
        <v>1003.95</v>
      </c>
      <c r="K117" s="59">
        <v>1025.8</v>
      </c>
      <c r="L117" s="59">
        <v>1025.8</v>
      </c>
      <c r="M117" s="58">
        <v>849.85</v>
      </c>
    </row>
    <row r="118" ht="12.75" customHeight="1">
      <c r="A118" s="5">
        <v>116.0</v>
      </c>
      <c r="B118" s="60">
        <v>221.56</v>
      </c>
      <c r="C118" s="60">
        <v>277.24</v>
      </c>
      <c r="D118" s="60">
        <v>357.28</v>
      </c>
      <c r="E118" s="60">
        <v>531.28</v>
      </c>
      <c r="F118" s="60">
        <v>843.32</v>
      </c>
      <c r="G118" s="60">
        <v>962.8</v>
      </c>
      <c r="H118" s="60">
        <v>991.8</v>
      </c>
      <c r="I118" s="60">
        <v>1012.68</v>
      </c>
      <c r="J118" s="60">
        <v>1012.68</v>
      </c>
      <c r="K118" s="62">
        <v>1034.72</v>
      </c>
      <c r="L118" s="62">
        <v>1034.72</v>
      </c>
      <c r="M118" s="61">
        <v>857.24</v>
      </c>
    </row>
    <row r="119" ht="12.75" customHeight="1">
      <c r="A119" s="9">
        <v>117.0</v>
      </c>
      <c r="B119" s="45">
        <v>223.47</v>
      </c>
      <c r="C119" s="45">
        <v>279.63</v>
      </c>
      <c r="D119" s="45">
        <v>360.36</v>
      </c>
      <c r="E119" s="45">
        <v>535.86</v>
      </c>
      <c r="F119" s="45">
        <v>850.59</v>
      </c>
      <c r="G119" s="45">
        <v>971.1</v>
      </c>
      <c r="H119" s="45">
        <v>1000.35</v>
      </c>
      <c r="I119" s="45">
        <v>1021.41</v>
      </c>
      <c r="J119" s="45">
        <v>1021.41</v>
      </c>
      <c r="K119" s="63">
        <v>1043.64</v>
      </c>
      <c r="L119" s="63">
        <v>1043.64</v>
      </c>
      <c r="M119" s="46">
        <v>864.63</v>
      </c>
    </row>
    <row r="120" ht="12.75" customHeight="1">
      <c r="A120" s="13">
        <v>118.0</v>
      </c>
      <c r="B120" s="47">
        <v>225.38</v>
      </c>
      <c r="C120" s="47">
        <v>282.02</v>
      </c>
      <c r="D120" s="47">
        <v>363.44</v>
      </c>
      <c r="E120" s="47">
        <v>540.44</v>
      </c>
      <c r="F120" s="47">
        <v>857.86</v>
      </c>
      <c r="G120" s="47">
        <v>979.4</v>
      </c>
      <c r="H120" s="47">
        <v>1008.9</v>
      </c>
      <c r="I120" s="47">
        <v>1030.14</v>
      </c>
      <c r="J120" s="47">
        <v>1030.14</v>
      </c>
      <c r="K120" s="63">
        <v>1052.56</v>
      </c>
      <c r="L120" s="63">
        <v>1052.56</v>
      </c>
      <c r="M120" s="48">
        <v>872.02</v>
      </c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13">
        <v>119.0</v>
      </c>
      <c r="B121" s="47">
        <v>227.29</v>
      </c>
      <c r="C121" s="47">
        <v>284.41</v>
      </c>
      <c r="D121" s="47">
        <v>366.52</v>
      </c>
      <c r="E121" s="47">
        <v>545.02</v>
      </c>
      <c r="F121" s="47">
        <v>865.13</v>
      </c>
      <c r="G121" s="47">
        <v>987.7</v>
      </c>
      <c r="H121" s="47">
        <v>1017.45</v>
      </c>
      <c r="I121" s="47">
        <v>1038.87</v>
      </c>
      <c r="J121" s="47">
        <v>1038.87</v>
      </c>
      <c r="K121" s="63">
        <v>1061.48</v>
      </c>
      <c r="L121" s="63">
        <v>1061.48</v>
      </c>
      <c r="M121" s="48">
        <v>879.41</v>
      </c>
    </row>
    <row r="122" ht="12.75" customHeight="1">
      <c r="A122" s="16">
        <v>120.0</v>
      </c>
      <c r="B122" s="49">
        <v>229.2</v>
      </c>
      <c r="C122" s="49">
        <v>286.8</v>
      </c>
      <c r="D122" s="49">
        <v>369.6</v>
      </c>
      <c r="E122" s="49">
        <v>549.6</v>
      </c>
      <c r="F122" s="49">
        <v>872.4</v>
      </c>
      <c r="G122" s="49">
        <v>996.0</v>
      </c>
      <c r="H122" s="49">
        <v>1026.0</v>
      </c>
      <c r="I122" s="49">
        <v>1047.6</v>
      </c>
      <c r="J122" s="49">
        <v>1047.6</v>
      </c>
      <c r="K122" s="63">
        <v>1070.4</v>
      </c>
      <c r="L122" s="63">
        <v>1070.4</v>
      </c>
      <c r="M122" s="50">
        <v>886.8</v>
      </c>
    </row>
    <row r="123" ht="12.75" customHeight="1">
      <c r="A123" s="19">
        <v>121.0</v>
      </c>
      <c r="B123" s="51">
        <v>231.11</v>
      </c>
      <c r="C123" s="51">
        <v>289.19</v>
      </c>
      <c r="D123" s="52">
        <v>372.68</v>
      </c>
      <c r="E123" s="52">
        <v>554.18</v>
      </c>
      <c r="F123" s="52">
        <v>879.67</v>
      </c>
      <c r="G123" s="52">
        <v>1004.3</v>
      </c>
      <c r="H123" s="52">
        <v>1034.55</v>
      </c>
      <c r="I123" s="52">
        <v>1056.33</v>
      </c>
      <c r="J123" s="52">
        <v>1056.33</v>
      </c>
      <c r="K123" s="63">
        <v>1079.32</v>
      </c>
      <c r="L123" s="63">
        <v>1079.32</v>
      </c>
      <c r="M123" s="53">
        <v>894.19</v>
      </c>
    </row>
    <row r="124" ht="12.75" customHeight="1">
      <c r="A124" s="23">
        <v>122.0</v>
      </c>
      <c r="B124" s="54">
        <v>233.02</v>
      </c>
      <c r="C124" s="54">
        <v>291.58</v>
      </c>
      <c r="D124" s="55">
        <v>375.76</v>
      </c>
      <c r="E124" s="55">
        <v>558.76</v>
      </c>
      <c r="F124" s="55">
        <v>886.94</v>
      </c>
      <c r="G124" s="55">
        <v>1012.6</v>
      </c>
      <c r="H124" s="55">
        <v>1043.1</v>
      </c>
      <c r="I124" s="55">
        <v>1065.06</v>
      </c>
      <c r="J124" s="55">
        <v>1065.06</v>
      </c>
      <c r="K124" s="63">
        <v>1088.24</v>
      </c>
      <c r="L124" s="63">
        <v>1088.24</v>
      </c>
      <c r="M124" s="56">
        <v>901.58</v>
      </c>
    </row>
    <row r="125" ht="12.75" customHeight="1">
      <c r="A125" s="19">
        <v>123.0</v>
      </c>
      <c r="B125" s="54">
        <v>234.93</v>
      </c>
      <c r="C125" s="54">
        <v>293.97</v>
      </c>
      <c r="D125" s="55">
        <v>378.84</v>
      </c>
      <c r="E125" s="55">
        <v>563.34</v>
      </c>
      <c r="F125" s="55">
        <v>894.21</v>
      </c>
      <c r="G125" s="55">
        <v>1020.9</v>
      </c>
      <c r="H125" s="55">
        <v>1051.65</v>
      </c>
      <c r="I125" s="55">
        <v>1073.79</v>
      </c>
      <c r="J125" s="55">
        <v>1073.79</v>
      </c>
      <c r="K125" s="63">
        <v>1097.16</v>
      </c>
      <c r="L125" s="63">
        <v>1097.16</v>
      </c>
      <c r="M125" s="56">
        <v>908.97</v>
      </c>
    </row>
    <row r="126" ht="12.75" customHeight="1">
      <c r="A126" s="19">
        <v>124.0</v>
      </c>
      <c r="B126" s="54">
        <v>236.84</v>
      </c>
      <c r="C126" s="54">
        <v>296.36</v>
      </c>
      <c r="D126" s="55">
        <v>381.92</v>
      </c>
      <c r="E126" s="55">
        <v>567.92</v>
      </c>
      <c r="F126" s="55">
        <v>901.48</v>
      </c>
      <c r="G126" s="55">
        <v>1029.2</v>
      </c>
      <c r="H126" s="55">
        <v>1060.2</v>
      </c>
      <c r="I126" s="55">
        <v>1082.52</v>
      </c>
      <c r="J126" s="55">
        <v>1082.52</v>
      </c>
      <c r="K126" s="63">
        <v>1106.08</v>
      </c>
      <c r="L126" s="63">
        <v>1106.08</v>
      </c>
      <c r="M126" s="56">
        <v>916.36</v>
      </c>
    </row>
    <row r="127" ht="12.75" customHeight="1">
      <c r="A127" s="27">
        <v>125.0</v>
      </c>
      <c r="B127" s="57">
        <v>238.75</v>
      </c>
      <c r="C127" s="57">
        <v>298.75</v>
      </c>
      <c r="D127" s="58">
        <v>385.0</v>
      </c>
      <c r="E127" s="58">
        <v>572.5</v>
      </c>
      <c r="F127" s="58">
        <v>908.75</v>
      </c>
      <c r="G127" s="58">
        <v>1037.5</v>
      </c>
      <c r="H127" s="58">
        <v>1068.75</v>
      </c>
      <c r="I127" s="58">
        <v>1091.25</v>
      </c>
      <c r="J127" s="58">
        <v>1091.25</v>
      </c>
      <c r="K127" s="63">
        <v>1115.0</v>
      </c>
      <c r="L127" s="63">
        <v>1115.0</v>
      </c>
      <c r="M127" s="59">
        <v>923.75</v>
      </c>
    </row>
    <row r="128" ht="12.75" customHeight="1">
      <c r="A128" s="13">
        <v>126.0</v>
      </c>
      <c r="B128" s="45">
        <v>240.66</v>
      </c>
      <c r="C128" s="45">
        <v>301.14</v>
      </c>
      <c r="D128" s="45">
        <v>388.08</v>
      </c>
      <c r="E128" s="45">
        <v>577.08</v>
      </c>
      <c r="F128" s="45">
        <v>916.02</v>
      </c>
      <c r="G128" s="45">
        <v>1045.8</v>
      </c>
      <c r="H128" s="45">
        <v>1077.3</v>
      </c>
      <c r="I128" s="45">
        <v>1099.98</v>
      </c>
      <c r="J128" s="45">
        <v>1099.98</v>
      </c>
      <c r="K128" s="63">
        <v>1123.92</v>
      </c>
      <c r="L128" s="63">
        <v>1123.92</v>
      </c>
      <c r="M128" s="46">
        <v>931.14</v>
      </c>
    </row>
    <row r="129" ht="12.75" customHeight="1">
      <c r="A129" s="13">
        <v>127.0</v>
      </c>
      <c r="B129" s="47">
        <v>242.57</v>
      </c>
      <c r="C129" s="47">
        <v>303.53</v>
      </c>
      <c r="D129" s="47">
        <v>391.16</v>
      </c>
      <c r="E129" s="47">
        <v>581.66</v>
      </c>
      <c r="F129" s="47">
        <v>923.29</v>
      </c>
      <c r="G129" s="47">
        <v>1054.1</v>
      </c>
      <c r="H129" s="47">
        <v>1085.85</v>
      </c>
      <c r="I129" s="47">
        <v>1108.71</v>
      </c>
      <c r="J129" s="47">
        <v>1108.71</v>
      </c>
      <c r="K129" s="63">
        <v>1132.84</v>
      </c>
      <c r="L129" s="63">
        <v>1132.84</v>
      </c>
      <c r="M129" s="48">
        <v>938.53</v>
      </c>
    </row>
    <row r="130" ht="12.75" customHeight="1">
      <c r="A130" s="13">
        <v>128.0</v>
      </c>
      <c r="B130" s="47">
        <v>244.48</v>
      </c>
      <c r="C130" s="47">
        <v>305.92</v>
      </c>
      <c r="D130" s="47">
        <v>394.24</v>
      </c>
      <c r="E130" s="47">
        <v>586.24</v>
      </c>
      <c r="F130" s="47">
        <v>930.56</v>
      </c>
      <c r="G130" s="47">
        <v>1062.4</v>
      </c>
      <c r="H130" s="47">
        <v>1094.4</v>
      </c>
      <c r="I130" s="47">
        <v>1117.44</v>
      </c>
      <c r="J130" s="47">
        <v>1117.44</v>
      </c>
      <c r="K130" s="63">
        <v>1141.76</v>
      </c>
      <c r="L130" s="63">
        <v>1141.76</v>
      </c>
      <c r="M130" s="48">
        <v>945.92</v>
      </c>
    </row>
    <row r="131" ht="12.75" customHeight="1">
      <c r="A131" s="13">
        <v>129.0</v>
      </c>
      <c r="B131" s="47">
        <v>246.39</v>
      </c>
      <c r="C131" s="47">
        <v>308.31</v>
      </c>
      <c r="D131" s="47">
        <v>397.32</v>
      </c>
      <c r="E131" s="47">
        <v>590.82</v>
      </c>
      <c r="F131" s="47">
        <v>937.83</v>
      </c>
      <c r="G131" s="47">
        <v>1070.7</v>
      </c>
      <c r="H131" s="47">
        <v>1102.95</v>
      </c>
      <c r="I131" s="47">
        <v>1126.17</v>
      </c>
      <c r="J131" s="47">
        <v>1126.17</v>
      </c>
      <c r="K131" s="63">
        <v>1150.68</v>
      </c>
      <c r="L131" s="63">
        <v>1150.68</v>
      </c>
      <c r="M131" s="48">
        <v>953.31</v>
      </c>
    </row>
    <row r="132" ht="12.75" customHeight="1">
      <c r="A132" s="13">
        <v>130.0</v>
      </c>
      <c r="B132" s="49">
        <v>248.3</v>
      </c>
      <c r="C132" s="49">
        <v>310.7</v>
      </c>
      <c r="D132" s="49">
        <v>400.4</v>
      </c>
      <c r="E132" s="49">
        <v>595.4</v>
      </c>
      <c r="F132" s="49">
        <v>945.1</v>
      </c>
      <c r="G132" s="49">
        <v>1079.0</v>
      </c>
      <c r="H132" s="49">
        <v>1111.5</v>
      </c>
      <c r="I132" s="49">
        <v>1134.9</v>
      </c>
      <c r="J132" s="49">
        <v>1134.9</v>
      </c>
      <c r="K132" s="63">
        <v>1159.6</v>
      </c>
      <c r="L132" s="63">
        <v>1159.6</v>
      </c>
      <c r="M132" s="50">
        <v>960.7</v>
      </c>
    </row>
    <row r="133" ht="12.75" customHeight="1">
      <c r="A133" s="31">
        <v>131.0</v>
      </c>
      <c r="B133" s="51">
        <v>250.21</v>
      </c>
      <c r="C133" s="51">
        <v>313.09</v>
      </c>
      <c r="D133" s="52">
        <v>403.48</v>
      </c>
      <c r="E133" s="52">
        <v>599.98</v>
      </c>
      <c r="F133" s="52">
        <v>952.37</v>
      </c>
      <c r="G133" s="52">
        <v>1087.3</v>
      </c>
      <c r="H133" s="52">
        <v>1120.05</v>
      </c>
      <c r="I133" s="52">
        <v>1143.63</v>
      </c>
      <c r="J133" s="52">
        <v>1143.63</v>
      </c>
      <c r="K133" s="63">
        <v>1168.52</v>
      </c>
      <c r="L133" s="63">
        <v>1168.52</v>
      </c>
      <c r="M133" s="53">
        <v>968.09</v>
      </c>
    </row>
    <row r="134" ht="12.75" customHeight="1">
      <c r="A134" s="19">
        <v>132.0</v>
      </c>
      <c r="B134" s="54">
        <v>252.12</v>
      </c>
      <c r="C134" s="54">
        <v>315.48</v>
      </c>
      <c r="D134" s="55">
        <v>406.56</v>
      </c>
      <c r="E134" s="55">
        <v>604.56</v>
      </c>
      <c r="F134" s="55">
        <v>959.64</v>
      </c>
      <c r="G134" s="55">
        <v>1095.6</v>
      </c>
      <c r="H134" s="55">
        <v>1128.6</v>
      </c>
      <c r="I134" s="55">
        <v>1152.36</v>
      </c>
      <c r="J134" s="55">
        <v>1152.36</v>
      </c>
      <c r="K134" s="63">
        <v>1177.44</v>
      </c>
      <c r="L134" s="63">
        <v>1177.44</v>
      </c>
      <c r="M134" s="56">
        <v>975.48</v>
      </c>
    </row>
    <row r="135" ht="12.75" customHeight="1">
      <c r="A135" s="19">
        <v>133.0</v>
      </c>
      <c r="B135" s="54">
        <v>254.03</v>
      </c>
      <c r="C135" s="54">
        <v>317.87</v>
      </c>
      <c r="D135" s="55">
        <v>409.64</v>
      </c>
      <c r="E135" s="55">
        <v>609.14</v>
      </c>
      <c r="F135" s="55">
        <v>966.91</v>
      </c>
      <c r="G135" s="55">
        <v>1103.9</v>
      </c>
      <c r="H135" s="55">
        <v>1137.15</v>
      </c>
      <c r="I135" s="55">
        <v>1161.09</v>
      </c>
      <c r="J135" s="55">
        <v>1161.09</v>
      </c>
      <c r="K135" s="63">
        <v>1186.36</v>
      </c>
      <c r="L135" s="63">
        <v>1186.36</v>
      </c>
      <c r="M135" s="56">
        <v>982.87</v>
      </c>
    </row>
    <row r="136" ht="12.75" customHeight="1">
      <c r="A136" s="19">
        <v>134.0</v>
      </c>
      <c r="B136" s="54">
        <v>255.94</v>
      </c>
      <c r="C136" s="54">
        <v>320.26</v>
      </c>
      <c r="D136" s="55">
        <v>412.72</v>
      </c>
      <c r="E136" s="55">
        <v>613.72</v>
      </c>
      <c r="F136" s="55">
        <v>974.18</v>
      </c>
      <c r="G136" s="55">
        <v>1112.2</v>
      </c>
      <c r="H136" s="55">
        <v>1145.7</v>
      </c>
      <c r="I136" s="55">
        <v>1169.82</v>
      </c>
      <c r="J136" s="55">
        <v>1169.82</v>
      </c>
      <c r="K136" s="63">
        <v>1195.28</v>
      </c>
      <c r="L136" s="63">
        <v>1195.28</v>
      </c>
      <c r="M136" s="56">
        <v>990.26</v>
      </c>
    </row>
    <row r="137" ht="12.75" customHeight="1">
      <c r="A137" s="19">
        <v>135.0</v>
      </c>
      <c r="B137" s="57">
        <v>257.85</v>
      </c>
      <c r="C137" s="57">
        <v>322.65</v>
      </c>
      <c r="D137" s="58">
        <v>415.8</v>
      </c>
      <c r="E137" s="58">
        <v>618.3</v>
      </c>
      <c r="F137" s="58">
        <v>981.45</v>
      </c>
      <c r="G137" s="58">
        <v>1120.5</v>
      </c>
      <c r="H137" s="58">
        <v>1154.25</v>
      </c>
      <c r="I137" s="58">
        <v>1178.55</v>
      </c>
      <c r="J137" s="58">
        <v>1178.55</v>
      </c>
      <c r="K137" s="63">
        <v>1204.2</v>
      </c>
      <c r="L137" s="63">
        <v>1204.2</v>
      </c>
      <c r="M137" s="59">
        <v>997.65</v>
      </c>
    </row>
    <row r="138" ht="12.75" customHeight="1">
      <c r="A138" s="32">
        <v>136.0</v>
      </c>
      <c r="B138" s="45">
        <v>259.76</v>
      </c>
      <c r="C138" s="45">
        <v>325.04</v>
      </c>
      <c r="D138" s="45">
        <v>418.88</v>
      </c>
      <c r="E138" s="45">
        <v>622.88</v>
      </c>
      <c r="F138" s="45">
        <v>988.72</v>
      </c>
      <c r="G138" s="45">
        <v>1128.8</v>
      </c>
      <c r="H138" s="45">
        <v>1162.8</v>
      </c>
      <c r="I138" s="45">
        <v>1187.28</v>
      </c>
      <c r="J138" s="45">
        <v>1187.28</v>
      </c>
      <c r="K138" s="63">
        <v>1213.12</v>
      </c>
      <c r="L138" s="63">
        <v>1213.12</v>
      </c>
      <c r="M138" s="46">
        <v>1005.04</v>
      </c>
    </row>
    <row r="139" ht="12.75" customHeight="1">
      <c r="A139" s="13">
        <v>137.0</v>
      </c>
      <c r="B139" s="47">
        <v>261.67</v>
      </c>
      <c r="C139" s="47">
        <v>327.43</v>
      </c>
      <c r="D139" s="47">
        <v>421.96</v>
      </c>
      <c r="E139" s="47">
        <v>627.46</v>
      </c>
      <c r="F139" s="47">
        <v>995.99</v>
      </c>
      <c r="G139" s="47">
        <v>1137.1</v>
      </c>
      <c r="H139" s="47">
        <v>1171.35</v>
      </c>
      <c r="I139" s="47">
        <v>1196.01</v>
      </c>
      <c r="J139" s="47">
        <v>1196.01</v>
      </c>
      <c r="K139" s="63">
        <v>1222.04</v>
      </c>
      <c r="L139" s="63">
        <v>1222.04</v>
      </c>
      <c r="M139" s="48">
        <v>1012.43</v>
      </c>
    </row>
    <row r="140" ht="12.75" customHeight="1">
      <c r="A140" s="13">
        <v>138.0</v>
      </c>
      <c r="B140" s="47">
        <v>263.58</v>
      </c>
      <c r="C140" s="47">
        <v>329.82</v>
      </c>
      <c r="D140" s="47">
        <v>425.04</v>
      </c>
      <c r="E140" s="47">
        <v>632.04</v>
      </c>
      <c r="F140" s="47">
        <v>1003.26</v>
      </c>
      <c r="G140" s="47">
        <v>1145.4</v>
      </c>
      <c r="H140" s="47">
        <v>1179.9</v>
      </c>
      <c r="I140" s="47">
        <v>1204.74</v>
      </c>
      <c r="J140" s="47">
        <v>1204.74</v>
      </c>
      <c r="K140" s="63">
        <v>1230.96</v>
      </c>
      <c r="L140" s="63">
        <v>1230.96</v>
      </c>
      <c r="M140" s="48">
        <v>1019.82</v>
      </c>
    </row>
    <row r="141" ht="12.75" customHeight="1">
      <c r="A141" s="13">
        <v>139.0</v>
      </c>
      <c r="B141" s="47">
        <v>265.49</v>
      </c>
      <c r="C141" s="47">
        <v>332.21</v>
      </c>
      <c r="D141" s="47">
        <v>428.12</v>
      </c>
      <c r="E141" s="47">
        <v>636.62</v>
      </c>
      <c r="F141" s="47">
        <v>1010.53</v>
      </c>
      <c r="G141" s="47">
        <v>1153.7</v>
      </c>
      <c r="H141" s="47">
        <v>1188.45</v>
      </c>
      <c r="I141" s="47">
        <v>1213.47</v>
      </c>
      <c r="J141" s="47">
        <v>1213.47</v>
      </c>
      <c r="K141" s="63">
        <v>1239.88</v>
      </c>
      <c r="L141" s="63">
        <v>1239.88</v>
      </c>
      <c r="M141" s="48">
        <v>1027.21</v>
      </c>
    </row>
    <row r="142" ht="12.75" customHeight="1">
      <c r="A142" s="16">
        <v>140.0</v>
      </c>
      <c r="B142" s="49">
        <v>267.4</v>
      </c>
      <c r="C142" s="49">
        <v>334.6</v>
      </c>
      <c r="D142" s="49">
        <v>431.2</v>
      </c>
      <c r="E142" s="49">
        <v>641.2</v>
      </c>
      <c r="F142" s="49">
        <v>1017.8</v>
      </c>
      <c r="G142" s="49">
        <v>1162.0</v>
      </c>
      <c r="H142" s="49">
        <v>1197.0</v>
      </c>
      <c r="I142" s="49">
        <v>1222.2</v>
      </c>
      <c r="J142" s="49">
        <v>1222.2</v>
      </c>
      <c r="K142" s="63">
        <v>1248.8</v>
      </c>
      <c r="L142" s="63">
        <v>1248.8</v>
      </c>
      <c r="M142" s="50">
        <v>1034.6</v>
      </c>
    </row>
    <row r="143" ht="12.75" customHeight="1">
      <c r="A143" s="19">
        <v>141.0</v>
      </c>
      <c r="B143" s="51">
        <v>269.31</v>
      </c>
      <c r="C143" s="51">
        <v>336.99</v>
      </c>
      <c r="D143" s="52">
        <v>434.28</v>
      </c>
      <c r="E143" s="52">
        <v>645.78</v>
      </c>
      <c r="F143" s="52">
        <v>1025.07</v>
      </c>
      <c r="G143" s="52">
        <v>1170.3</v>
      </c>
      <c r="H143" s="52">
        <v>1205.55</v>
      </c>
      <c r="I143" s="52">
        <v>1230.93</v>
      </c>
      <c r="J143" s="52">
        <v>1230.93</v>
      </c>
      <c r="K143" s="63">
        <v>1257.72</v>
      </c>
      <c r="L143" s="63">
        <v>1257.72</v>
      </c>
      <c r="M143" s="53">
        <v>1041.99</v>
      </c>
    </row>
    <row r="144" ht="12.75" customHeight="1">
      <c r="A144" s="23">
        <v>142.0</v>
      </c>
      <c r="B144" s="54">
        <v>271.22</v>
      </c>
      <c r="C144" s="54">
        <v>339.38</v>
      </c>
      <c r="D144" s="55">
        <v>437.36</v>
      </c>
      <c r="E144" s="55">
        <v>650.36</v>
      </c>
      <c r="F144" s="55">
        <v>1032.34</v>
      </c>
      <c r="G144" s="55">
        <v>1178.6</v>
      </c>
      <c r="H144" s="55">
        <v>1214.1</v>
      </c>
      <c r="I144" s="55">
        <v>1239.66</v>
      </c>
      <c r="J144" s="55">
        <v>1239.66</v>
      </c>
      <c r="K144" s="63">
        <v>1266.64</v>
      </c>
      <c r="L144" s="63">
        <v>1266.64</v>
      </c>
      <c r="M144" s="56">
        <v>1049.38</v>
      </c>
    </row>
    <row r="145" ht="12.75" customHeight="1">
      <c r="A145" s="23">
        <v>143.0</v>
      </c>
      <c r="B145" s="54">
        <v>273.13</v>
      </c>
      <c r="C145" s="54">
        <v>341.77</v>
      </c>
      <c r="D145" s="55">
        <v>440.44</v>
      </c>
      <c r="E145" s="55">
        <v>654.94</v>
      </c>
      <c r="F145" s="55">
        <v>1039.61</v>
      </c>
      <c r="G145" s="55">
        <v>1186.9</v>
      </c>
      <c r="H145" s="55">
        <v>1222.65</v>
      </c>
      <c r="I145" s="55">
        <v>1248.39</v>
      </c>
      <c r="J145" s="55">
        <v>1248.39</v>
      </c>
      <c r="K145" s="63">
        <v>1275.56</v>
      </c>
      <c r="L145" s="63">
        <v>1275.56</v>
      </c>
      <c r="M145" s="56">
        <v>1056.77</v>
      </c>
    </row>
    <row r="146" ht="12.75" customHeight="1">
      <c r="A146" s="23">
        <v>144.0</v>
      </c>
      <c r="B146" s="54">
        <v>275.04</v>
      </c>
      <c r="C146" s="54">
        <v>344.16</v>
      </c>
      <c r="D146" s="55">
        <v>443.52</v>
      </c>
      <c r="E146" s="55">
        <v>659.52</v>
      </c>
      <c r="F146" s="55">
        <v>1046.88</v>
      </c>
      <c r="G146" s="55">
        <v>1195.2</v>
      </c>
      <c r="H146" s="55">
        <v>1231.2</v>
      </c>
      <c r="I146" s="55">
        <v>1257.12</v>
      </c>
      <c r="J146" s="55">
        <v>1257.12</v>
      </c>
      <c r="K146" s="63">
        <v>1284.48</v>
      </c>
      <c r="L146" s="63">
        <v>1284.48</v>
      </c>
      <c r="M146" s="56">
        <v>1064.16</v>
      </c>
    </row>
    <row r="147" ht="12.75" customHeight="1">
      <c r="A147" s="23">
        <v>145.0</v>
      </c>
      <c r="B147" s="57">
        <v>276.95</v>
      </c>
      <c r="C147" s="57">
        <v>346.55</v>
      </c>
      <c r="D147" s="58">
        <v>446.6</v>
      </c>
      <c r="E147" s="58">
        <v>664.1</v>
      </c>
      <c r="F147" s="58">
        <v>1054.15</v>
      </c>
      <c r="G147" s="58">
        <v>1203.5</v>
      </c>
      <c r="H147" s="58">
        <v>1239.75</v>
      </c>
      <c r="I147" s="58">
        <v>1265.85</v>
      </c>
      <c r="J147" s="58">
        <v>1265.85</v>
      </c>
      <c r="K147" s="63">
        <v>1293.4</v>
      </c>
      <c r="L147" s="63">
        <v>1293.4</v>
      </c>
      <c r="M147" s="59">
        <v>1071.55</v>
      </c>
    </row>
    <row r="148" ht="12.75" customHeight="1">
      <c r="A148" s="9">
        <v>146.0</v>
      </c>
      <c r="B148" s="45">
        <v>278.86</v>
      </c>
      <c r="C148" s="45">
        <v>348.94</v>
      </c>
      <c r="D148" s="45">
        <v>449.68</v>
      </c>
      <c r="E148" s="45">
        <v>668.68</v>
      </c>
      <c r="F148" s="45">
        <v>1061.42</v>
      </c>
      <c r="G148" s="45">
        <v>1211.8</v>
      </c>
      <c r="H148" s="45">
        <v>1248.3</v>
      </c>
      <c r="I148" s="45">
        <v>1274.58</v>
      </c>
      <c r="J148" s="45">
        <v>1274.58</v>
      </c>
      <c r="K148" s="63">
        <v>1302.32</v>
      </c>
      <c r="L148" s="63">
        <v>1302.32</v>
      </c>
      <c r="M148" s="46">
        <v>1078.94</v>
      </c>
    </row>
    <row r="149" ht="12.75" customHeight="1">
      <c r="A149" s="33">
        <v>147.0</v>
      </c>
      <c r="B149" s="47">
        <v>280.77</v>
      </c>
      <c r="C149" s="47">
        <v>351.33</v>
      </c>
      <c r="D149" s="47">
        <v>452.76</v>
      </c>
      <c r="E149" s="47">
        <v>673.26</v>
      </c>
      <c r="F149" s="47">
        <v>1068.69</v>
      </c>
      <c r="G149" s="47">
        <v>1220.1</v>
      </c>
      <c r="H149" s="47">
        <v>1256.85</v>
      </c>
      <c r="I149" s="47">
        <v>1283.31</v>
      </c>
      <c r="J149" s="47">
        <v>1283.31</v>
      </c>
      <c r="K149" s="63">
        <v>1311.24</v>
      </c>
      <c r="L149" s="63">
        <v>1311.24</v>
      </c>
      <c r="M149" s="48">
        <v>1086.33</v>
      </c>
    </row>
    <row r="150" ht="12.75" customHeight="1">
      <c r="A150" s="33">
        <v>148.0</v>
      </c>
      <c r="B150" s="47">
        <v>282.68</v>
      </c>
      <c r="C150" s="47">
        <v>353.72</v>
      </c>
      <c r="D150" s="47">
        <v>455.84</v>
      </c>
      <c r="E150" s="47">
        <v>677.84</v>
      </c>
      <c r="F150" s="47">
        <v>1075.96</v>
      </c>
      <c r="G150" s="47">
        <v>1228.4</v>
      </c>
      <c r="H150" s="47">
        <v>1265.4</v>
      </c>
      <c r="I150" s="47">
        <v>1292.04</v>
      </c>
      <c r="J150" s="47">
        <v>1292.04</v>
      </c>
      <c r="K150" s="63">
        <v>1320.16</v>
      </c>
      <c r="L150" s="63">
        <v>1320.16</v>
      </c>
      <c r="M150" s="48">
        <v>1093.72</v>
      </c>
    </row>
    <row r="151" ht="12.75" customHeight="1">
      <c r="A151" s="33">
        <v>149.0</v>
      </c>
      <c r="B151" s="47">
        <v>284.59</v>
      </c>
      <c r="C151" s="47">
        <v>356.11</v>
      </c>
      <c r="D151" s="47">
        <v>458.92</v>
      </c>
      <c r="E151" s="47">
        <v>682.42</v>
      </c>
      <c r="F151" s="47">
        <v>1083.23</v>
      </c>
      <c r="G151" s="47">
        <v>1236.7</v>
      </c>
      <c r="H151" s="47">
        <v>1273.95</v>
      </c>
      <c r="I151" s="47">
        <v>1300.77</v>
      </c>
      <c r="J151" s="47">
        <v>1300.77</v>
      </c>
      <c r="K151" s="63">
        <v>1329.08</v>
      </c>
      <c r="L151" s="63">
        <v>1329.08</v>
      </c>
      <c r="M151" s="48">
        <v>1101.11</v>
      </c>
    </row>
    <row r="152" ht="12.75" customHeight="1">
      <c r="A152" s="16">
        <v>150.0</v>
      </c>
      <c r="B152" s="49">
        <v>286.5</v>
      </c>
      <c r="C152" s="49">
        <v>358.5</v>
      </c>
      <c r="D152" s="49">
        <v>462.0</v>
      </c>
      <c r="E152" s="49">
        <v>687.0</v>
      </c>
      <c r="F152" s="49">
        <v>1090.5</v>
      </c>
      <c r="G152" s="49">
        <v>1245.0</v>
      </c>
      <c r="H152" s="49">
        <v>1282.5</v>
      </c>
      <c r="I152" s="49">
        <v>1309.5</v>
      </c>
      <c r="J152" s="49">
        <v>1309.5</v>
      </c>
      <c r="K152" s="63">
        <v>1338.0</v>
      </c>
      <c r="L152" s="63">
        <v>1338.0</v>
      </c>
      <c r="M152" s="50">
        <v>1108.5</v>
      </c>
    </row>
    <row r="153" ht="12.75" customHeight="1">
      <c r="A153" s="36">
        <v>1000.0</v>
      </c>
      <c r="B153" s="64">
        <v>1.91</v>
      </c>
      <c r="C153" s="64">
        <v>2.39</v>
      </c>
      <c r="D153" s="64">
        <v>3.08</v>
      </c>
      <c r="E153" s="64">
        <v>4.58</v>
      </c>
      <c r="F153" s="64">
        <v>7.27</v>
      </c>
      <c r="G153" s="64">
        <v>8.3</v>
      </c>
      <c r="H153" s="64">
        <v>8.55</v>
      </c>
      <c r="I153" s="64">
        <v>8.73</v>
      </c>
      <c r="J153" s="64">
        <v>8.73</v>
      </c>
      <c r="K153" s="65">
        <v>8.92</v>
      </c>
      <c r="L153" s="65">
        <v>8.92</v>
      </c>
      <c r="M153" s="48">
        <v>7.39</v>
      </c>
    </row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57" footer="0.0" header="0.0" left="0.75" right="0.75" top="0.51"/>
  <pageSetup scale="92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00"/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0.0"/>
    <col customWidth="1" min="2" max="11" width="7.63"/>
    <col customWidth="1" min="12" max="12" width="3.63"/>
    <col customWidth="1" min="13" max="26" width="8.63"/>
  </cols>
  <sheetData>
    <row r="1" ht="12.75" customHeight="1">
      <c r="A1" s="1"/>
      <c r="B1" s="66" t="s">
        <v>0</v>
      </c>
      <c r="C1" s="66" t="s">
        <v>0</v>
      </c>
      <c r="D1" s="66" t="s">
        <v>0</v>
      </c>
      <c r="E1" s="66" t="s">
        <v>0</v>
      </c>
      <c r="F1" s="66" t="s">
        <v>0</v>
      </c>
      <c r="G1" s="66" t="s">
        <v>0</v>
      </c>
      <c r="H1" s="66" t="s">
        <v>0</v>
      </c>
    </row>
    <row r="2" ht="12.75" customHeight="1">
      <c r="A2" s="1" t="s">
        <v>1</v>
      </c>
      <c r="B2" s="3">
        <v>2.0</v>
      </c>
      <c r="C2" s="3">
        <v>3.0</v>
      </c>
      <c r="D2" s="3">
        <v>4.0</v>
      </c>
      <c r="E2" s="3">
        <v>5.0</v>
      </c>
      <c r="F2" s="3">
        <v>6.0</v>
      </c>
      <c r="G2" s="3">
        <v>7.0</v>
      </c>
      <c r="H2" s="3">
        <v>8.0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>
        <v>1.0</v>
      </c>
      <c r="B3" s="60">
        <v>22.95</v>
      </c>
      <c r="C3" s="60">
        <v>23.42</v>
      </c>
      <c r="D3" s="60">
        <v>23.9</v>
      </c>
      <c r="E3" s="60">
        <v>29.88</v>
      </c>
      <c r="F3" s="60">
        <v>34.16</v>
      </c>
      <c r="G3" s="60">
        <v>35.9</v>
      </c>
      <c r="H3" s="61">
        <v>39.86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9">
        <v>2.0</v>
      </c>
      <c r="B4" s="45">
        <v>23.38</v>
      </c>
      <c r="C4" s="45">
        <v>23.86</v>
      </c>
      <c r="D4" s="45">
        <v>24.35</v>
      </c>
      <c r="E4" s="45">
        <v>30.41</v>
      </c>
      <c r="F4" s="45">
        <v>36.43</v>
      </c>
      <c r="G4" s="45">
        <v>40.0</v>
      </c>
      <c r="H4" s="46">
        <v>46.3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13">
        <v>3.0</v>
      </c>
      <c r="B5" s="47">
        <v>24.83</v>
      </c>
      <c r="C5" s="47">
        <v>26.49</v>
      </c>
      <c r="D5" s="47">
        <v>27.02</v>
      </c>
      <c r="E5" s="47">
        <v>33.73</v>
      </c>
      <c r="F5" s="47">
        <v>42.35</v>
      </c>
      <c r="G5" s="47">
        <v>44.76</v>
      </c>
      <c r="H5" s="48">
        <v>52.29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13">
        <v>4.0</v>
      </c>
      <c r="B6" s="47">
        <v>25.27</v>
      </c>
      <c r="C6" s="47">
        <v>27.35</v>
      </c>
      <c r="D6" s="47">
        <v>29.38</v>
      </c>
      <c r="E6" s="47">
        <v>37.91</v>
      </c>
      <c r="F6" s="47">
        <v>44.55</v>
      </c>
      <c r="G6" s="47">
        <v>51.17</v>
      </c>
      <c r="H6" s="48">
        <v>59.82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16">
        <v>5.0</v>
      </c>
      <c r="B7" s="49">
        <v>25.7</v>
      </c>
      <c r="C7" s="49">
        <v>27.78</v>
      </c>
      <c r="D7" s="49">
        <v>30.99</v>
      </c>
      <c r="E7" s="49">
        <v>39.46</v>
      </c>
      <c r="F7" s="49">
        <v>50.56</v>
      </c>
      <c r="G7" s="49">
        <v>56.49</v>
      </c>
      <c r="H7" s="50">
        <v>67.1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9">
        <v>6.0</v>
      </c>
      <c r="B8" s="51">
        <v>27.78</v>
      </c>
      <c r="C8" s="51">
        <v>30.28</v>
      </c>
      <c r="D8" s="52">
        <v>35.4</v>
      </c>
      <c r="E8" s="52">
        <v>46.49</v>
      </c>
      <c r="F8" s="52">
        <v>59.39</v>
      </c>
      <c r="G8" s="52">
        <v>62.75</v>
      </c>
      <c r="H8" s="53">
        <v>76.31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3">
        <v>7.0</v>
      </c>
      <c r="B9" s="54">
        <v>28.23</v>
      </c>
      <c r="C9" s="54">
        <v>33.19</v>
      </c>
      <c r="D9" s="55">
        <v>38.26</v>
      </c>
      <c r="E9" s="55">
        <v>47.4</v>
      </c>
      <c r="F9" s="55">
        <v>62.67</v>
      </c>
      <c r="G9" s="55">
        <v>71.0</v>
      </c>
      <c r="H9" s="56">
        <v>79.48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19">
        <v>8.0</v>
      </c>
      <c r="B10" s="54">
        <v>29.29</v>
      </c>
      <c r="C10" s="54">
        <v>35.13</v>
      </c>
      <c r="D10" s="55">
        <v>39.57</v>
      </c>
      <c r="E10" s="55">
        <v>50.96</v>
      </c>
      <c r="F10" s="55">
        <v>68.8</v>
      </c>
      <c r="G10" s="55">
        <v>77.72</v>
      </c>
      <c r="H10" s="56">
        <v>86.79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19">
        <v>9.0</v>
      </c>
      <c r="B11" s="54">
        <v>29.54</v>
      </c>
      <c r="C11" s="54">
        <v>35.39</v>
      </c>
      <c r="D11" s="55">
        <v>42.23</v>
      </c>
      <c r="E11" s="55">
        <v>53.02</v>
      </c>
      <c r="F11" s="55">
        <v>71.04</v>
      </c>
      <c r="G11" s="55">
        <v>85.29</v>
      </c>
      <c r="H11" s="56">
        <v>98.57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">
        <v>10.0</v>
      </c>
      <c r="B12" s="57">
        <v>29.83</v>
      </c>
      <c r="C12" s="57">
        <v>35.64</v>
      </c>
      <c r="D12" s="58">
        <v>43.33</v>
      </c>
      <c r="E12" s="58">
        <v>56.99</v>
      </c>
      <c r="F12" s="58">
        <v>75.44</v>
      </c>
      <c r="G12" s="58">
        <v>91.78</v>
      </c>
      <c r="H12" s="59">
        <v>106.27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>
        <v>11.0</v>
      </c>
      <c r="B13" s="45">
        <v>35.38</v>
      </c>
      <c r="C13" s="45">
        <v>38.37</v>
      </c>
      <c r="D13" s="45">
        <v>47.78</v>
      </c>
      <c r="E13" s="45">
        <v>60.24</v>
      </c>
      <c r="F13" s="45">
        <v>83.65</v>
      </c>
      <c r="G13" s="45">
        <v>98.42</v>
      </c>
      <c r="H13" s="46">
        <v>113.88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13">
        <v>12.0</v>
      </c>
      <c r="B14" s="47">
        <v>36.26</v>
      </c>
      <c r="C14" s="47">
        <v>44.96</v>
      </c>
      <c r="D14" s="47">
        <v>52.13</v>
      </c>
      <c r="E14" s="47">
        <v>69.78</v>
      </c>
      <c r="F14" s="47">
        <v>88.84</v>
      </c>
      <c r="G14" s="47">
        <v>104.65</v>
      </c>
      <c r="H14" s="48">
        <v>120.34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3">
        <v>13.0</v>
      </c>
      <c r="B15" s="47">
        <v>39.53</v>
      </c>
      <c r="C15" s="47">
        <v>47.29</v>
      </c>
      <c r="D15" s="47">
        <v>53.24</v>
      </c>
      <c r="E15" s="47">
        <v>71.12</v>
      </c>
      <c r="F15" s="47">
        <v>90.82</v>
      </c>
      <c r="G15" s="47">
        <v>105.29</v>
      </c>
      <c r="H15" s="48">
        <v>127.65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>
        <v>14.0</v>
      </c>
      <c r="B16" s="47">
        <v>39.96</v>
      </c>
      <c r="C16" s="47">
        <v>47.99</v>
      </c>
      <c r="D16" s="47">
        <v>57.76</v>
      </c>
      <c r="E16" s="47">
        <v>75.36</v>
      </c>
      <c r="F16" s="47">
        <v>95.44</v>
      </c>
      <c r="G16" s="47">
        <v>110.68</v>
      </c>
      <c r="H16" s="48">
        <v>134.26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13">
        <v>15.0</v>
      </c>
      <c r="B17" s="49">
        <v>40.22</v>
      </c>
      <c r="C17" s="49">
        <v>50.97</v>
      </c>
      <c r="D17" s="49">
        <v>60.34</v>
      </c>
      <c r="E17" s="49">
        <v>78.63</v>
      </c>
      <c r="F17" s="49">
        <v>100.62</v>
      </c>
      <c r="G17" s="49">
        <v>120.92</v>
      </c>
      <c r="H17" s="50">
        <v>141.83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1">
        <v>16.0</v>
      </c>
      <c r="B18" s="51">
        <v>42.64</v>
      </c>
      <c r="C18" s="51">
        <v>52.58</v>
      </c>
      <c r="D18" s="52">
        <v>62.44</v>
      </c>
      <c r="E18" s="52">
        <v>84.29</v>
      </c>
      <c r="F18" s="52">
        <v>104.85</v>
      </c>
      <c r="G18" s="52">
        <v>127.23</v>
      </c>
      <c r="H18" s="53">
        <v>148.15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9">
        <v>17.0</v>
      </c>
      <c r="B19" s="54">
        <v>42.9</v>
      </c>
      <c r="C19" s="54">
        <v>54.23</v>
      </c>
      <c r="D19" s="55">
        <v>65.04</v>
      </c>
      <c r="E19" s="55">
        <v>85.09</v>
      </c>
      <c r="F19" s="55">
        <v>109.06</v>
      </c>
      <c r="G19" s="55">
        <v>127.87</v>
      </c>
      <c r="H19" s="56">
        <v>154.8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9">
        <v>18.0</v>
      </c>
      <c r="B20" s="54">
        <v>46.8</v>
      </c>
      <c r="C20" s="54">
        <v>55.94</v>
      </c>
      <c r="D20" s="55">
        <v>67.53</v>
      </c>
      <c r="E20" s="55">
        <v>88.27</v>
      </c>
      <c r="F20" s="55">
        <v>112.97</v>
      </c>
      <c r="G20" s="55">
        <v>139.67</v>
      </c>
      <c r="H20" s="56">
        <v>160.04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9">
        <v>19.0</v>
      </c>
      <c r="B21" s="54">
        <v>48.0</v>
      </c>
      <c r="C21" s="54">
        <v>57.55</v>
      </c>
      <c r="D21" s="55">
        <v>69.88</v>
      </c>
      <c r="E21" s="55">
        <v>91.49</v>
      </c>
      <c r="F21" s="55">
        <v>116.77</v>
      </c>
      <c r="G21" s="55">
        <v>143.46</v>
      </c>
      <c r="H21" s="56">
        <v>165.86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19">
        <v>20.0</v>
      </c>
      <c r="B22" s="57">
        <v>48.26</v>
      </c>
      <c r="C22" s="57">
        <v>58.29</v>
      </c>
      <c r="D22" s="58">
        <v>71.23</v>
      </c>
      <c r="E22" s="58">
        <v>95.29</v>
      </c>
      <c r="F22" s="58">
        <v>121.12</v>
      </c>
      <c r="G22" s="58">
        <v>143.95</v>
      </c>
      <c r="H22" s="59">
        <v>172.93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">
        <v>21.0</v>
      </c>
      <c r="B23" s="45">
        <v>49.65</v>
      </c>
      <c r="C23" s="45">
        <v>60.2</v>
      </c>
      <c r="D23" s="45">
        <v>73.58</v>
      </c>
      <c r="E23" s="45">
        <v>95.68</v>
      </c>
      <c r="F23" s="45">
        <v>126.89</v>
      </c>
      <c r="G23" s="45">
        <v>153.43</v>
      </c>
      <c r="H23" s="46">
        <v>178.6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3">
        <v>22.0</v>
      </c>
      <c r="B24" s="47">
        <v>53.23</v>
      </c>
      <c r="C24" s="47">
        <v>63.93</v>
      </c>
      <c r="D24" s="47">
        <v>76.79</v>
      </c>
      <c r="E24" s="47">
        <v>101.71</v>
      </c>
      <c r="F24" s="47">
        <v>131.32</v>
      </c>
      <c r="G24" s="47">
        <v>154.39</v>
      </c>
      <c r="H24" s="48">
        <v>185.27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3">
        <v>23.0</v>
      </c>
      <c r="B25" s="47">
        <v>55.27</v>
      </c>
      <c r="C25" s="47">
        <v>65.38</v>
      </c>
      <c r="D25" s="47">
        <v>81.9</v>
      </c>
      <c r="E25" s="47">
        <v>104.67</v>
      </c>
      <c r="F25" s="47">
        <v>136.72</v>
      </c>
      <c r="G25" s="47">
        <v>167.17</v>
      </c>
      <c r="H25" s="48">
        <v>186.96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3">
        <v>24.0</v>
      </c>
      <c r="B26" s="47">
        <v>55.52</v>
      </c>
      <c r="C26" s="47">
        <v>69.48</v>
      </c>
      <c r="D26" s="47">
        <v>83.97</v>
      </c>
      <c r="E26" s="47">
        <v>108.6</v>
      </c>
      <c r="F26" s="47">
        <v>141.22</v>
      </c>
      <c r="G26" s="47">
        <v>168.46</v>
      </c>
      <c r="H26" s="48">
        <v>187.82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6">
        <v>25.0</v>
      </c>
      <c r="B27" s="49">
        <v>55.79</v>
      </c>
      <c r="C27" s="49">
        <v>69.92</v>
      </c>
      <c r="D27" s="49">
        <v>86.75</v>
      </c>
      <c r="E27" s="49">
        <v>112.34</v>
      </c>
      <c r="F27" s="49">
        <v>145.21</v>
      </c>
      <c r="G27" s="49">
        <v>178.77</v>
      </c>
      <c r="H27" s="50">
        <v>204.47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9">
        <v>26.0</v>
      </c>
      <c r="B28" s="51">
        <v>60.99</v>
      </c>
      <c r="C28" s="51">
        <v>73.43</v>
      </c>
      <c r="D28" s="52">
        <v>89.59</v>
      </c>
      <c r="E28" s="52">
        <v>116.0</v>
      </c>
      <c r="F28" s="52">
        <v>149.72</v>
      </c>
      <c r="G28" s="52">
        <v>184.94</v>
      </c>
      <c r="H28" s="53">
        <v>210.7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>
        <v>27.0</v>
      </c>
      <c r="B29" s="54">
        <v>62.97</v>
      </c>
      <c r="C29" s="54">
        <v>75.57</v>
      </c>
      <c r="D29" s="55">
        <v>92.98</v>
      </c>
      <c r="E29" s="55">
        <v>122.24</v>
      </c>
      <c r="F29" s="55">
        <v>153.66</v>
      </c>
      <c r="G29" s="55">
        <v>191.43</v>
      </c>
      <c r="H29" s="56">
        <v>217.24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>
        <v>28.0</v>
      </c>
      <c r="B30" s="54">
        <v>64.87</v>
      </c>
      <c r="C30" s="54">
        <v>75.88</v>
      </c>
      <c r="D30" s="55">
        <v>95.31</v>
      </c>
      <c r="E30" s="55">
        <v>122.9</v>
      </c>
      <c r="F30" s="55">
        <v>167.53</v>
      </c>
      <c r="G30" s="55">
        <v>197.28</v>
      </c>
      <c r="H30" s="56">
        <v>224.23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>
        <v>29.0</v>
      </c>
      <c r="B31" s="54">
        <v>65.13</v>
      </c>
      <c r="C31" s="54">
        <v>77.73</v>
      </c>
      <c r="D31" s="55">
        <v>98.06</v>
      </c>
      <c r="E31" s="55">
        <v>126.09</v>
      </c>
      <c r="F31" s="55">
        <v>172.47</v>
      </c>
      <c r="G31" s="55">
        <v>203.15</v>
      </c>
      <c r="H31" s="56">
        <v>231.21</v>
      </c>
    </row>
    <row r="32" ht="12.75" customHeight="1">
      <c r="A32" s="23">
        <v>30.0</v>
      </c>
      <c r="B32" s="57">
        <v>65.38</v>
      </c>
      <c r="C32" s="57">
        <v>79.85</v>
      </c>
      <c r="D32" s="58">
        <v>98.34</v>
      </c>
      <c r="E32" s="58">
        <v>130.02</v>
      </c>
      <c r="F32" s="58">
        <v>177.96</v>
      </c>
      <c r="G32" s="58">
        <v>203.75</v>
      </c>
      <c r="H32" s="59">
        <v>237.83</v>
      </c>
    </row>
    <row r="33" ht="12.75" customHeight="1">
      <c r="A33" s="9">
        <v>31.0</v>
      </c>
      <c r="B33" s="45">
        <v>67.49</v>
      </c>
      <c r="C33" s="45">
        <v>84.41</v>
      </c>
      <c r="D33" s="45">
        <v>101.2</v>
      </c>
      <c r="E33" s="45">
        <v>135.92</v>
      </c>
      <c r="F33" s="45">
        <v>187.03</v>
      </c>
      <c r="G33" s="45">
        <v>209.09</v>
      </c>
      <c r="H33" s="46">
        <v>244.29</v>
      </c>
    </row>
    <row r="34" ht="12.75" customHeight="1">
      <c r="A34" s="33">
        <v>32.0</v>
      </c>
      <c r="B34" s="47">
        <v>67.77</v>
      </c>
      <c r="C34" s="47">
        <v>84.96</v>
      </c>
      <c r="D34" s="47">
        <v>104.08</v>
      </c>
      <c r="E34" s="47">
        <v>136.51</v>
      </c>
      <c r="F34" s="47">
        <v>187.96</v>
      </c>
      <c r="G34" s="47">
        <v>210.59</v>
      </c>
      <c r="H34" s="48">
        <v>245.14</v>
      </c>
    </row>
    <row r="35" ht="12.75" customHeight="1">
      <c r="A35" s="33">
        <v>33.0</v>
      </c>
      <c r="B35" s="47">
        <v>71.61</v>
      </c>
      <c r="C35" s="47">
        <v>86.74</v>
      </c>
      <c r="D35" s="47">
        <v>108.33</v>
      </c>
      <c r="E35" s="47">
        <v>140.26</v>
      </c>
      <c r="F35" s="47">
        <v>193.43</v>
      </c>
      <c r="G35" s="47">
        <v>216.04</v>
      </c>
      <c r="H35" s="48">
        <v>246.09</v>
      </c>
    </row>
    <row r="36" ht="12.75" customHeight="1">
      <c r="A36" s="33">
        <v>34.0</v>
      </c>
      <c r="B36" s="47">
        <v>73.02</v>
      </c>
      <c r="C36" s="47">
        <v>86.99</v>
      </c>
      <c r="D36" s="47">
        <v>108.76</v>
      </c>
      <c r="E36" s="47">
        <v>143.66</v>
      </c>
      <c r="F36" s="47">
        <v>196.58</v>
      </c>
      <c r="G36" s="47">
        <v>221.12</v>
      </c>
      <c r="H36" s="48">
        <v>264.77</v>
      </c>
    </row>
    <row r="37" ht="12.75" customHeight="1">
      <c r="A37" s="16">
        <v>35.0</v>
      </c>
      <c r="B37" s="49">
        <v>74.44</v>
      </c>
      <c r="C37" s="49">
        <v>90.85</v>
      </c>
      <c r="D37" s="49">
        <v>111.91</v>
      </c>
      <c r="E37" s="49">
        <v>147.27</v>
      </c>
      <c r="F37" s="49">
        <v>196.92</v>
      </c>
      <c r="G37" s="49">
        <v>226.7</v>
      </c>
      <c r="H37" s="50">
        <v>266.65</v>
      </c>
    </row>
    <row r="38" ht="12.75" customHeight="1">
      <c r="A38" s="5">
        <v>36.0</v>
      </c>
      <c r="B38" s="60">
        <v>76.56</v>
      </c>
      <c r="C38" s="60">
        <v>92.86</v>
      </c>
      <c r="D38" s="60">
        <v>116.1</v>
      </c>
      <c r="E38" s="60">
        <v>147.79</v>
      </c>
      <c r="F38" s="60">
        <v>197.69</v>
      </c>
      <c r="G38" s="60">
        <v>231.35</v>
      </c>
      <c r="H38" s="61">
        <v>278.3</v>
      </c>
      <c r="L38" s="4"/>
    </row>
    <row r="39" ht="12.75" customHeight="1">
      <c r="A39" s="9">
        <v>37.0</v>
      </c>
      <c r="B39" s="45">
        <v>76.97</v>
      </c>
      <c r="C39" s="45">
        <v>93.53</v>
      </c>
      <c r="D39" s="45">
        <v>116.53</v>
      </c>
      <c r="E39" s="45">
        <v>154.07</v>
      </c>
      <c r="F39" s="45">
        <v>212.53</v>
      </c>
      <c r="G39" s="45">
        <v>236.0</v>
      </c>
      <c r="H39" s="46">
        <v>279.47</v>
      </c>
    </row>
    <row r="40" ht="12.75" customHeight="1">
      <c r="A40" s="13">
        <v>38.0</v>
      </c>
      <c r="B40" s="47">
        <v>77.57</v>
      </c>
      <c r="C40" s="47">
        <v>93.97</v>
      </c>
      <c r="D40" s="47">
        <v>119.88</v>
      </c>
      <c r="E40" s="47">
        <v>157.72</v>
      </c>
      <c r="F40" s="47">
        <v>217.01</v>
      </c>
      <c r="G40" s="47">
        <v>240.73</v>
      </c>
      <c r="H40" s="48">
        <v>280.01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13">
        <v>39.0</v>
      </c>
      <c r="B41" s="47">
        <v>77.82</v>
      </c>
      <c r="C41" s="47">
        <v>94.38</v>
      </c>
      <c r="D41" s="47">
        <v>122.08</v>
      </c>
      <c r="E41" s="47">
        <v>161.18</v>
      </c>
      <c r="F41" s="47">
        <v>222.14</v>
      </c>
      <c r="G41" s="47">
        <v>253.34</v>
      </c>
      <c r="H41" s="48">
        <v>290.57</v>
      </c>
    </row>
    <row r="42" ht="12.75" customHeight="1">
      <c r="A42" s="16">
        <v>40.0</v>
      </c>
      <c r="B42" s="49">
        <v>78.28</v>
      </c>
      <c r="C42" s="49">
        <v>94.81</v>
      </c>
      <c r="D42" s="49">
        <v>122.33</v>
      </c>
      <c r="E42" s="49">
        <v>162.64</v>
      </c>
      <c r="F42" s="49">
        <v>222.67</v>
      </c>
      <c r="G42" s="49">
        <v>254.62</v>
      </c>
      <c r="H42" s="50">
        <v>301.07</v>
      </c>
    </row>
    <row r="43" ht="12.75" customHeight="1">
      <c r="A43" s="19">
        <v>41.0</v>
      </c>
      <c r="B43" s="51">
        <v>87.3</v>
      </c>
      <c r="C43" s="51">
        <v>103.22</v>
      </c>
      <c r="D43" s="52">
        <v>126.72</v>
      </c>
      <c r="E43" s="52">
        <v>168.44</v>
      </c>
      <c r="F43" s="52">
        <v>231.04</v>
      </c>
      <c r="G43" s="52">
        <v>254.91</v>
      </c>
      <c r="H43" s="53">
        <v>307.5</v>
      </c>
    </row>
    <row r="44" ht="12.75" customHeight="1">
      <c r="A44" s="23">
        <v>42.0</v>
      </c>
      <c r="B44" s="54">
        <v>88.91</v>
      </c>
      <c r="C44" s="54">
        <v>105.74</v>
      </c>
      <c r="D44" s="55">
        <v>129.6</v>
      </c>
      <c r="E44" s="55">
        <v>172.77</v>
      </c>
      <c r="F44" s="55">
        <v>236.0</v>
      </c>
      <c r="G44" s="55">
        <v>260.27</v>
      </c>
      <c r="H44" s="56">
        <v>314.15</v>
      </c>
    </row>
    <row r="45" ht="12.75" customHeight="1">
      <c r="A45" s="19">
        <v>43.0</v>
      </c>
      <c r="B45" s="54">
        <v>90.64</v>
      </c>
      <c r="C45" s="54">
        <v>108.79</v>
      </c>
      <c r="D45" s="55">
        <v>132.02</v>
      </c>
      <c r="E45" s="55">
        <v>175.97</v>
      </c>
      <c r="F45" s="55">
        <v>240.75</v>
      </c>
      <c r="G45" s="55">
        <v>266.07</v>
      </c>
      <c r="H45" s="56">
        <v>321.45</v>
      </c>
    </row>
    <row r="46" ht="12.75" customHeight="1">
      <c r="A46" s="19">
        <v>44.0</v>
      </c>
      <c r="B46" s="54">
        <v>91.31</v>
      </c>
      <c r="C46" s="54">
        <v>109.1</v>
      </c>
      <c r="D46" s="55">
        <v>134.96</v>
      </c>
      <c r="E46" s="55">
        <v>179.6</v>
      </c>
      <c r="F46" s="55">
        <v>245.11</v>
      </c>
      <c r="G46" s="55">
        <v>271.74</v>
      </c>
      <c r="H46" s="56">
        <v>322.19</v>
      </c>
    </row>
    <row r="47" ht="12.75" customHeight="1">
      <c r="A47" s="27">
        <v>45.0</v>
      </c>
      <c r="B47" s="57">
        <v>91.57</v>
      </c>
      <c r="C47" s="57">
        <v>109.35</v>
      </c>
      <c r="D47" s="58">
        <v>135.39</v>
      </c>
      <c r="E47" s="58">
        <v>183.53</v>
      </c>
      <c r="F47" s="58">
        <v>245.55</v>
      </c>
      <c r="G47" s="58">
        <v>277.41</v>
      </c>
      <c r="H47" s="59">
        <v>323.19</v>
      </c>
    </row>
    <row r="48" ht="12.75" customHeight="1">
      <c r="A48" s="13">
        <v>46.0</v>
      </c>
      <c r="B48" s="45">
        <v>91.82</v>
      </c>
      <c r="C48" s="45">
        <v>109.62</v>
      </c>
      <c r="D48" s="45">
        <v>143.47</v>
      </c>
      <c r="E48" s="45">
        <v>190.09</v>
      </c>
      <c r="F48" s="45">
        <v>252.13</v>
      </c>
      <c r="G48" s="45">
        <v>287.64</v>
      </c>
      <c r="H48" s="46">
        <v>343.01</v>
      </c>
    </row>
    <row r="49" ht="12.75" customHeight="1">
      <c r="A49" s="13">
        <v>47.0</v>
      </c>
      <c r="B49" s="47">
        <v>92.08</v>
      </c>
      <c r="C49" s="47">
        <v>109.88</v>
      </c>
      <c r="D49" s="47">
        <v>144.29</v>
      </c>
      <c r="E49" s="47">
        <v>190.76</v>
      </c>
      <c r="F49" s="47">
        <v>252.79</v>
      </c>
      <c r="G49" s="47">
        <v>288.68</v>
      </c>
      <c r="H49" s="48">
        <v>345.01</v>
      </c>
    </row>
    <row r="50" ht="12.75" customHeight="1">
      <c r="A50" s="13">
        <v>48.0</v>
      </c>
      <c r="B50" s="47">
        <v>92.34</v>
      </c>
      <c r="C50" s="47">
        <v>110.13</v>
      </c>
      <c r="D50" s="47">
        <v>144.55</v>
      </c>
      <c r="E50" s="47">
        <v>197.08</v>
      </c>
      <c r="F50" s="47">
        <v>253.16</v>
      </c>
      <c r="G50" s="47">
        <v>308.67</v>
      </c>
      <c r="H50" s="48">
        <v>354.77</v>
      </c>
    </row>
    <row r="51" ht="12.75" customHeight="1">
      <c r="A51" s="13">
        <v>49.0</v>
      </c>
      <c r="B51" s="47">
        <v>92.59</v>
      </c>
      <c r="C51" s="47">
        <v>110.36</v>
      </c>
      <c r="D51" s="47">
        <v>144.78</v>
      </c>
      <c r="E51" s="47">
        <v>197.72</v>
      </c>
      <c r="F51" s="47">
        <v>253.39</v>
      </c>
      <c r="G51" s="47">
        <v>311.73</v>
      </c>
      <c r="H51" s="48">
        <v>355.76</v>
      </c>
    </row>
    <row r="52" ht="12.75" customHeight="1">
      <c r="A52" s="13">
        <v>50.0</v>
      </c>
      <c r="B52" s="49">
        <v>93.02</v>
      </c>
      <c r="C52" s="49">
        <v>110.88</v>
      </c>
      <c r="D52" s="49">
        <v>145.27</v>
      </c>
      <c r="E52" s="49">
        <v>198.09</v>
      </c>
      <c r="F52" s="49">
        <v>253.88</v>
      </c>
      <c r="G52" s="49">
        <v>312.33</v>
      </c>
      <c r="H52" s="50">
        <v>357.27</v>
      </c>
    </row>
    <row r="53" ht="12.75" customHeight="1">
      <c r="A53" s="31">
        <v>51.0</v>
      </c>
      <c r="B53" s="51">
        <v>100.44</v>
      </c>
      <c r="C53" s="51">
        <v>121.15</v>
      </c>
      <c r="D53" s="52">
        <v>155.03</v>
      </c>
      <c r="E53" s="52">
        <v>205.48</v>
      </c>
      <c r="F53" s="52">
        <v>263.67</v>
      </c>
      <c r="G53" s="52">
        <v>316.03</v>
      </c>
      <c r="H53" s="53">
        <v>387.46</v>
      </c>
    </row>
    <row r="54" ht="12.75" customHeight="1">
      <c r="A54" s="19">
        <v>52.0</v>
      </c>
      <c r="B54" s="54">
        <v>102.74</v>
      </c>
      <c r="C54" s="54">
        <v>122.84</v>
      </c>
      <c r="D54" s="55">
        <v>156.01</v>
      </c>
      <c r="E54" s="55">
        <v>206.22</v>
      </c>
      <c r="F54" s="55">
        <v>294.99</v>
      </c>
      <c r="G54" s="55">
        <v>316.6</v>
      </c>
      <c r="H54" s="56">
        <v>390.5</v>
      </c>
    </row>
    <row r="55" ht="12.75" customHeight="1">
      <c r="A55" s="19">
        <v>53.0</v>
      </c>
      <c r="B55" s="54">
        <v>106.7</v>
      </c>
      <c r="C55" s="54">
        <v>130.77</v>
      </c>
      <c r="D55" s="55">
        <v>158.3</v>
      </c>
      <c r="E55" s="55">
        <v>217.68</v>
      </c>
      <c r="F55" s="55">
        <v>298.16</v>
      </c>
      <c r="G55" s="55">
        <v>317.26</v>
      </c>
      <c r="H55" s="56">
        <v>400.43</v>
      </c>
    </row>
    <row r="56" ht="12.75" customHeight="1">
      <c r="A56" s="19">
        <v>54.0</v>
      </c>
      <c r="B56" s="54">
        <v>107.29</v>
      </c>
      <c r="C56" s="54">
        <v>131.59</v>
      </c>
      <c r="D56" s="55">
        <v>158.88</v>
      </c>
      <c r="E56" s="55">
        <v>221.73</v>
      </c>
      <c r="F56" s="55">
        <v>298.82</v>
      </c>
      <c r="G56" s="55">
        <v>330.34</v>
      </c>
      <c r="H56" s="56">
        <v>401.43</v>
      </c>
    </row>
    <row r="57" ht="12.75" customHeight="1">
      <c r="A57" s="19">
        <v>55.0</v>
      </c>
      <c r="B57" s="57">
        <v>107.81</v>
      </c>
      <c r="C57" s="57">
        <v>132.1</v>
      </c>
      <c r="D57" s="58">
        <v>163.88</v>
      </c>
      <c r="E57" s="58">
        <v>225.0</v>
      </c>
      <c r="F57" s="58">
        <v>299.58</v>
      </c>
      <c r="G57" s="58">
        <v>331.66</v>
      </c>
      <c r="H57" s="59">
        <v>401.99</v>
      </c>
    </row>
    <row r="58" ht="12.75" customHeight="1">
      <c r="A58" s="32">
        <v>56.0</v>
      </c>
      <c r="B58" s="45">
        <v>108.33</v>
      </c>
      <c r="C58" s="45">
        <v>132.62</v>
      </c>
      <c r="D58" s="45">
        <v>164.46</v>
      </c>
      <c r="E58" s="45">
        <v>229.08</v>
      </c>
      <c r="F58" s="45">
        <v>314.52</v>
      </c>
      <c r="G58" s="45">
        <v>333.22</v>
      </c>
      <c r="H58" s="46">
        <v>402.57</v>
      </c>
    </row>
    <row r="59" ht="12.75" customHeight="1">
      <c r="A59" s="13">
        <v>57.0</v>
      </c>
      <c r="B59" s="47">
        <v>108.84</v>
      </c>
      <c r="C59" s="47">
        <v>133.13</v>
      </c>
      <c r="D59" s="47">
        <v>168.57</v>
      </c>
      <c r="E59" s="47">
        <v>232.6</v>
      </c>
      <c r="F59" s="47">
        <v>316.02</v>
      </c>
      <c r="G59" s="47">
        <v>364.24</v>
      </c>
      <c r="H59" s="48">
        <v>410.62</v>
      </c>
    </row>
    <row r="60" ht="12.75" customHeight="1">
      <c r="A60" s="13">
        <v>58.0</v>
      </c>
      <c r="B60" s="47">
        <v>109.37</v>
      </c>
      <c r="C60" s="47">
        <v>133.65</v>
      </c>
      <c r="D60" s="47">
        <v>169.16</v>
      </c>
      <c r="E60" s="47">
        <v>236.25</v>
      </c>
      <c r="F60" s="47">
        <v>325.97</v>
      </c>
      <c r="G60" s="47">
        <v>367.36</v>
      </c>
      <c r="H60" s="48">
        <v>417.33</v>
      </c>
    </row>
    <row r="61" ht="12.75" customHeight="1">
      <c r="A61" s="13">
        <v>59.0</v>
      </c>
      <c r="B61" s="47">
        <v>109.89</v>
      </c>
      <c r="C61" s="47">
        <v>134.25</v>
      </c>
      <c r="D61" s="47">
        <v>169.72</v>
      </c>
      <c r="E61" s="47">
        <v>239.22</v>
      </c>
      <c r="F61" s="47">
        <v>326.98</v>
      </c>
      <c r="G61" s="47">
        <v>373.12</v>
      </c>
      <c r="H61" s="48">
        <v>425.01</v>
      </c>
    </row>
    <row r="62" ht="12.75" customHeight="1">
      <c r="A62" s="16">
        <v>60.0</v>
      </c>
      <c r="B62" s="49">
        <v>111.87</v>
      </c>
      <c r="C62" s="49">
        <v>138.59</v>
      </c>
      <c r="D62" s="49">
        <v>170.28</v>
      </c>
      <c r="E62" s="49">
        <v>239.84</v>
      </c>
      <c r="F62" s="49">
        <v>327.86</v>
      </c>
      <c r="G62" s="49">
        <v>373.76</v>
      </c>
      <c r="H62" s="50">
        <v>432.71</v>
      </c>
    </row>
    <row r="63" ht="12.75" customHeight="1">
      <c r="A63" s="19">
        <v>61.0</v>
      </c>
      <c r="B63" s="51">
        <v>114.75</v>
      </c>
      <c r="C63" s="51">
        <v>142.47</v>
      </c>
      <c r="D63" s="52">
        <v>179.31</v>
      </c>
      <c r="E63" s="52">
        <v>247.97</v>
      </c>
      <c r="F63" s="52">
        <v>328.69</v>
      </c>
      <c r="G63" s="52">
        <v>385.9</v>
      </c>
      <c r="H63" s="53">
        <v>439.64</v>
      </c>
    </row>
    <row r="64" ht="12.75" customHeight="1">
      <c r="A64" s="23">
        <v>62.0</v>
      </c>
      <c r="B64" s="54">
        <v>116.61</v>
      </c>
      <c r="C64" s="54">
        <v>143.02</v>
      </c>
      <c r="D64" s="55">
        <v>182.16</v>
      </c>
      <c r="E64" s="55">
        <v>251.38</v>
      </c>
      <c r="F64" s="55">
        <v>345.07</v>
      </c>
      <c r="G64" s="55">
        <v>392.54</v>
      </c>
      <c r="H64" s="56">
        <v>440.36</v>
      </c>
    </row>
    <row r="65" ht="12.75" customHeight="1">
      <c r="A65" s="23">
        <v>63.0</v>
      </c>
      <c r="B65" s="54">
        <v>117.91</v>
      </c>
      <c r="C65" s="54">
        <v>143.54</v>
      </c>
      <c r="D65" s="55">
        <v>182.75</v>
      </c>
      <c r="E65" s="55">
        <v>255.32</v>
      </c>
      <c r="F65" s="55">
        <v>355.86</v>
      </c>
      <c r="G65" s="55">
        <v>398.84</v>
      </c>
      <c r="H65" s="56">
        <v>454.18</v>
      </c>
    </row>
    <row r="66" ht="12.75" customHeight="1">
      <c r="A66" s="23">
        <v>64.0</v>
      </c>
      <c r="B66" s="54">
        <v>120.77</v>
      </c>
      <c r="C66" s="54">
        <v>146.34</v>
      </c>
      <c r="D66" s="55">
        <v>183.3</v>
      </c>
      <c r="E66" s="55">
        <v>258.73</v>
      </c>
      <c r="F66" s="55">
        <v>361.44</v>
      </c>
      <c r="G66" s="55">
        <v>405.14</v>
      </c>
      <c r="H66" s="56">
        <v>461.42</v>
      </c>
    </row>
    <row r="67" ht="12.75" customHeight="1">
      <c r="A67" s="23">
        <v>65.0</v>
      </c>
      <c r="B67" s="57">
        <v>121.29</v>
      </c>
      <c r="C67" s="57">
        <v>150.22</v>
      </c>
      <c r="D67" s="58">
        <v>187.86</v>
      </c>
      <c r="E67" s="58">
        <v>261.44</v>
      </c>
      <c r="F67" s="58">
        <v>362.06</v>
      </c>
      <c r="G67" s="58">
        <v>411.41</v>
      </c>
      <c r="H67" s="59">
        <v>472.4</v>
      </c>
    </row>
    <row r="68" ht="12.75" customHeight="1">
      <c r="A68" s="9">
        <v>66.0</v>
      </c>
      <c r="B68" s="45">
        <v>121.82</v>
      </c>
      <c r="C68" s="45">
        <v>150.75</v>
      </c>
      <c r="D68" s="45">
        <v>189.96</v>
      </c>
      <c r="E68" s="45">
        <v>262.06</v>
      </c>
      <c r="F68" s="45">
        <v>364.56</v>
      </c>
      <c r="G68" s="45">
        <v>417.01</v>
      </c>
      <c r="H68" s="46">
        <v>482.42</v>
      </c>
    </row>
    <row r="69" ht="12.75" customHeight="1">
      <c r="A69" s="33">
        <v>67.0</v>
      </c>
      <c r="B69" s="47">
        <v>122.33</v>
      </c>
      <c r="C69" s="47">
        <v>153.77</v>
      </c>
      <c r="D69" s="47">
        <v>190.44</v>
      </c>
      <c r="E69" s="47">
        <v>262.69</v>
      </c>
      <c r="F69" s="47">
        <v>365.19</v>
      </c>
      <c r="G69" s="47">
        <v>417.67</v>
      </c>
      <c r="H69" s="48">
        <v>483.43</v>
      </c>
    </row>
    <row r="70" ht="12.75" customHeight="1">
      <c r="A70" s="33">
        <v>68.0</v>
      </c>
      <c r="B70" s="47">
        <v>122.84</v>
      </c>
      <c r="C70" s="47">
        <v>155.01</v>
      </c>
      <c r="D70" s="47">
        <v>195.74</v>
      </c>
      <c r="E70" s="47">
        <v>272.74</v>
      </c>
      <c r="F70" s="47">
        <v>365.82</v>
      </c>
      <c r="G70" s="47">
        <v>418.28</v>
      </c>
      <c r="H70" s="48">
        <v>503.48</v>
      </c>
    </row>
    <row r="71" ht="12.75" customHeight="1">
      <c r="A71" s="33">
        <v>69.0</v>
      </c>
      <c r="B71" s="47">
        <v>123.37</v>
      </c>
      <c r="C71" s="47">
        <v>158.17</v>
      </c>
      <c r="D71" s="47">
        <v>196.27</v>
      </c>
      <c r="E71" s="47">
        <v>273.76</v>
      </c>
      <c r="F71" s="47">
        <v>366.46</v>
      </c>
      <c r="G71" s="47">
        <v>419.2</v>
      </c>
      <c r="H71" s="48">
        <v>505.49</v>
      </c>
    </row>
    <row r="72" ht="12.75" customHeight="1">
      <c r="A72" s="16">
        <v>70.0</v>
      </c>
      <c r="B72" s="49">
        <v>126.4</v>
      </c>
      <c r="C72" s="49">
        <v>162.61</v>
      </c>
      <c r="D72" s="49">
        <v>200.92</v>
      </c>
      <c r="E72" s="49">
        <v>280.68</v>
      </c>
      <c r="F72" s="49">
        <v>367.08</v>
      </c>
      <c r="G72" s="49">
        <v>437.11</v>
      </c>
      <c r="H72" s="50">
        <v>506.17</v>
      </c>
    </row>
    <row r="73" ht="12.75" customHeight="1">
      <c r="A73" s="35">
        <v>71.0</v>
      </c>
      <c r="B73" s="51">
        <v>126.98</v>
      </c>
      <c r="C73" s="51">
        <v>163.18</v>
      </c>
      <c r="D73" s="52">
        <v>201.5</v>
      </c>
      <c r="E73" s="52">
        <v>283.06</v>
      </c>
      <c r="F73" s="52">
        <v>367.71</v>
      </c>
      <c r="G73" s="52">
        <v>447.95</v>
      </c>
      <c r="H73" s="53">
        <v>519.34</v>
      </c>
    </row>
    <row r="74" ht="12.75" customHeight="1">
      <c r="A74" s="23">
        <v>72.0</v>
      </c>
      <c r="B74" s="54">
        <v>129.97</v>
      </c>
      <c r="C74" s="54">
        <v>163.75</v>
      </c>
      <c r="D74" s="55">
        <v>203.11</v>
      </c>
      <c r="E74" s="55">
        <v>286.99</v>
      </c>
      <c r="F74" s="55">
        <v>368.34</v>
      </c>
      <c r="G74" s="55">
        <v>452.81</v>
      </c>
      <c r="H74" s="56">
        <v>520.66</v>
      </c>
    </row>
    <row r="75" ht="12.75" customHeight="1">
      <c r="A75" s="23">
        <v>73.0</v>
      </c>
      <c r="B75" s="54">
        <v>130.48</v>
      </c>
      <c r="C75" s="54">
        <v>164.31</v>
      </c>
      <c r="D75" s="55">
        <v>203.7</v>
      </c>
      <c r="E75" s="55">
        <v>288.22</v>
      </c>
      <c r="F75" s="55">
        <v>368.97</v>
      </c>
      <c r="G75" s="55">
        <v>453.42</v>
      </c>
      <c r="H75" s="56">
        <v>521.23</v>
      </c>
    </row>
    <row r="76" ht="12.75" customHeight="1">
      <c r="A76" s="23">
        <v>74.0</v>
      </c>
      <c r="B76" s="54">
        <v>130.99</v>
      </c>
      <c r="C76" s="54">
        <v>164.88</v>
      </c>
      <c r="D76" s="55">
        <v>204.27</v>
      </c>
      <c r="E76" s="55">
        <v>288.85</v>
      </c>
      <c r="F76" s="55">
        <v>369.61</v>
      </c>
      <c r="G76" s="55">
        <v>454.06</v>
      </c>
      <c r="H76" s="56">
        <v>521.8</v>
      </c>
    </row>
    <row r="77" ht="12.75" customHeight="1">
      <c r="A77" s="27">
        <v>75.0</v>
      </c>
      <c r="B77" s="57">
        <v>132.15</v>
      </c>
      <c r="C77" s="57">
        <v>166.03</v>
      </c>
      <c r="D77" s="58">
        <v>205.41</v>
      </c>
      <c r="E77" s="58">
        <v>290.13</v>
      </c>
      <c r="F77" s="58">
        <v>370.86</v>
      </c>
      <c r="G77" s="58">
        <v>455.33</v>
      </c>
      <c r="H77" s="59">
        <v>523.22</v>
      </c>
    </row>
    <row r="78" ht="12.75" customHeight="1">
      <c r="A78" s="5">
        <v>76.0</v>
      </c>
      <c r="B78" s="60">
        <v>133.79</v>
      </c>
      <c r="C78" s="60">
        <v>167.15</v>
      </c>
      <c r="D78" s="60">
        <v>206.54</v>
      </c>
      <c r="E78" s="60">
        <v>291.37</v>
      </c>
      <c r="F78" s="60">
        <v>372.13</v>
      </c>
      <c r="G78" s="60">
        <v>466.9</v>
      </c>
      <c r="H78" s="61">
        <v>551.25</v>
      </c>
      <c r="L78" s="4"/>
    </row>
    <row r="79" ht="12.75" customHeight="1">
      <c r="A79" s="9">
        <v>77.0</v>
      </c>
      <c r="B79" s="45">
        <v>134.83</v>
      </c>
      <c r="C79" s="45">
        <v>168.31</v>
      </c>
      <c r="D79" s="45">
        <v>207.68</v>
      </c>
      <c r="E79" s="45">
        <v>292.64</v>
      </c>
      <c r="F79" s="45">
        <v>373.36</v>
      </c>
      <c r="G79" s="45">
        <v>468.16</v>
      </c>
      <c r="H79" s="46">
        <v>554.06</v>
      </c>
    </row>
    <row r="80" ht="12.75" customHeight="1">
      <c r="A80" s="13">
        <v>78.0</v>
      </c>
      <c r="B80" s="47">
        <v>135.86</v>
      </c>
      <c r="C80" s="47">
        <v>169.64</v>
      </c>
      <c r="D80" s="47">
        <v>208.83</v>
      </c>
      <c r="E80" s="47">
        <v>293.89</v>
      </c>
      <c r="F80" s="47">
        <v>374.65</v>
      </c>
      <c r="G80" s="47">
        <v>469.46</v>
      </c>
      <c r="H80" s="48">
        <v>556.64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13">
        <v>79.0</v>
      </c>
      <c r="B81" s="47">
        <v>136.91</v>
      </c>
      <c r="C81" s="47">
        <v>170.68</v>
      </c>
      <c r="D81" s="47">
        <v>209.96</v>
      </c>
      <c r="E81" s="47">
        <v>295.17</v>
      </c>
      <c r="F81" s="47">
        <v>375.89</v>
      </c>
      <c r="G81" s="47">
        <v>470.71</v>
      </c>
      <c r="H81" s="48">
        <v>561.84</v>
      </c>
    </row>
    <row r="82" ht="12.75" customHeight="1">
      <c r="A82" s="16">
        <v>80.0</v>
      </c>
      <c r="B82" s="49">
        <v>137.95</v>
      </c>
      <c r="C82" s="49">
        <v>171.71</v>
      </c>
      <c r="D82" s="49">
        <v>211.21</v>
      </c>
      <c r="E82" s="49">
        <v>296.41</v>
      </c>
      <c r="F82" s="49">
        <v>377.17</v>
      </c>
      <c r="G82" s="49">
        <v>471.98</v>
      </c>
      <c r="H82" s="50">
        <v>563.1</v>
      </c>
    </row>
    <row r="83" ht="12.75" customHeight="1">
      <c r="A83" s="19">
        <v>81.0</v>
      </c>
      <c r="B83" s="51">
        <v>138.98</v>
      </c>
      <c r="C83" s="51">
        <v>174.57</v>
      </c>
      <c r="D83" s="52">
        <v>212.24</v>
      </c>
      <c r="E83" s="52">
        <v>297.8</v>
      </c>
      <c r="F83" s="52">
        <v>381.67</v>
      </c>
      <c r="G83" s="52">
        <v>474.08</v>
      </c>
      <c r="H83" s="53">
        <v>564.38</v>
      </c>
    </row>
    <row r="84" ht="12.75" customHeight="1">
      <c r="A84" s="23">
        <v>82.0</v>
      </c>
      <c r="B84" s="54">
        <v>143.93</v>
      </c>
      <c r="C84" s="54">
        <v>181.88</v>
      </c>
      <c r="D84" s="55">
        <v>220.59</v>
      </c>
      <c r="E84" s="55">
        <v>320.12</v>
      </c>
      <c r="F84" s="55">
        <v>409.41</v>
      </c>
      <c r="G84" s="55">
        <v>514.35</v>
      </c>
      <c r="H84" s="56">
        <v>567.12</v>
      </c>
    </row>
    <row r="85" ht="12.75" customHeight="1">
      <c r="A85" s="19">
        <v>83.0</v>
      </c>
      <c r="B85" s="54">
        <v>144.97</v>
      </c>
      <c r="C85" s="54">
        <v>183.02</v>
      </c>
      <c r="D85" s="55">
        <v>221.68</v>
      </c>
      <c r="E85" s="55">
        <v>323.57</v>
      </c>
      <c r="F85" s="55">
        <v>433.21</v>
      </c>
      <c r="G85" s="55">
        <v>518.39</v>
      </c>
      <c r="H85" s="56">
        <v>581.68</v>
      </c>
    </row>
    <row r="86" ht="13.5" customHeight="1">
      <c r="A86" s="19">
        <v>84.0</v>
      </c>
      <c r="B86" s="54">
        <v>146.01</v>
      </c>
      <c r="C86" s="54">
        <v>188.94</v>
      </c>
      <c r="D86" s="55">
        <v>224.98</v>
      </c>
      <c r="E86" s="55">
        <v>324.85</v>
      </c>
      <c r="F86" s="55">
        <v>435.61</v>
      </c>
      <c r="G86" s="55">
        <v>519.65</v>
      </c>
      <c r="H86" s="56">
        <v>583.14</v>
      </c>
    </row>
    <row r="87" ht="13.5" customHeight="1">
      <c r="A87" s="27">
        <v>85.0</v>
      </c>
      <c r="B87" s="57">
        <v>147.03</v>
      </c>
      <c r="C87" s="57">
        <v>193.24</v>
      </c>
      <c r="D87" s="58">
        <v>228.95</v>
      </c>
      <c r="E87" s="58">
        <v>336.61</v>
      </c>
      <c r="F87" s="58">
        <v>436.86</v>
      </c>
      <c r="G87" s="58">
        <v>520.93</v>
      </c>
      <c r="H87" s="59">
        <v>604.88</v>
      </c>
    </row>
    <row r="88" ht="13.5" customHeight="1">
      <c r="A88" s="13">
        <v>86.0</v>
      </c>
      <c r="B88" s="45">
        <v>148.07</v>
      </c>
      <c r="C88" s="45">
        <v>194.93</v>
      </c>
      <c r="D88" s="45">
        <v>229.75</v>
      </c>
      <c r="E88" s="45">
        <v>337.88</v>
      </c>
      <c r="F88" s="45">
        <v>438.13</v>
      </c>
      <c r="G88" s="45">
        <v>522.19</v>
      </c>
      <c r="H88" s="46">
        <v>607.06</v>
      </c>
    </row>
    <row r="89" ht="13.5" customHeight="1">
      <c r="A89" s="13">
        <v>87.0</v>
      </c>
      <c r="B89" s="47">
        <v>149.11</v>
      </c>
      <c r="C89" s="47">
        <v>200.26</v>
      </c>
      <c r="D89" s="47">
        <v>230.55</v>
      </c>
      <c r="E89" s="47">
        <v>339.14</v>
      </c>
      <c r="F89" s="47">
        <v>439.39</v>
      </c>
      <c r="G89" s="47">
        <v>526.5</v>
      </c>
      <c r="H89" s="48">
        <v>608.69</v>
      </c>
    </row>
    <row r="90" ht="13.5" customHeight="1">
      <c r="A90" s="13">
        <v>88.0</v>
      </c>
      <c r="B90" s="47">
        <v>150.14</v>
      </c>
      <c r="C90" s="47">
        <v>201.06</v>
      </c>
      <c r="D90" s="47">
        <v>231.35</v>
      </c>
      <c r="E90" s="47">
        <v>339.94</v>
      </c>
      <c r="F90" s="47">
        <v>440.66</v>
      </c>
      <c r="G90" s="47">
        <v>527.65</v>
      </c>
      <c r="H90" s="48">
        <v>609.84</v>
      </c>
    </row>
    <row r="91" ht="13.5" customHeight="1">
      <c r="A91" s="13">
        <v>89.0</v>
      </c>
      <c r="B91" s="47">
        <v>151.18</v>
      </c>
      <c r="C91" s="47">
        <v>201.86</v>
      </c>
      <c r="D91" s="47">
        <v>232.15</v>
      </c>
      <c r="E91" s="47">
        <v>340.74</v>
      </c>
      <c r="F91" s="47">
        <v>442.02</v>
      </c>
      <c r="G91" s="47">
        <v>528.93</v>
      </c>
      <c r="H91" s="48">
        <v>610.98</v>
      </c>
    </row>
    <row r="92" ht="13.5" customHeight="1">
      <c r="A92" s="13">
        <v>90.0</v>
      </c>
      <c r="B92" s="49">
        <v>151.98</v>
      </c>
      <c r="C92" s="49">
        <v>202.66</v>
      </c>
      <c r="D92" s="49">
        <v>232.95</v>
      </c>
      <c r="E92" s="49">
        <v>341.54</v>
      </c>
      <c r="F92" s="49">
        <v>443.17</v>
      </c>
      <c r="G92" s="49">
        <v>530.33</v>
      </c>
      <c r="H92" s="50">
        <v>612.13</v>
      </c>
    </row>
    <row r="93" ht="13.5" customHeight="1">
      <c r="A93" s="31">
        <v>91.0</v>
      </c>
      <c r="B93" s="51">
        <v>157.94</v>
      </c>
      <c r="C93" s="51">
        <v>204.53</v>
      </c>
      <c r="D93" s="52">
        <v>242.99</v>
      </c>
      <c r="E93" s="52">
        <v>344.16</v>
      </c>
      <c r="F93" s="52">
        <v>444.42</v>
      </c>
      <c r="G93" s="52">
        <v>531.48</v>
      </c>
      <c r="H93" s="53">
        <v>613.38</v>
      </c>
    </row>
    <row r="94" ht="13.5" customHeight="1">
      <c r="A94" s="19">
        <v>92.0</v>
      </c>
      <c r="B94" s="54">
        <v>158.97</v>
      </c>
      <c r="C94" s="54">
        <v>205.6</v>
      </c>
      <c r="D94" s="55">
        <v>244.04</v>
      </c>
      <c r="E94" s="55">
        <v>345.44</v>
      </c>
      <c r="F94" s="55">
        <v>445.69</v>
      </c>
      <c r="G94" s="55">
        <v>532.73</v>
      </c>
      <c r="H94" s="56">
        <v>614.67</v>
      </c>
    </row>
    <row r="95" ht="13.5" customHeight="1">
      <c r="A95" s="19">
        <v>93.0</v>
      </c>
      <c r="B95" s="54">
        <v>160.29</v>
      </c>
      <c r="C95" s="54">
        <v>206.66</v>
      </c>
      <c r="D95" s="55">
        <v>245.13</v>
      </c>
      <c r="E95" s="55">
        <v>346.71</v>
      </c>
      <c r="F95" s="55">
        <v>446.94</v>
      </c>
      <c r="G95" s="55">
        <v>534.0</v>
      </c>
      <c r="H95" s="56">
        <v>615.92</v>
      </c>
    </row>
    <row r="96" ht="13.5" customHeight="1">
      <c r="A96" s="19">
        <v>94.0</v>
      </c>
      <c r="B96" s="54">
        <v>161.45</v>
      </c>
      <c r="C96" s="54">
        <v>207.73</v>
      </c>
      <c r="D96" s="55">
        <v>246.2</v>
      </c>
      <c r="E96" s="55">
        <v>347.96</v>
      </c>
      <c r="F96" s="55">
        <v>448.21</v>
      </c>
      <c r="G96" s="55">
        <v>535.29</v>
      </c>
      <c r="H96" s="56">
        <v>617.48</v>
      </c>
    </row>
    <row r="97" ht="13.5" customHeight="1">
      <c r="A97" s="19">
        <v>95.0</v>
      </c>
      <c r="B97" s="57">
        <v>162.83</v>
      </c>
      <c r="C97" s="57">
        <v>208.81</v>
      </c>
      <c r="D97" s="58">
        <v>247.27</v>
      </c>
      <c r="E97" s="58">
        <v>349.22</v>
      </c>
      <c r="F97" s="58">
        <v>450.06</v>
      </c>
      <c r="G97" s="58">
        <v>536.56</v>
      </c>
      <c r="H97" s="59">
        <v>648.49</v>
      </c>
    </row>
    <row r="98" ht="13.5" customHeight="1">
      <c r="A98" s="32">
        <v>96.0</v>
      </c>
      <c r="B98" s="45">
        <v>166.48</v>
      </c>
      <c r="C98" s="45">
        <v>209.77</v>
      </c>
      <c r="D98" s="45">
        <v>254.34</v>
      </c>
      <c r="E98" s="45">
        <v>350.48</v>
      </c>
      <c r="F98" s="45">
        <v>486.05</v>
      </c>
      <c r="G98" s="45">
        <v>537.81</v>
      </c>
      <c r="H98" s="46">
        <v>672.59</v>
      </c>
    </row>
    <row r="99" ht="13.5" customHeight="1">
      <c r="A99" s="13">
        <v>97.0</v>
      </c>
      <c r="B99" s="47">
        <v>167.52</v>
      </c>
      <c r="C99" s="47">
        <v>210.93</v>
      </c>
      <c r="D99" s="47">
        <v>260.47</v>
      </c>
      <c r="E99" s="47">
        <v>351.75</v>
      </c>
      <c r="F99" s="47">
        <v>489.66</v>
      </c>
      <c r="G99" s="47">
        <v>539.11</v>
      </c>
      <c r="H99" s="48">
        <v>675.01</v>
      </c>
    </row>
    <row r="100" ht="13.5" customHeight="1">
      <c r="A100" s="13">
        <v>98.0</v>
      </c>
      <c r="B100" s="47">
        <v>174.36</v>
      </c>
      <c r="C100" s="47">
        <v>212.02</v>
      </c>
      <c r="D100" s="47">
        <v>261.54</v>
      </c>
      <c r="E100" s="47">
        <v>352.99</v>
      </c>
      <c r="F100" s="47">
        <v>490.93</v>
      </c>
      <c r="G100" s="47">
        <v>540.93</v>
      </c>
      <c r="H100" s="48">
        <v>676.35</v>
      </c>
    </row>
    <row r="101" ht="13.5" customHeight="1">
      <c r="A101" s="13">
        <v>99.0</v>
      </c>
      <c r="B101" s="47">
        <v>177.13</v>
      </c>
      <c r="C101" s="47">
        <v>213.08</v>
      </c>
      <c r="D101" s="47">
        <v>267.7</v>
      </c>
      <c r="E101" s="47">
        <v>367.22</v>
      </c>
      <c r="F101" s="47">
        <v>512.83</v>
      </c>
      <c r="G101" s="47">
        <v>577.27</v>
      </c>
      <c r="H101" s="48">
        <v>696.34</v>
      </c>
    </row>
    <row r="102" ht="13.5" customHeight="1">
      <c r="A102" s="16">
        <v>100.0</v>
      </c>
      <c r="B102" s="49">
        <v>178.0</v>
      </c>
      <c r="C102" s="49">
        <v>229.0</v>
      </c>
      <c r="D102" s="49">
        <v>294.0</v>
      </c>
      <c r="E102" s="49">
        <v>406.0</v>
      </c>
      <c r="F102" s="49">
        <v>568.0</v>
      </c>
      <c r="G102" s="49">
        <v>639.0</v>
      </c>
      <c r="H102" s="50">
        <v>726.0</v>
      </c>
    </row>
    <row r="103" ht="13.5" customHeight="1">
      <c r="A103" s="19">
        <v>101.0</v>
      </c>
      <c r="B103" s="51">
        <v>179.78</v>
      </c>
      <c r="C103" s="51">
        <v>231.29</v>
      </c>
      <c r="D103" s="52">
        <v>296.94</v>
      </c>
      <c r="E103" s="52">
        <v>410.06</v>
      </c>
      <c r="F103" s="52">
        <v>573.68</v>
      </c>
      <c r="G103" s="52">
        <v>645.39</v>
      </c>
      <c r="H103" s="53">
        <v>733.26</v>
      </c>
    </row>
    <row r="104" ht="13.5" customHeight="1">
      <c r="A104" s="23">
        <v>102.0</v>
      </c>
      <c r="B104" s="54">
        <v>181.56</v>
      </c>
      <c r="C104" s="54">
        <v>233.58</v>
      </c>
      <c r="D104" s="55">
        <v>299.88</v>
      </c>
      <c r="E104" s="55">
        <v>414.12</v>
      </c>
      <c r="F104" s="55">
        <v>579.36</v>
      </c>
      <c r="G104" s="55">
        <v>651.78</v>
      </c>
      <c r="H104" s="56">
        <v>740.52</v>
      </c>
    </row>
    <row r="105" ht="13.5" customHeight="1">
      <c r="A105" s="23">
        <v>103.0</v>
      </c>
      <c r="B105" s="54">
        <v>183.34</v>
      </c>
      <c r="C105" s="54">
        <v>235.87</v>
      </c>
      <c r="D105" s="55">
        <v>302.82</v>
      </c>
      <c r="E105" s="55">
        <v>418.18</v>
      </c>
      <c r="F105" s="55">
        <v>585.04</v>
      </c>
      <c r="G105" s="55">
        <v>658.17</v>
      </c>
      <c r="H105" s="56">
        <v>747.78</v>
      </c>
    </row>
    <row r="106" ht="13.5" customHeight="1">
      <c r="A106" s="23">
        <v>104.0</v>
      </c>
      <c r="B106" s="54">
        <v>185.12</v>
      </c>
      <c r="C106" s="54">
        <v>238.16</v>
      </c>
      <c r="D106" s="55">
        <v>305.76</v>
      </c>
      <c r="E106" s="55">
        <v>422.24</v>
      </c>
      <c r="F106" s="55">
        <v>590.72</v>
      </c>
      <c r="G106" s="55">
        <v>664.56</v>
      </c>
      <c r="H106" s="56">
        <v>755.04</v>
      </c>
    </row>
    <row r="107" ht="12.75" customHeight="1">
      <c r="A107" s="23">
        <v>105.0</v>
      </c>
      <c r="B107" s="57">
        <v>186.9</v>
      </c>
      <c r="C107" s="57">
        <v>240.45</v>
      </c>
      <c r="D107" s="58">
        <v>308.7</v>
      </c>
      <c r="E107" s="58">
        <v>426.3</v>
      </c>
      <c r="F107" s="58">
        <v>596.4</v>
      </c>
      <c r="G107" s="58">
        <v>670.95</v>
      </c>
      <c r="H107" s="59">
        <v>762.3</v>
      </c>
    </row>
    <row r="108" ht="12.75" customHeight="1">
      <c r="A108" s="9">
        <v>106.0</v>
      </c>
      <c r="B108" s="45">
        <v>188.68</v>
      </c>
      <c r="C108" s="45">
        <v>242.74</v>
      </c>
      <c r="D108" s="45">
        <v>311.64</v>
      </c>
      <c r="E108" s="45">
        <v>430.36</v>
      </c>
      <c r="F108" s="45">
        <v>602.08</v>
      </c>
      <c r="G108" s="45">
        <v>677.34</v>
      </c>
      <c r="H108" s="46">
        <v>769.56</v>
      </c>
    </row>
    <row r="109" ht="12.75" customHeight="1">
      <c r="A109" s="33">
        <v>107.0</v>
      </c>
      <c r="B109" s="47">
        <v>190.46</v>
      </c>
      <c r="C109" s="47">
        <v>245.03</v>
      </c>
      <c r="D109" s="47">
        <v>314.58</v>
      </c>
      <c r="E109" s="47">
        <v>434.42</v>
      </c>
      <c r="F109" s="47">
        <v>607.76</v>
      </c>
      <c r="G109" s="47">
        <v>683.73</v>
      </c>
      <c r="H109" s="48">
        <v>776.82</v>
      </c>
    </row>
    <row r="110" ht="12.75" customHeight="1">
      <c r="A110" s="33">
        <v>108.0</v>
      </c>
      <c r="B110" s="47">
        <v>192.24</v>
      </c>
      <c r="C110" s="47">
        <v>247.32</v>
      </c>
      <c r="D110" s="47">
        <v>317.52</v>
      </c>
      <c r="E110" s="47">
        <v>438.48</v>
      </c>
      <c r="F110" s="47">
        <v>613.44</v>
      </c>
      <c r="G110" s="47">
        <v>690.12</v>
      </c>
      <c r="H110" s="48">
        <v>784.08</v>
      </c>
    </row>
    <row r="111" ht="12.75" customHeight="1">
      <c r="A111" s="33">
        <v>109.0</v>
      </c>
      <c r="B111" s="47">
        <v>194.02</v>
      </c>
      <c r="C111" s="47">
        <v>249.61</v>
      </c>
      <c r="D111" s="47">
        <v>320.46</v>
      </c>
      <c r="E111" s="47">
        <v>442.54</v>
      </c>
      <c r="F111" s="47">
        <v>619.12</v>
      </c>
      <c r="G111" s="47">
        <v>696.51</v>
      </c>
      <c r="H111" s="48">
        <v>791.34</v>
      </c>
    </row>
    <row r="112" ht="12.75" customHeight="1">
      <c r="A112" s="16">
        <v>110.0</v>
      </c>
      <c r="B112" s="49">
        <v>195.8</v>
      </c>
      <c r="C112" s="49">
        <v>251.9</v>
      </c>
      <c r="D112" s="49">
        <v>323.4</v>
      </c>
      <c r="E112" s="49">
        <v>446.6</v>
      </c>
      <c r="F112" s="49">
        <v>624.8</v>
      </c>
      <c r="G112" s="49">
        <v>702.9</v>
      </c>
      <c r="H112" s="50">
        <v>798.6</v>
      </c>
    </row>
    <row r="113" ht="12.75" customHeight="1">
      <c r="A113" s="35">
        <v>111.0</v>
      </c>
      <c r="B113" s="51">
        <v>197.58</v>
      </c>
      <c r="C113" s="51">
        <v>254.19</v>
      </c>
      <c r="D113" s="52">
        <v>326.34</v>
      </c>
      <c r="E113" s="52">
        <v>450.66</v>
      </c>
      <c r="F113" s="52">
        <v>630.48</v>
      </c>
      <c r="G113" s="52">
        <v>709.29</v>
      </c>
      <c r="H113" s="53">
        <v>805.86</v>
      </c>
    </row>
    <row r="114" ht="12.75" customHeight="1">
      <c r="A114" s="23">
        <v>112.0</v>
      </c>
      <c r="B114" s="54">
        <v>199.36</v>
      </c>
      <c r="C114" s="54">
        <v>256.48</v>
      </c>
      <c r="D114" s="55">
        <v>329.28</v>
      </c>
      <c r="E114" s="55">
        <v>454.72</v>
      </c>
      <c r="F114" s="55">
        <v>636.16</v>
      </c>
      <c r="G114" s="55">
        <v>715.68</v>
      </c>
      <c r="H114" s="56">
        <v>813.12</v>
      </c>
    </row>
    <row r="115" ht="12.75" customHeight="1">
      <c r="A115" s="23">
        <v>113.0</v>
      </c>
      <c r="B115" s="54">
        <v>201.14</v>
      </c>
      <c r="C115" s="54">
        <v>258.77</v>
      </c>
      <c r="D115" s="55">
        <v>332.22</v>
      </c>
      <c r="E115" s="55">
        <v>458.78</v>
      </c>
      <c r="F115" s="55">
        <v>641.84</v>
      </c>
      <c r="G115" s="55">
        <v>722.07</v>
      </c>
      <c r="H115" s="56">
        <v>820.38</v>
      </c>
    </row>
    <row r="116" ht="12.75" customHeight="1">
      <c r="A116" s="23">
        <v>114.0</v>
      </c>
      <c r="B116" s="54">
        <v>202.92</v>
      </c>
      <c r="C116" s="54">
        <v>261.06</v>
      </c>
      <c r="D116" s="55">
        <v>335.16</v>
      </c>
      <c r="E116" s="55">
        <v>462.84</v>
      </c>
      <c r="F116" s="55">
        <v>647.52</v>
      </c>
      <c r="G116" s="55">
        <v>728.46</v>
      </c>
      <c r="H116" s="56">
        <v>827.64</v>
      </c>
    </row>
    <row r="117" ht="12.75" customHeight="1">
      <c r="A117" s="27">
        <v>115.0</v>
      </c>
      <c r="B117" s="57">
        <v>204.7</v>
      </c>
      <c r="C117" s="57">
        <v>263.35</v>
      </c>
      <c r="D117" s="58">
        <v>338.1</v>
      </c>
      <c r="E117" s="58">
        <v>466.9</v>
      </c>
      <c r="F117" s="58">
        <v>653.2</v>
      </c>
      <c r="G117" s="58">
        <v>734.85</v>
      </c>
      <c r="H117" s="59">
        <v>834.9</v>
      </c>
    </row>
    <row r="118" ht="12.75" customHeight="1">
      <c r="A118" s="5">
        <v>116.0</v>
      </c>
      <c r="B118" s="60">
        <v>206.48</v>
      </c>
      <c r="C118" s="60">
        <v>265.64</v>
      </c>
      <c r="D118" s="60">
        <v>341.04</v>
      </c>
      <c r="E118" s="60">
        <v>470.96</v>
      </c>
      <c r="F118" s="60">
        <v>658.88</v>
      </c>
      <c r="G118" s="60">
        <v>741.24</v>
      </c>
      <c r="H118" s="61">
        <v>842.16</v>
      </c>
      <c r="L118" s="4"/>
    </row>
    <row r="119" ht="12.75" customHeight="1">
      <c r="A119" s="9">
        <v>117.0</v>
      </c>
      <c r="B119" s="45">
        <v>208.26</v>
      </c>
      <c r="C119" s="45">
        <v>267.93</v>
      </c>
      <c r="D119" s="45">
        <v>343.98</v>
      </c>
      <c r="E119" s="45">
        <v>475.02</v>
      </c>
      <c r="F119" s="45">
        <v>664.56</v>
      </c>
      <c r="G119" s="45">
        <v>747.63</v>
      </c>
      <c r="H119" s="46">
        <v>849.42</v>
      </c>
    </row>
    <row r="120" ht="12.75" customHeight="1">
      <c r="A120" s="13">
        <v>118.0</v>
      </c>
      <c r="B120" s="47">
        <v>210.04</v>
      </c>
      <c r="C120" s="47">
        <v>270.22</v>
      </c>
      <c r="D120" s="47">
        <v>346.92</v>
      </c>
      <c r="E120" s="47">
        <v>479.08</v>
      </c>
      <c r="F120" s="47">
        <v>670.24</v>
      </c>
      <c r="G120" s="47">
        <v>754.02</v>
      </c>
      <c r="H120" s="48">
        <v>856.68</v>
      </c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13">
        <v>119.0</v>
      </c>
      <c r="B121" s="47">
        <v>211.82</v>
      </c>
      <c r="C121" s="47">
        <v>272.51</v>
      </c>
      <c r="D121" s="47">
        <v>349.86</v>
      </c>
      <c r="E121" s="47">
        <v>483.14</v>
      </c>
      <c r="F121" s="47">
        <v>675.92</v>
      </c>
      <c r="G121" s="47">
        <v>760.41</v>
      </c>
      <c r="H121" s="48">
        <v>863.94</v>
      </c>
    </row>
    <row r="122" ht="12.75" customHeight="1">
      <c r="A122" s="16">
        <v>120.0</v>
      </c>
      <c r="B122" s="49">
        <v>213.6</v>
      </c>
      <c r="C122" s="49">
        <v>274.8</v>
      </c>
      <c r="D122" s="49">
        <v>352.8</v>
      </c>
      <c r="E122" s="49">
        <v>487.2</v>
      </c>
      <c r="F122" s="49">
        <v>681.6</v>
      </c>
      <c r="G122" s="49">
        <v>766.8</v>
      </c>
      <c r="H122" s="50">
        <v>871.2</v>
      </c>
    </row>
    <row r="123" ht="12.75" customHeight="1">
      <c r="A123" s="19">
        <v>121.0</v>
      </c>
      <c r="B123" s="51">
        <v>215.38</v>
      </c>
      <c r="C123" s="51">
        <v>277.09</v>
      </c>
      <c r="D123" s="52">
        <v>355.74</v>
      </c>
      <c r="E123" s="52">
        <v>491.26</v>
      </c>
      <c r="F123" s="52">
        <v>687.28</v>
      </c>
      <c r="G123" s="52">
        <v>773.19</v>
      </c>
      <c r="H123" s="53">
        <v>878.46</v>
      </c>
    </row>
    <row r="124" ht="12.75" customHeight="1">
      <c r="A124" s="23">
        <v>122.0</v>
      </c>
      <c r="B124" s="54">
        <v>217.16</v>
      </c>
      <c r="C124" s="54">
        <v>279.38</v>
      </c>
      <c r="D124" s="55">
        <v>358.68</v>
      </c>
      <c r="E124" s="55">
        <v>495.32</v>
      </c>
      <c r="F124" s="55">
        <v>692.96</v>
      </c>
      <c r="G124" s="55">
        <v>779.58</v>
      </c>
      <c r="H124" s="56">
        <v>885.72</v>
      </c>
    </row>
    <row r="125" ht="12.75" customHeight="1">
      <c r="A125" s="19">
        <v>123.0</v>
      </c>
      <c r="B125" s="54">
        <v>218.94</v>
      </c>
      <c r="C125" s="54">
        <v>281.67</v>
      </c>
      <c r="D125" s="55">
        <v>361.62</v>
      </c>
      <c r="E125" s="55">
        <v>499.38</v>
      </c>
      <c r="F125" s="55">
        <v>698.64</v>
      </c>
      <c r="G125" s="55">
        <v>785.97</v>
      </c>
      <c r="H125" s="56">
        <v>892.98</v>
      </c>
    </row>
    <row r="126" ht="12.75" customHeight="1">
      <c r="A126" s="19">
        <v>124.0</v>
      </c>
      <c r="B126" s="54">
        <v>220.72</v>
      </c>
      <c r="C126" s="54">
        <v>283.96</v>
      </c>
      <c r="D126" s="55">
        <v>364.56</v>
      </c>
      <c r="E126" s="55">
        <v>503.44</v>
      </c>
      <c r="F126" s="55">
        <v>704.32</v>
      </c>
      <c r="G126" s="55">
        <v>792.36</v>
      </c>
      <c r="H126" s="56">
        <v>900.24</v>
      </c>
    </row>
    <row r="127" ht="12.75" customHeight="1">
      <c r="A127" s="27">
        <v>125.0</v>
      </c>
      <c r="B127" s="57">
        <v>222.5</v>
      </c>
      <c r="C127" s="57">
        <v>286.25</v>
      </c>
      <c r="D127" s="58">
        <v>367.5</v>
      </c>
      <c r="E127" s="58">
        <v>507.5</v>
      </c>
      <c r="F127" s="58">
        <v>710.0</v>
      </c>
      <c r="G127" s="58">
        <v>798.75</v>
      </c>
      <c r="H127" s="59">
        <v>907.5</v>
      </c>
    </row>
    <row r="128" ht="12.75" customHeight="1">
      <c r="A128" s="13">
        <v>126.0</v>
      </c>
      <c r="B128" s="45">
        <v>224.28</v>
      </c>
      <c r="C128" s="45">
        <v>288.54</v>
      </c>
      <c r="D128" s="45">
        <v>370.44</v>
      </c>
      <c r="E128" s="45">
        <v>511.56</v>
      </c>
      <c r="F128" s="45">
        <v>715.68</v>
      </c>
      <c r="G128" s="45">
        <v>805.14</v>
      </c>
      <c r="H128" s="46">
        <v>914.76</v>
      </c>
    </row>
    <row r="129" ht="12.75" customHeight="1">
      <c r="A129" s="13">
        <v>127.0</v>
      </c>
      <c r="B129" s="47">
        <v>226.06</v>
      </c>
      <c r="C129" s="47">
        <v>290.83</v>
      </c>
      <c r="D129" s="47">
        <v>373.38</v>
      </c>
      <c r="E129" s="47">
        <v>515.62</v>
      </c>
      <c r="F129" s="47">
        <v>721.36</v>
      </c>
      <c r="G129" s="47">
        <v>811.53</v>
      </c>
      <c r="H129" s="48">
        <v>922.02</v>
      </c>
    </row>
    <row r="130" ht="12.75" customHeight="1">
      <c r="A130" s="13">
        <v>128.0</v>
      </c>
      <c r="B130" s="47">
        <v>227.84</v>
      </c>
      <c r="C130" s="47">
        <v>293.12</v>
      </c>
      <c r="D130" s="47">
        <v>376.32</v>
      </c>
      <c r="E130" s="47">
        <v>519.68</v>
      </c>
      <c r="F130" s="47">
        <v>727.04</v>
      </c>
      <c r="G130" s="47">
        <v>817.92</v>
      </c>
      <c r="H130" s="48">
        <v>929.28</v>
      </c>
    </row>
    <row r="131" ht="12.75" customHeight="1">
      <c r="A131" s="13">
        <v>129.0</v>
      </c>
      <c r="B131" s="47">
        <v>229.62</v>
      </c>
      <c r="C131" s="47">
        <v>295.41</v>
      </c>
      <c r="D131" s="47">
        <v>379.26</v>
      </c>
      <c r="E131" s="47">
        <v>523.74</v>
      </c>
      <c r="F131" s="47">
        <v>732.72</v>
      </c>
      <c r="G131" s="47">
        <v>824.31</v>
      </c>
      <c r="H131" s="48">
        <v>936.54</v>
      </c>
    </row>
    <row r="132" ht="12.75" customHeight="1">
      <c r="A132" s="13">
        <v>130.0</v>
      </c>
      <c r="B132" s="49">
        <v>231.4</v>
      </c>
      <c r="C132" s="49">
        <v>297.7</v>
      </c>
      <c r="D132" s="49">
        <v>382.2</v>
      </c>
      <c r="E132" s="49">
        <v>527.8</v>
      </c>
      <c r="F132" s="49">
        <v>738.4</v>
      </c>
      <c r="G132" s="49">
        <v>830.7</v>
      </c>
      <c r="H132" s="50">
        <v>943.8</v>
      </c>
    </row>
    <row r="133" ht="12.75" customHeight="1">
      <c r="A133" s="31">
        <v>131.0</v>
      </c>
      <c r="B133" s="51">
        <v>233.18</v>
      </c>
      <c r="C133" s="51">
        <v>299.99</v>
      </c>
      <c r="D133" s="52">
        <v>385.14</v>
      </c>
      <c r="E133" s="52">
        <v>531.86</v>
      </c>
      <c r="F133" s="52">
        <v>744.08</v>
      </c>
      <c r="G133" s="52">
        <v>837.09</v>
      </c>
      <c r="H133" s="53">
        <v>951.06</v>
      </c>
    </row>
    <row r="134" ht="12.75" customHeight="1">
      <c r="A134" s="19">
        <v>132.0</v>
      </c>
      <c r="B134" s="54">
        <v>234.96</v>
      </c>
      <c r="C134" s="54">
        <v>302.28</v>
      </c>
      <c r="D134" s="55">
        <v>388.08</v>
      </c>
      <c r="E134" s="55">
        <v>535.92</v>
      </c>
      <c r="F134" s="55">
        <v>749.76</v>
      </c>
      <c r="G134" s="55">
        <v>843.48</v>
      </c>
      <c r="H134" s="56">
        <v>958.32</v>
      </c>
    </row>
    <row r="135" ht="12.75" customHeight="1">
      <c r="A135" s="19">
        <v>133.0</v>
      </c>
      <c r="B135" s="54">
        <v>236.74</v>
      </c>
      <c r="C135" s="54">
        <v>304.57</v>
      </c>
      <c r="D135" s="55">
        <v>391.02</v>
      </c>
      <c r="E135" s="55">
        <v>539.98</v>
      </c>
      <c r="F135" s="55">
        <v>755.44</v>
      </c>
      <c r="G135" s="55">
        <v>849.87</v>
      </c>
      <c r="H135" s="56">
        <v>965.58</v>
      </c>
    </row>
    <row r="136" ht="12.75" customHeight="1">
      <c r="A136" s="19">
        <v>134.0</v>
      </c>
      <c r="B136" s="54">
        <v>238.52</v>
      </c>
      <c r="C136" s="54">
        <v>306.86</v>
      </c>
      <c r="D136" s="55">
        <v>393.96</v>
      </c>
      <c r="E136" s="55">
        <v>544.04</v>
      </c>
      <c r="F136" s="55">
        <v>761.12</v>
      </c>
      <c r="G136" s="55">
        <v>856.26</v>
      </c>
      <c r="H136" s="56">
        <v>972.84</v>
      </c>
    </row>
    <row r="137" ht="12.75" customHeight="1">
      <c r="A137" s="19">
        <v>135.0</v>
      </c>
      <c r="B137" s="57">
        <v>240.3</v>
      </c>
      <c r="C137" s="57">
        <v>309.15</v>
      </c>
      <c r="D137" s="58">
        <v>396.9</v>
      </c>
      <c r="E137" s="58">
        <v>548.1</v>
      </c>
      <c r="F137" s="58">
        <v>766.8</v>
      </c>
      <c r="G137" s="58">
        <v>862.65</v>
      </c>
      <c r="H137" s="59">
        <v>980.1</v>
      </c>
    </row>
    <row r="138" ht="12.75" customHeight="1">
      <c r="A138" s="32">
        <v>136.0</v>
      </c>
      <c r="B138" s="45">
        <v>242.08</v>
      </c>
      <c r="C138" s="45">
        <v>311.44</v>
      </c>
      <c r="D138" s="45">
        <v>399.84</v>
      </c>
      <c r="E138" s="45">
        <v>552.16</v>
      </c>
      <c r="F138" s="45">
        <v>772.48</v>
      </c>
      <c r="G138" s="45">
        <v>869.04</v>
      </c>
      <c r="H138" s="46">
        <v>987.36</v>
      </c>
    </row>
    <row r="139" ht="12.75" customHeight="1">
      <c r="A139" s="13">
        <v>137.0</v>
      </c>
      <c r="B139" s="47">
        <v>243.86</v>
      </c>
      <c r="C139" s="47">
        <v>313.73</v>
      </c>
      <c r="D139" s="47">
        <v>402.78</v>
      </c>
      <c r="E139" s="47">
        <v>556.22</v>
      </c>
      <c r="F139" s="47">
        <v>778.16</v>
      </c>
      <c r="G139" s="47">
        <v>875.43</v>
      </c>
      <c r="H139" s="48">
        <v>994.62</v>
      </c>
    </row>
    <row r="140" ht="12.75" customHeight="1">
      <c r="A140" s="13">
        <v>138.0</v>
      </c>
      <c r="B140" s="47">
        <v>245.64</v>
      </c>
      <c r="C140" s="47">
        <v>316.02</v>
      </c>
      <c r="D140" s="47">
        <v>405.72</v>
      </c>
      <c r="E140" s="47">
        <v>560.28</v>
      </c>
      <c r="F140" s="47">
        <v>783.84</v>
      </c>
      <c r="G140" s="47">
        <v>881.82</v>
      </c>
      <c r="H140" s="48">
        <v>1001.88</v>
      </c>
    </row>
    <row r="141" ht="12.75" customHeight="1">
      <c r="A141" s="13">
        <v>139.0</v>
      </c>
      <c r="B141" s="47">
        <v>247.42</v>
      </c>
      <c r="C141" s="47">
        <v>318.31</v>
      </c>
      <c r="D141" s="47">
        <v>408.66</v>
      </c>
      <c r="E141" s="47">
        <v>564.34</v>
      </c>
      <c r="F141" s="47">
        <v>789.52</v>
      </c>
      <c r="G141" s="47">
        <v>888.21</v>
      </c>
      <c r="H141" s="48">
        <v>1009.14</v>
      </c>
    </row>
    <row r="142" ht="12.75" customHeight="1">
      <c r="A142" s="16">
        <v>140.0</v>
      </c>
      <c r="B142" s="49">
        <v>249.2</v>
      </c>
      <c r="C142" s="49">
        <v>320.6</v>
      </c>
      <c r="D142" s="49">
        <v>411.6</v>
      </c>
      <c r="E142" s="49">
        <v>568.4</v>
      </c>
      <c r="F142" s="49">
        <v>795.2</v>
      </c>
      <c r="G142" s="49">
        <v>894.6</v>
      </c>
      <c r="H142" s="50">
        <v>1016.4</v>
      </c>
    </row>
    <row r="143" ht="12.75" customHeight="1">
      <c r="A143" s="19">
        <v>141.0</v>
      </c>
      <c r="B143" s="51">
        <v>250.98</v>
      </c>
      <c r="C143" s="51">
        <v>322.89</v>
      </c>
      <c r="D143" s="52">
        <v>414.54</v>
      </c>
      <c r="E143" s="52">
        <v>572.46</v>
      </c>
      <c r="F143" s="52">
        <v>800.88</v>
      </c>
      <c r="G143" s="52">
        <v>900.99</v>
      </c>
      <c r="H143" s="53">
        <v>1023.66</v>
      </c>
    </row>
    <row r="144" ht="12.75" customHeight="1">
      <c r="A144" s="23">
        <v>142.0</v>
      </c>
      <c r="B144" s="54">
        <v>252.76</v>
      </c>
      <c r="C144" s="54">
        <v>325.18</v>
      </c>
      <c r="D144" s="55">
        <v>417.48</v>
      </c>
      <c r="E144" s="55">
        <v>576.52</v>
      </c>
      <c r="F144" s="55">
        <v>806.56</v>
      </c>
      <c r="G144" s="55">
        <v>907.38</v>
      </c>
      <c r="H144" s="56">
        <v>1030.92</v>
      </c>
    </row>
    <row r="145" ht="12.75" customHeight="1">
      <c r="A145" s="23">
        <v>143.0</v>
      </c>
      <c r="B145" s="54">
        <v>254.54</v>
      </c>
      <c r="C145" s="54">
        <v>327.47</v>
      </c>
      <c r="D145" s="55">
        <v>420.42</v>
      </c>
      <c r="E145" s="55">
        <v>580.58</v>
      </c>
      <c r="F145" s="55">
        <v>812.24</v>
      </c>
      <c r="G145" s="55">
        <v>913.77</v>
      </c>
      <c r="H145" s="56">
        <v>1038.18</v>
      </c>
    </row>
    <row r="146" ht="12.75" customHeight="1">
      <c r="A146" s="23">
        <v>144.0</v>
      </c>
      <c r="B146" s="54">
        <v>256.32</v>
      </c>
      <c r="C146" s="54">
        <v>329.76</v>
      </c>
      <c r="D146" s="55">
        <v>423.36</v>
      </c>
      <c r="E146" s="55">
        <v>584.64</v>
      </c>
      <c r="F146" s="55">
        <v>817.92</v>
      </c>
      <c r="G146" s="55">
        <v>920.16</v>
      </c>
      <c r="H146" s="56">
        <v>1045.44</v>
      </c>
    </row>
    <row r="147" ht="12.75" customHeight="1">
      <c r="A147" s="23">
        <v>145.0</v>
      </c>
      <c r="B147" s="57">
        <v>258.1</v>
      </c>
      <c r="C147" s="57">
        <v>332.05</v>
      </c>
      <c r="D147" s="58">
        <v>426.3</v>
      </c>
      <c r="E147" s="58">
        <v>588.7</v>
      </c>
      <c r="F147" s="58">
        <v>823.6</v>
      </c>
      <c r="G147" s="58">
        <v>926.55</v>
      </c>
      <c r="H147" s="59">
        <v>1052.7</v>
      </c>
    </row>
    <row r="148" ht="12.75" customHeight="1">
      <c r="A148" s="9">
        <v>146.0</v>
      </c>
      <c r="B148" s="45">
        <v>259.88</v>
      </c>
      <c r="C148" s="45">
        <v>334.34</v>
      </c>
      <c r="D148" s="45">
        <v>429.24</v>
      </c>
      <c r="E148" s="45">
        <v>592.76</v>
      </c>
      <c r="F148" s="45">
        <v>829.28</v>
      </c>
      <c r="G148" s="45">
        <v>932.94</v>
      </c>
      <c r="H148" s="46">
        <v>1059.96</v>
      </c>
    </row>
    <row r="149" ht="12.75" customHeight="1">
      <c r="A149" s="33">
        <v>147.0</v>
      </c>
      <c r="B149" s="47">
        <v>261.66</v>
      </c>
      <c r="C149" s="47">
        <v>336.63</v>
      </c>
      <c r="D149" s="47">
        <v>432.18</v>
      </c>
      <c r="E149" s="47">
        <v>596.82</v>
      </c>
      <c r="F149" s="47">
        <v>834.96</v>
      </c>
      <c r="G149" s="47">
        <v>939.33</v>
      </c>
      <c r="H149" s="48">
        <v>1067.22</v>
      </c>
    </row>
    <row r="150" ht="12.75" customHeight="1">
      <c r="A150" s="33">
        <v>148.0</v>
      </c>
      <c r="B150" s="47">
        <v>263.44</v>
      </c>
      <c r="C150" s="47">
        <v>338.92</v>
      </c>
      <c r="D150" s="47">
        <v>435.12</v>
      </c>
      <c r="E150" s="47">
        <v>600.88</v>
      </c>
      <c r="F150" s="47">
        <v>840.64</v>
      </c>
      <c r="G150" s="47">
        <v>945.72</v>
      </c>
      <c r="H150" s="48">
        <v>1074.48</v>
      </c>
    </row>
    <row r="151" ht="12.75" customHeight="1">
      <c r="A151" s="33">
        <v>149.0</v>
      </c>
      <c r="B151" s="47">
        <v>265.22</v>
      </c>
      <c r="C151" s="47">
        <v>341.21</v>
      </c>
      <c r="D151" s="47">
        <v>438.06</v>
      </c>
      <c r="E151" s="47">
        <v>604.94</v>
      </c>
      <c r="F151" s="47">
        <v>846.32</v>
      </c>
      <c r="G151" s="47">
        <v>952.11</v>
      </c>
      <c r="H151" s="48">
        <v>1081.74</v>
      </c>
    </row>
    <row r="152" ht="12.75" customHeight="1">
      <c r="A152" s="16">
        <v>150.0</v>
      </c>
      <c r="B152" s="49">
        <v>267.0</v>
      </c>
      <c r="C152" s="49">
        <v>343.5</v>
      </c>
      <c r="D152" s="49">
        <v>441.0</v>
      </c>
      <c r="E152" s="49">
        <v>609.0</v>
      </c>
      <c r="F152" s="49">
        <v>852.0</v>
      </c>
      <c r="G152" s="49">
        <v>958.5</v>
      </c>
      <c r="H152" s="50">
        <v>1089.0</v>
      </c>
    </row>
    <row r="153" ht="12.75" customHeight="1">
      <c r="A153" s="36" t="s">
        <v>13</v>
      </c>
      <c r="B153" s="47">
        <v>1.78</v>
      </c>
      <c r="C153" s="47">
        <v>2.29</v>
      </c>
      <c r="D153" s="47">
        <v>2.94</v>
      </c>
      <c r="E153" s="47">
        <v>4.06</v>
      </c>
      <c r="F153" s="47">
        <v>5.68</v>
      </c>
      <c r="G153" s="47">
        <v>6.39</v>
      </c>
      <c r="H153" s="47">
        <v>7.26</v>
      </c>
    </row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57" footer="0.0" header="0.0" left="0.75" right="0.75" top="0.51"/>
  <pageSetup scale="92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3300"/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2.13"/>
    <col customWidth="1" min="2" max="12" width="8.25"/>
    <col customWidth="1" min="13" max="13" width="3.38"/>
    <col customWidth="1" min="14" max="26" width="8.25"/>
  </cols>
  <sheetData>
    <row r="1" ht="12.75" customHeight="1">
      <c r="A1" s="67"/>
      <c r="B1" s="66" t="s">
        <v>0</v>
      </c>
      <c r="C1" s="66" t="s">
        <v>0</v>
      </c>
      <c r="D1" s="66" t="s">
        <v>0</v>
      </c>
      <c r="E1" s="66" t="s">
        <v>0</v>
      </c>
      <c r="F1" s="66" t="s">
        <v>0</v>
      </c>
      <c r="G1" s="66" t="s">
        <v>0</v>
      </c>
      <c r="H1" s="66" t="s">
        <v>0</v>
      </c>
      <c r="I1" s="66" t="s">
        <v>14</v>
      </c>
      <c r="J1" s="66" t="s">
        <v>15</v>
      </c>
      <c r="K1" s="66" t="s">
        <v>16</v>
      </c>
      <c r="L1" s="66" t="s">
        <v>16</v>
      </c>
      <c r="N1" s="68"/>
    </row>
    <row r="2" ht="12.75" customHeight="1">
      <c r="A2" s="1" t="s">
        <v>1</v>
      </c>
      <c r="B2" s="3">
        <v>2.0</v>
      </c>
      <c r="C2" s="3">
        <v>3.0</v>
      </c>
      <c r="D2" s="3">
        <v>4.0</v>
      </c>
      <c r="E2" s="3">
        <v>5.0</v>
      </c>
      <c r="F2" s="3">
        <v>6.0</v>
      </c>
      <c r="G2" s="3">
        <v>7.0</v>
      </c>
      <c r="H2" s="3">
        <v>8.0</v>
      </c>
      <c r="I2" s="3">
        <v>9.0</v>
      </c>
      <c r="J2" s="3">
        <v>17.0</v>
      </c>
      <c r="K2" s="3">
        <v>51.0</v>
      </c>
      <c r="L2" s="3">
        <v>54.0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>
        <v>1.0</v>
      </c>
      <c r="B3" s="69">
        <v>11.32</v>
      </c>
      <c r="C3" s="69">
        <v>11.65</v>
      </c>
      <c r="D3" s="69">
        <v>12.69</v>
      </c>
      <c r="E3" s="69">
        <v>13.27</v>
      </c>
      <c r="F3" s="69">
        <v>13.72</v>
      </c>
      <c r="G3" s="69">
        <v>13.93</v>
      </c>
      <c r="H3" s="69">
        <v>14.17</v>
      </c>
      <c r="I3" s="70">
        <v>40.84</v>
      </c>
      <c r="J3" s="70">
        <v>40.84</v>
      </c>
      <c r="K3" s="70">
        <v>26.95</v>
      </c>
      <c r="L3" s="70">
        <v>42.83</v>
      </c>
      <c r="M3" s="4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9">
        <v>2.0</v>
      </c>
      <c r="B4" s="45">
        <v>12.08</v>
      </c>
      <c r="C4" s="45">
        <v>13.32</v>
      </c>
      <c r="D4" s="45">
        <v>14.53</v>
      </c>
      <c r="E4" s="45">
        <v>14.84</v>
      </c>
      <c r="F4" s="45">
        <v>15.49</v>
      </c>
      <c r="G4" s="45">
        <v>16.13</v>
      </c>
      <c r="H4" s="45">
        <v>16.4</v>
      </c>
      <c r="I4" s="71">
        <v>45.42</v>
      </c>
      <c r="J4" s="71">
        <v>45.42</v>
      </c>
      <c r="K4" s="71">
        <v>29.14</v>
      </c>
      <c r="L4" s="71">
        <v>45.05</v>
      </c>
      <c r="M4" s="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13">
        <v>3.0</v>
      </c>
      <c r="B5" s="47">
        <v>12.57</v>
      </c>
      <c r="C5" s="47">
        <v>14.03</v>
      </c>
      <c r="D5" s="47">
        <v>15.16</v>
      </c>
      <c r="E5" s="47">
        <v>15.93</v>
      </c>
      <c r="F5" s="47">
        <v>16.58</v>
      </c>
      <c r="G5" s="47">
        <v>17.2</v>
      </c>
      <c r="H5" s="47">
        <v>18.05</v>
      </c>
      <c r="I5" s="72">
        <v>49.36</v>
      </c>
      <c r="J5" s="72">
        <v>49.36</v>
      </c>
      <c r="K5" s="72">
        <v>30.04</v>
      </c>
      <c r="L5" s="72">
        <v>47.24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13">
        <v>4.0</v>
      </c>
      <c r="B6" s="47">
        <v>12.94</v>
      </c>
      <c r="C6" s="47">
        <v>14.11</v>
      </c>
      <c r="D6" s="47">
        <v>15.78</v>
      </c>
      <c r="E6" s="47">
        <v>16.81</v>
      </c>
      <c r="F6" s="47">
        <v>17.27</v>
      </c>
      <c r="G6" s="47">
        <v>18.47</v>
      </c>
      <c r="H6" s="47">
        <v>19.34</v>
      </c>
      <c r="I6" s="72">
        <v>54.2</v>
      </c>
      <c r="J6" s="72">
        <v>54.2</v>
      </c>
      <c r="K6" s="72">
        <v>32.19</v>
      </c>
      <c r="L6" s="72">
        <v>49.78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16">
        <v>5.0</v>
      </c>
      <c r="B7" s="49">
        <v>13.29</v>
      </c>
      <c r="C7" s="49">
        <v>14.76</v>
      </c>
      <c r="D7" s="49">
        <v>16.17</v>
      </c>
      <c r="E7" s="49">
        <v>17.56</v>
      </c>
      <c r="F7" s="49">
        <v>18.26</v>
      </c>
      <c r="G7" s="49">
        <v>19.33</v>
      </c>
      <c r="H7" s="49">
        <v>20.48</v>
      </c>
      <c r="I7" s="73">
        <v>58.75</v>
      </c>
      <c r="J7" s="73">
        <v>58.75</v>
      </c>
      <c r="K7" s="73">
        <v>34.14</v>
      </c>
      <c r="L7" s="73">
        <v>50.38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9">
        <v>6.0</v>
      </c>
      <c r="B8" s="51">
        <v>13.39</v>
      </c>
      <c r="C8" s="51">
        <v>14.81</v>
      </c>
      <c r="D8" s="52">
        <v>16.33</v>
      </c>
      <c r="E8" s="52">
        <v>17.63</v>
      </c>
      <c r="F8" s="52">
        <v>18.28</v>
      </c>
      <c r="G8" s="52">
        <v>19.34</v>
      </c>
      <c r="H8" s="52">
        <v>20.49</v>
      </c>
      <c r="I8" s="74">
        <v>63.4</v>
      </c>
      <c r="J8" s="74">
        <v>63.4</v>
      </c>
      <c r="K8" s="75">
        <v>35.88</v>
      </c>
      <c r="L8" s="75">
        <v>52.88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3">
        <v>7.0</v>
      </c>
      <c r="B9" s="54">
        <v>14.15</v>
      </c>
      <c r="C9" s="54">
        <v>15.15</v>
      </c>
      <c r="D9" s="55">
        <v>16.76</v>
      </c>
      <c r="E9" s="55">
        <v>18.19</v>
      </c>
      <c r="F9" s="55">
        <v>18.61</v>
      </c>
      <c r="G9" s="55">
        <v>19.86</v>
      </c>
      <c r="H9" s="55">
        <v>21.26</v>
      </c>
      <c r="I9" s="76">
        <v>67.69</v>
      </c>
      <c r="J9" s="76">
        <v>67.69</v>
      </c>
      <c r="K9" s="77">
        <v>37.51</v>
      </c>
      <c r="L9" s="77">
        <v>53.72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19">
        <v>8.0</v>
      </c>
      <c r="B10" s="54">
        <v>14.56</v>
      </c>
      <c r="C10" s="54">
        <v>15.7</v>
      </c>
      <c r="D10" s="55">
        <v>17.34</v>
      </c>
      <c r="E10" s="55">
        <v>18.71</v>
      </c>
      <c r="F10" s="55">
        <v>19.36</v>
      </c>
      <c r="G10" s="55">
        <v>20.66</v>
      </c>
      <c r="H10" s="55">
        <v>22.19</v>
      </c>
      <c r="I10" s="76">
        <v>70.34</v>
      </c>
      <c r="J10" s="76">
        <v>70.34</v>
      </c>
      <c r="K10" s="77">
        <v>39.24</v>
      </c>
      <c r="L10" s="77">
        <v>55.64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19">
        <v>9.0</v>
      </c>
      <c r="B11" s="54">
        <v>14.78</v>
      </c>
      <c r="C11" s="54">
        <v>15.92</v>
      </c>
      <c r="D11" s="55">
        <v>17.42</v>
      </c>
      <c r="E11" s="55">
        <v>18.87</v>
      </c>
      <c r="F11" s="55">
        <v>19.77</v>
      </c>
      <c r="G11" s="55">
        <v>21.52</v>
      </c>
      <c r="H11" s="55">
        <v>23.37</v>
      </c>
      <c r="I11" s="76">
        <v>75.29</v>
      </c>
      <c r="J11" s="76">
        <v>75.29</v>
      </c>
      <c r="K11" s="77">
        <v>40.86</v>
      </c>
      <c r="L11" s="77">
        <v>56.38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">
        <v>10.0</v>
      </c>
      <c r="B12" s="57">
        <v>14.98</v>
      </c>
      <c r="C12" s="57">
        <v>16.09</v>
      </c>
      <c r="D12" s="58">
        <v>17.59</v>
      </c>
      <c r="E12" s="58">
        <v>19.39</v>
      </c>
      <c r="F12" s="58">
        <v>20.0</v>
      </c>
      <c r="G12" s="58">
        <v>22.54</v>
      </c>
      <c r="H12" s="58">
        <v>24.91</v>
      </c>
      <c r="I12" s="78">
        <v>80.0</v>
      </c>
      <c r="J12" s="78">
        <v>80.0</v>
      </c>
      <c r="K12" s="79">
        <v>42.56</v>
      </c>
      <c r="L12" s="79">
        <v>58.2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>
        <v>11.0</v>
      </c>
      <c r="B13" s="45">
        <v>15.92</v>
      </c>
      <c r="C13" s="45">
        <v>16.56</v>
      </c>
      <c r="D13" s="45">
        <v>18.17</v>
      </c>
      <c r="E13" s="45">
        <v>19.71</v>
      </c>
      <c r="F13" s="45">
        <v>20.91</v>
      </c>
      <c r="G13" s="45">
        <v>24.66</v>
      </c>
      <c r="H13" s="45">
        <v>26.79</v>
      </c>
      <c r="I13" s="71">
        <v>84.88</v>
      </c>
      <c r="J13" s="71">
        <v>84.88</v>
      </c>
      <c r="K13" s="71">
        <v>45.2</v>
      </c>
      <c r="L13" s="71">
        <v>62.87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13">
        <v>12.0</v>
      </c>
      <c r="B14" s="47">
        <v>16.18</v>
      </c>
      <c r="C14" s="47">
        <v>17.26</v>
      </c>
      <c r="D14" s="47">
        <v>18.35</v>
      </c>
      <c r="E14" s="47">
        <v>19.99</v>
      </c>
      <c r="F14" s="47">
        <v>21.64</v>
      </c>
      <c r="G14" s="47">
        <v>25.65</v>
      </c>
      <c r="H14" s="47">
        <v>28.04</v>
      </c>
      <c r="I14" s="72">
        <v>88.52</v>
      </c>
      <c r="J14" s="72">
        <v>88.52</v>
      </c>
      <c r="K14" s="72">
        <v>46.74</v>
      </c>
      <c r="L14" s="72">
        <v>64.6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3">
        <v>13.0</v>
      </c>
      <c r="B15" s="47">
        <v>16.19</v>
      </c>
      <c r="C15" s="47">
        <v>17.34</v>
      </c>
      <c r="D15" s="47">
        <v>18.56</v>
      </c>
      <c r="E15" s="47">
        <v>20.37</v>
      </c>
      <c r="F15" s="47">
        <v>22.31</v>
      </c>
      <c r="G15" s="47">
        <v>27.22</v>
      </c>
      <c r="H15" s="47">
        <v>29.31</v>
      </c>
      <c r="I15" s="72">
        <v>92.19</v>
      </c>
      <c r="J15" s="72">
        <v>92.19</v>
      </c>
      <c r="K15" s="72">
        <v>48.63</v>
      </c>
      <c r="L15" s="72">
        <v>66.69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>
        <v>14.0</v>
      </c>
      <c r="B16" s="47">
        <v>16.86</v>
      </c>
      <c r="C16" s="47">
        <v>17.81</v>
      </c>
      <c r="D16" s="47">
        <v>18.75</v>
      </c>
      <c r="E16" s="47">
        <v>20.87</v>
      </c>
      <c r="F16" s="47">
        <v>23.62</v>
      </c>
      <c r="G16" s="47">
        <v>29.16</v>
      </c>
      <c r="H16" s="47">
        <v>31.87</v>
      </c>
      <c r="I16" s="72">
        <v>96.01</v>
      </c>
      <c r="J16" s="72">
        <v>96.01</v>
      </c>
      <c r="K16" s="72">
        <v>48.64</v>
      </c>
      <c r="L16" s="72">
        <v>66.71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13">
        <v>15.0</v>
      </c>
      <c r="B17" s="49">
        <v>16.87</v>
      </c>
      <c r="C17" s="49">
        <v>18.2</v>
      </c>
      <c r="D17" s="49">
        <v>19.01</v>
      </c>
      <c r="E17" s="49">
        <v>21.61</v>
      </c>
      <c r="F17" s="49">
        <v>24.92</v>
      </c>
      <c r="G17" s="49">
        <v>30.07</v>
      </c>
      <c r="H17" s="49">
        <v>33.18</v>
      </c>
      <c r="I17" s="73">
        <v>99.54</v>
      </c>
      <c r="J17" s="73">
        <v>99.54</v>
      </c>
      <c r="K17" s="73">
        <v>50.02</v>
      </c>
      <c r="L17" s="73">
        <v>67.94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31">
        <v>16.0</v>
      </c>
      <c r="B18" s="51">
        <v>17.3</v>
      </c>
      <c r="C18" s="51">
        <v>18.73</v>
      </c>
      <c r="D18" s="52">
        <v>19.36</v>
      </c>
      <c r="E18" s="52">
        <v>21.98</v>
      </c>
      <c r="F18" s="52">
        <v>25.72</v>
      </c>
      <c r="G18" s="52">
        <v>31.66</v>
      </c>
      <c r="H18" s="52">
        <v>34.83</v>
      </c>
      <c r="I18" s="74">
        <v>103.99</v>
      </c>
      <c r="J18" s="74">
        <v>103.99</v>
      </c>
      <c r="K18" s="75">
        <v>51.7</v>
      </c>
      <c r="L18" s="75">
        <v>70.28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9">
        <v>17.0</v>
      </c>
      <c r="B19" s="54">
        <v>17.42</v>
      </c>
      <c r="C19" s="54">
        <v>19.12</v>
      </c>
      <c r="D19" s="55">
        <v>19.57</v>
      </c>
      <c r="E19" s="55">
        <v>22.6</v>
      </c>
      <c r="F19" s="55">
        <v>26.82</v>
      </c>
      <c r="G19" s="55">
        <v>33.28</v>
      </c>
      <c r="H19" s="55">
        <v>34.84</v>
      </c>
      <c r="I19" s="76">
        <v>108.43</v>
      </c>
      <c r="J19" s="76">
        <v>108.43</v>
      </c>
      <c r="K19" s="77">
        <v>53.08</v>
      </c>
      <c r="L19" s="77">
        <v>72.26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9">
        <v>18.0</v>
      </c>
      <c r="B20" s="54">
        <v>17.6</v>
      </c>
      <c r="C20" s="54">
        <v>19.37</v>
      </c>
      <c r="D20" s="55">
        <v>19.78</v>
      </c>
      <c r="E20" s="55">
        <v>23.69</v>
      </c>
      <c r="F20" s="55">
        <v>28.22</v>
      </c>
      <c r="G20" s="55">
        <v>34.27</v>
      </c>
      <c r="H20" s="55">
        <v>37.56</v>
      </c>
      <c r="I20" s="76">
        <v>112.91</v>
      </c>
      <c r="J20" s="76">
        <v>112.91</v>
      </c>
      <c r="K20" s="77">
        <v>54.96</v>
      </c>
      <c r="L20" s="77">
        <v>74.42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19">
        <v>19.0</v>
      </c>
      <c r="B21" s="54">
        <v>18.08</v>
      </c>
      <c r="C21" s="54">
        <v>20.31</v>
      </c>
      <c r="D21" s="55">
        <v>20.85</v>
      </c>
      <c r="E21" s="55">
        <v>24.81</v>
      </c>
      <c r="F21" s="55">
        <v>29.05</v>
      </c>
      <c r="G21" s="55">
        <v>35.31</v>
      </c>
      <c r="H21" s="55">
        <v>39.36</v>
      </c>
      <c r="I21" s="76">
        <v>117.37</v>
      </c>
      <c r="J21" s="76">
        <v>117.37</v>
      </c>
      <c r="K21" s="77">
        <v>56.68</v>
      </c>
      <c r="L21" s="77">
        <v>76.59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19">
        <v>20.0</v>
      </c>
      <c r="B22" s="57">
        <v>18.21</v>
      </c>
      <c r="C22" s="57">
        <v>20.48</v>
      </c>
      <c r="D22" s="58">
        <v>20.96</v>
      </c>
      <c r="E22" s="58">
        <v>25.79</v>
      </c>
      <c r="F22" s="58">
        <v>30.04</v>
      </c>
      <c r="G22" s="58">
        <v>36.62</v>
      </c>
      <c r="H22" s="58">
        <v>40.79</v>
      </c>
      <c r="I22" s="78">
        <v>121.29</v>
      </c>
      <c r="J22" s="78">
        <v>121.29</v>
      </c>
      <c r="K22" s="79">
        <v>58.09</v>
      </c>
      <c r="L22" s="79">
        <v>78.66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32">
        <v>21.0</v>
      </c>
      <c r="B23" s="45">
        <v>18.88</v>
      </c>
      <c r="C23" s="45">
        <v>21.28</v>
      </c>
      <c r="D23" s="45">
        <v>22.08</v>
      </c>
      <c r="E23" s="45">
        <v>26.09</v>
      </c>
      <c r="F23" s="45">
        <v>30.98</v>
      </c>
      <c r="G23" s="45">
        <v>37.64</v>
      </c>
      <c r="H23" s="45">
        <v>42.04</v>
      </c>
      <c r="I23" s="71">
        <v>124.07</v>
      </c>
      <c r="J23" s="71">
        <v>124.07</v>
      </c>
      <c r="K23" s="71">
        <v>59.37</v>
      </c>
      <c r="L23" s="71">
        <v>80.67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13">
        <v>22.0</v>
      </c>
      <c r="B24" s="47">
        <v>18.93</v>
      </c>
      <c r="C24" s="47">
        <v>21.49</v>
      </c>
      <c r="D24" s="47">
        <v>22.67</v>
      </c>
      <c r="E24" s="47">
        <v>26.81</v>
      </c>
      <c r="F24" s="47">
        <v>32.24</v>
      </c>
      <c r="G24" s="47">
        <v>39.03</v>
      </c>
      <c r="H24" s="47">
        <v>43.89</v>
      </c>
      <c r="I24" s="72">
        <v>127.95</v>
      </c>
      <c r="J24" s="72">
        <v>127.95</v>
      </c>
      <c r="K24" s="72">
        <v>61.17</v>
      </c>
      <c r="L24" s="72">
        <v>83.01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13">
        <v>23.0</v>
      </c>
      <c r="B25" s="47">
        <v>19.0</v>
      </c>
      <c r="C25" s="47">
        <v>21.91</v>
      </c>
      <c r="D25" s="47">
        <v>23.17</v>
      </c>
      <c r="E25" s="47">
        <v>27.31</v>
      </c>
      <c r="F25" s="47">
        <v>33.46</v>
      </c>
      <c r="G25" s="47">
        <v>39.97</v>
      </c>
      <c r="H25" s="47">
        <v>45.62</v>
      </c>
      <c r="I25" s="72">
        <v>131.81</v>
      </c>
      <c r="J25" s="72">
        <v>131.81</v>
      </c>
      <c r="K25" s="72">
        <v>62.68</v>
      </c>
      <c r="L25" s="72">
        <v>85.08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13">
        <v>24.0</v>
      </c>
      <c r="B26" s="47">
        <v>19.52</v>
      </c>
      <c r="C26" s="47">
        <v>22.79</v>
      </c>
      <c r="D26" s="47">
        <v>24.37</v>
      </c>
      <c r="E26" s="47">
        <v>28.77</v>
      </c>
      <c r="F26" s="47">
        <v>35.05</v>
      </c>
      <c r="G26" s="47">
        <v>41.31</v>
      </c>
      <c r="H26" s="47">
        <v>48.24</v>
      </c>
      <c r="I26" s="72">
        <v>136.14</v>
      </c>
      <c r="J26" s="72">
        <v>136.14</v>
      </c>
      <c r="K26" s="72">
        <v>64.29</v>
      </c>
      <c r="L26" s="72">
        <v>87.15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16">
        <v>25.0</v>
      </c>
      <c r="B27" s="49">
        <v>19.59</v>
      </c>
      <c r="C27" s="49">
        <v>22.88</v>
      </c>
      <c r="D27" s="49">
        <v>24.48</v>
      </c>
      <c r="E27" s="49">
        <v>29.32</v>
      </c>
      <c r="F27" s="49">
        <v>36.07</v>
      </c>
      <c r="G27" s="49">
        <v>43.59</v>
      </c>
      <c r="H27" s="49">
        <v>49.72</v>
      </c>
      <c r="I27" s="73">
        <v>140.35</v>
      </c>
      <c r="J27" s="73">
        <v>140.35</v>
      </c>
      <c r="K27" s="73">
        <v>65.54</v>
      </c>
      <c r="L27" s="73">
        <v>89.24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19">
        <v>26.0</v>
      </c>
      <c r="B28" s="51">
        <v>20.53</v>
      </c>
      <c r="C28" s="51">
        <v>23.66</v>
      </c>
      <c r="D28" s="52">
        <v>25.51</v>
      </c>
      <c r="E28" s="52">
        <v>30.52</v>
      </c>
      <c r="F28" s="52">
        <v>37.38</v>
      </c>
      <c r="G28" s="52">
        <v>45.37</v>
      </c>
      <c r="H28" s="52">
        <v>51.78</v>
      </c>
      <c r="I28" s="74">
        <v>144.79</v>
      </c>
      <c r="J28" s="74">
        <v>144.79</v>
      </c>
      <c r="K28" s="75">
        <v>67.09</v>
      </c>
      <c r="L28" s="75">
        <v>91.7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3">
        <v>27.0</v>
      </c>
      <c r="B29" s="54">
        <v>21.1</v>
      </c>
      <c r="C29" s="54">
        <v>24.23</v>
      </c>
      <c r="D29" s="55">
        <v>26.02</v>
      </c>
      <c r="E29" s="55">
        <v>31.02</v>
      </c>
      <c r="F29" s="55">
        <v>38.89</v>
      </c>
      <c r="G29" s="55">
        <v>46.21</v>
      </c>
      <c r="H29" s="55">
        <v>52.65</v>
      </c>
      <c r="I29" s="76">
        <v>148.81</v>
      </c>
      <c r="J29" s="76">
        <v>148.81</v>
      </c>
      <c r="K29" s="77">
        <v>68.97</v>
      </c>
      <c r="L29" s="77">
        <v>93.95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3">
        <v>28.0</v>
      </c>
      <c r="B30" s="54">
        <v>21.6</v>
      </c>
      <c r="C30" s="54">
        <v>24.81</v>
      </c>
      <c r="D30" s="55">
        <v>27.22</v>
      </c>
      <c r="E30" s="55">
        <v>32.84</v>
      </c>
      <c r="F30" s="55">
        <v>40.79</v>
      </c>
      <c r="G30" s="55">
        <v>48.28</v>
      </c>
      <c r="H30" s="55">
        <v>54.66</v>
      </c>
      <c r="I30" s="76">
        <v>152.81</v>
      </c>
      <c r="J30" s="76">
        <v>152.81</v>
      </c>
      <c r="K30" s="77">
        <v>70.63</v>
      </c>
      <c r="L30" s="77">
        <v>96.27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>
        <v>29.0</v>
      </c>
      <c r="B31" s="54">
        <v>21.64</v>
      </c>
      <c r="C31" s="54">
        <v>25.28</v>
      </c>
      <c r="D31" s="55">
        <v>27.47</v>
      </c>
      <c r="E31" s="55">
        <v>32.86</v>
      </c>
      <c r="F31" s="55">
        <v>41.95</v>
      </c>
      <c r="G31" s="55">
        <v>49.38</v>
      </c>
      <c r="H31" s="55">
        <v>56.12</v>
      </c>
      <c r="I31" s="76">
        <v>156.57</v>
      </c>
      <c r="J31" s="76">
        <v>156.57</v>
      </c>
      <c r="K31" s="77">
        <v>72.27</v>
      </c>
      <c r="L31" s="77">
        <v>98.5</v>
      </c>
    </row>
    <row r="32" ht="12.75" customHeight="1">
      <c r="A32" s="23">
        <v>30.0</v>
      </c>
      <c r="B32" s="57">
        <v>21.86</v>
      </c>
      <c r="C32" s="57">
        <v>25.88</v>
      </c>
      <c r="D32" s="58">
        <v>28.51</v>
      </c>
      <c r="E32" s="58">
        <v>34.15</v>
      </c>
      <c r="F32" s="58">
        <v>42.63</v>
      </c>
      <c r="G32" s="58">
        <v>49.63</v>
      </c>
      <c r="H32" s="58">
        <v>58.45</v>
      </c>
      <c r="I32" s="78">
        <v>160.32</v>
      </c>
      <c r="J32" s="78">
        <v>160.32</v>
      </c>
      <c r="K32" s="79">
        <v>73.91</v>
      </c>
      <c r="L32" s="79">
        <v>100.77</v>
      </c>
    </row>
    <row r="33" ht="12.75" customHeight="1">
      <c r="A33" s="9">
        <v>31.0</v>
      </c>
      <c r="B33" s="45">
        <v>22.8</v>
      </c>
      <c r="C33" s="45">
        <v>26.46</v>
      </c>
      <c r="D33" s="45">
        <v>29.09</v>
      </c>
      <c r="E33" s="45">
        <v>34.59</v>
      </c>
      <c r="F33" s="45">
        <v>43.87</v>
      </c>
      <c r="G33" s="45">
        <v>51.47</v>
      </c>
      <c r="H33" s="45">
        <v>60.32</v>
      </c>
      <c r="I33" s="71">
        <v>160.33</v>
      </c>
      <c r="J33" s="71">
        <v>160.33</v>
      </c>
      <c r="K33" s="71">
        <v>75.29</v>
      </c>
      <c r="L33" s="71">
        <v>103.18</v>
      </c>
    </row>
    <row r="34" ht="12.75" customHeight="1">
      <c r="A34" s="33">
        <v>32.0</v>
      </c>
      <c r="B34" s="47">
        <v>22.81</v>
      </c>
      <c r="C34" s="47">
        <v>26.47</v>
      </c>
      <c r="D34" s="47">
        <v>29.1</v>
      </c>
      <c r="E34" s="47">
        <v>34.6</v>
      </c>
      <c r="F34" s="47">
        <v>43.88</v>
      </c>
      <c r="G34" s="47">
        <v>51.48</v>
      </c>
      <c r="H34" s="47">
        <v>60.98</v>
      </c>
      <c r="I34" s="72">
        <v>160.88</v>
      </c>
      <c r="J34" s="72">
        <v>160.88</v>
      </c>
      <c r="K34" s="72">
        <v>76.91</v>
      </c>
      <c r="L34" s="72">
        <v>105.48</v>
      </c>
    </row>
    <row r="35" ht="12.75" customHeight="1">
      <c r="A35" s="33">
        <v>33.0</v>
      </c>
      <c r="B35" s="47">
        <v>22.94</v>
      </c>
      <c r="C35" s="47">
        <v>26.86</v>
      </c>
      <c r="D35" s="47">
        <v>30.41</v>
      </c>
      <c r="E35" s="47">
        <v>36.22</v>
      </c>
      <c r="F35" s="47">
        <v>46.64</v>
      </c>
      <c r="G35" s="47">
        <v>53.18</v>
      </c>
      <c r="H35" s="47">
        <v>62.63</v>
      </c>
      <c r="I35" s="72">
        <v>164.25</v>
      </c>
      <c r="J35" s="72">
        <v>164.25</v>
      </c>
      <c r="K35" s="72">
        <v>78.83</v>
      </c>
      <c r="L35" s="72">
        <v>107.75</v>
      </c>
    </row>
    <row r="36" ht="12.75" customHeight="1">
      <c r="A36" s="33">
        <v>34.0</v>
      </c>
      <c r="B36" s="47">
        <v>23.08</v>
      </c>
      <c r="C36" s="47">
        <v>27.46</v>
      </c>
      <c r="D36" s="47">
        <v>31.37</v>
      </c>
      <c r="E36" s="47">
        <v>37.49</v>
      </c>
      <c r="F36" s="47">
        <v>46.65</v>
      </c>
      <c r="G36" s="47">
        <v>54.77</v>
      </c>
      <c r="H36" s="47">
        <v>65.63</v>
      </c>
      <c r="I36" s="72">
        <v>167.94</v>
      </c>
      <c r="J36" s="72">
        <v>167.94</v>
      </c>
      <c r="K36" s="72">
        <v>80.32</v>
      </c>
      <c r="L36" s="72">
        <v>109.99</v>
      </c>
    </row>
    <row r="37" ht="12.75" customHeight="1">
      <c r="A37" s="16">
        <v>35.0</v>
      </c>
      <c r="B37" s="49">
        <v>23.51</v>
      </c>
      <c r="C37" s="49">
        <v>28.92</v>
      </c>
      <c r="D37" s="49">
        <v>32.41</v>
      </c>
      <c r="E37" s="49">
        <v>38.39</v>
      </c>
      <c r="F37" s="49">
        <v>47.45</v>
      </c>
      <c r="G37" s="49">
        <v>56.18</v>
      </c>
      <c r="H37" s="49">
        <v>66.1</v>
      </c>
      <c r="I37" s="73">
        <v>172.1</v>
      </c>
      <c r="J37" s="73">
        <v>172.1</v>
      </c>
      <c r="K37" s="73">
        <v>81.86</v>
      </c>
      <c r="L37" s="73">
        <v>111.45</v>
      </c>
    </row>
    <row r="38" ht="12.75" customHeight="1">
      <c r="A38" s="5">
        <v>36.0</v>
      </c>
      <c r="B38" s="60">
        <v>23.86</v>
      </c>
      <c r="C38" s="60">
        <v>28.93</v>
      </c>
      <c r="D38" s="60">
        <v>32.66</v>
      </c>
      <c r="E38" s="60">
        <v>39.34</v>
      </c>
      <c r="F38" s="60">
        <v>49.44</v>
      </c>
      <c r="G38" s="60">
        <v>58.09</v>
      </c>
      <c r="H38" s="60">
        <v>68.69</v>
      </c>
      <c r="I38" s="60">
        <v>175.77</v>
      </c>
      <c r="J38" s="60">
        <v>175.77</v>
      </c>
      <c r="K38" s="60">
        <v>83.36</v>
      </c>
      <c r="L38" s="60">
        <v>114.04</v>
      </c>
    </row>
    <row r="39" ht="12.75" customHeight="1">
      <c r="A39" s="9">
        <v>37.0</v>
      </c>
      <c r="B39" s="45">
        <v>24.22</v>
      </c>
      <c r="C39" s="45">
        <v>29.32</v>
      </c>
      <c r="D39" s="45">
        <v>33.0</v>
      </c>
      <c r="E39" s="45">
        <v>40.21</v>
      </c>
      <c r="F39" s="45">
        <v>49.66</v>
      </c>
      <c r="G39" s="45">
        <v>59.97</v>
      </c>
      <c r="H39" s="45">
        <v>69.37</v>
      </c>
      <c r="I39" s="10">
        <v>179.8</v>
      </c>
      <c r="J39" s="10">
        <v>179.8</v>
      </c>
      <c r="K39" s="10">
        <v>85.24</v>
      </c>
      <c r="L39" s="10">
        <v>116.36</v>
      </c>
    </row>
    <row r="40" ht="12.75" customHeight="1">
      <c r="A40" s="13">
        <v>38.0</v>
      </c>
      <c r="B40" s="47">
        <v>24.6</v>
      </c>
      <c r="C40" s="47">
        <v>29.76</v>
      </c>
      <c r="D40" s="47">
        <v>34.06</v>
      </c>
      <c r="E40" s="47">
        <v>41.18</v>
      </c>
      <c r="F40" s="47">
        <v>50.78</v>
      </c>
      <c r="G40" s="47">
        <v>60.2</v>
      </c>
      <c r="H40" s="47">
        <v>70.66</v>
      </c>
      <c r="I40" s="14">
        <v>184.1</v>
      </c>
      <c r="J40" s="14">
        <v>184.1</v>
      </c>
      <c r="K40" s="14">
        <v>86.79</v>
      </c>
      <c r="L40" s="14">
        <v>118.36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13">
        <v>39.0</v>
      </c>
      <c r="B41" s="47">
        <v>25.42</v>
      </c>
      <c r="C41" s="47">
        <v>30.92</v>
      </c>
      <c r="D41" s="47">
        <v>35.52</v>
      </c>
      <c r="E41" s="47">
        <v>42.45</v>
      </c>
      <c r="F41" s="47">
        <v>53.09</v>
      </c>
      <c r="G41" s="47">
        <v>62.57</v>
      </c>
      <c r="H41" s="47">
        <v>72.11</v>
      </c>
      <c r="I41" s="14">
        <v>188.07</v>
      </c>
      <c r="J41" s="14">
        <v>188.07</v>
      </c>
      <c r="K41" s="14">
        <v>88.77</v>
      </c>
      <c r="L41" s="14">
        <v>120.26</v>
      </c>
    </row>
    <row r="42" ht="12.75" customHeight="1">
      <c r="A42" s="16">
        <v>40.0</v>
      </c>
      <c r="B42" s="49">
        <v>25.44</v>
      </c>
      <c r="C42" s="49">
        <v>31.04</v>
      </c>
      <c r="D42" s="49">
        <v>35.53</v>
      </c>
      <c r="E42" s="49">
        <v>42.46</v>
      </c>
      <c r="F42" s="49">
        <v>53.16</v>
      </c>
      <c r="G42" s="49">
        <v>62.58</v>
      </c>
      <c r="H42" s="49">
        <v>72.13</v>
      </c>
      <c r="I42" s="17">
        <v>192.09</v>
      </c>
      <c r="J42" s="17">
        <v>192.09</v>
      </c>
      <c r="K42" s="17">
        <v>90.26</v>
      </c>
      <c r="L42" s="17">
        <v>122.57</v>
      </c>
    </row>
    <row r="43" ht="12.75" customHeight="1">
      <c r="A43" s="19">
        <v>41.0</v>
      </c>
      <c r="B43" s="51">
        <v>26.01</v>
      </c>
      <c r="C43" s="51">
        <v>32.38</v>
      </c>
      <c r="D43" s="52">
        <v>36.56</v>
      </c>
      <c r="E43" s="52">
        <v>43.97</v>
      </c>
      <c r="F43" s="52">
        <v>55.37</v>
      </c>
      <c r="G43" s="52">
        <v>64.51</v>
      </c>
      <c r="H43" s="52">
        <v>74.85</v>
      </c>
      <c r="I43" s="20">
        <v>195.41</v>
      </c>
      <c r="J43" s="20">
        <v>195.41</v>
      </c>
      <c r="K43" s="21">
        <v>91.82</v>
      </c>
      <c r="L43" s="21">
        <v>124.65</v>
      </c>
    </row>
    <row r="44" ht="12.75" customHeight="1">
      <c r="A44" s="23">
        <v>42.0</v>
      </c>
      <c r="B44" s="54">
        <v>26.02</v>
      </c>
      <c r="C44" s="54">
        <v>32.5</v>
      </c>
      <c r="D44" s="55">
        <v>37.98</v>
      </c>
      <c r="E44" s="55">
        <v>44.11</v>
      </c>
      <c r="F44" s="55">
        <v>55.62</v>
      </c>
      <c r="G44" s="55">
        <v>65.61</v>
      </c>
      <c r="H44" s="55">
        <v>75.23</v>
      </c>
      <c r="I44" s="24">
        <v>199.1</v>
      </c>
      <c r="J44" s="24">
        <v>199.1</v>
      </c>
      <c r="K44" s="25">
        <v>93.28</v>
      </c>
      <c r="L44" s="25">
        <v>126.5</v>
      </c>
    </row>
    <row r="45" ht="12.75" customHeight="1">
      <c r="A45" s="19">
        <v>43.0</v>
      </c>
      <c r="B45" s="54">
        <v>26.52</v>
      </c>
      <c r="C45" s="54">
        <v>32.96</v>
      </c>
      <c r="D45" s="55">
        <v>38.04</v>
      </c>
      <c r="E45" s="55">
        <v>46.36</v>
      </c>
      <c r="F45" s="55">
        <v>58.64</v>
      </c>
      <c r="G45" s="55">
        <v>67.99</v>
      </c>
      <c r="H45" s="55">
        <v>77.28</v>
      </c>
      <c r="I45" s="24">
        <v>203.16</v>
      </c>
      <c r="J45" s="24">
        <v>203.16</v>
      </c>
      <c r="K45" s="25">
        <v>95.01</v>
      </c>
      <c r="L45" s="25">
        <v>128.65</v>
      </c>
    </row>
    <row r="46" ht="12.75" customHeight="1">
      <c r="A46" s="19">
        <v>44.0</v>
      </c>
      <c r="B46" s="54">
        <v>26.88</v>
      </c>
      <c r="C46" s="54">
        <v>33.46</v>
      </c>
      <c r="D46" s="55">
        <v>39.02</v>
      </c>
      <c r="E46" s="55">
        <v>47.19</v>
      </c>
      <c r="F46" s="55">
        <v>58.98</v>
      </c>
      <c r="G46" s="55">
        <v>70.1</v>
      </c>
      <c r="H46" s="55">
        <v>78.08</v>
      </c>
      <c r="I46" s="24">
        <v>206.07</v>
      </c>
      <c r="J46" s="24">
        <v>206.07</v>
      </c>
      <c r="K46" s="25">
        <v>96.23</v>
      </c>
      <c r="L46" s="25">
        <v>130.29</v>
      </c>
    </row>
    <row r="47" ht="12.75" customHeight="1">
      <c r="A47" s="27">
        <v>45.0</v>
      </c>
      <c r="B47" s="57">
        <v>26.93</v>
      </c>
      <c r="C47" s="57">
        <v>33.47</v>
      </c>
      <c r="D47" s="58">
        <v>39.03</v>
      </c>
      <c r="E47" s="58">
        <v>47.2</v>
      </c>
      <c r="F47" s="58">
        <v>59.0</v>
      </c>
      <c r="G47" s="58">
        <v>71.47</v>
      </c>
      <c r="H47" s="58">
        <v>78.63</v>
      </c>
      <c r="I47" s="28">
        <v>210.04</v>
      </c>
      <c r="J47" s="28">
        <v>210.04</v>
      </c>
      <c r="K47" s="29">
        <v>98.04</v>
      </c>
      <c r="L47" s="29">
        <v>132.73</v>
      </c>
    </row>
    <row r="48" ht="12.75" customHeight="1">
      <c r="A48" s="13">
        <v>46.0</v>
      </c>
      <c r="B48" s="45">
        <v>27.63</v>
      </c>
      <c r="C48" s="45">
        <v>33.82</v>
      </c>
      <c r="D48" s="45">
        <v>40.27</v>
      </c>
      <c r="E48" s="45">
        <v>48.1</v>
      </c>
      <c r="F48" s="45">
        <v>60.56</v>
      </c>
      <c r="G48" s="45">
        <v>72.24</v>
      </c>
      <c r="H48" s="45">
        <v>80.72</v>
      </c>
      <c r="I48" s="10">
        <v>214.08</v>
      </c>
      <c r="J48" s="10">
        <v>214.08</v>
      </c>
      <c r="K48" s="10">
        <v>99.63</v>
      </c>
      <c r="L48" s="10">
        <v>134.61</v>
      </c>
    </row>
    <row r="49" ht="12.75" customHeight="1">
      <c r="A49" s="13">
        <v>47.0</v>
      </c>
      <c r="B49" s="47">
        <v>27.64</v>
      </c>
      <c r="C49" s="47">
        <v>34.58</v>
      </c>
      <c r="D49" s="47">
        <v>40.92</v>
      </c>
      <c r="E49" s="47">
        <v>48.44</v>
      </c>
      <c r="F49" s="47">
        <v>61.38</v>
      </c>
      <c r="G49" s="47">
        <v>73.64</v>
      </c>
      <c r="H49" s="47">
        <v>82.02</v>
      </c>
      <c r="I49" s="14">
        <v>218.18</v>
      </c>
      <c r="J49" s="14">
        <v>218.18</v>
      </c>
      <c r="K49" s="14">
        <v>101.17</v>
      </c>
      <c r="L49" s="14">
        <v>136.71</v>
      </c>
    </row>
    <row r="50" ht="12.75" customHeight="1">
      <c r="A50" s="13">
        <v>48.0</v>
      </c>
      <c r="B50" s="47">
        <v>27.65</v>
      </c>
      <c r="C50" s="47">
        <v>34.59</v>
      </c>
      <c r="D50" s="47">
        <v>41.39</v>
      </c>
      <c r="E50" s="47">
        <v>50.19</v>
      </c>
      <c r="F50" s="47">
        <v>62.29</v>
      </c>
      <c r="G50" s="47">
        <v>74.32</v>
      </c>
      <c r="H50" s="47">
        <v>83.32</v>
      </c>
      <c r="I50" s="14">
        <v>221.93</v>
      </c>
      <c r="J50" s="14">
        <v>221.93</v>
      </c>
      <c r="K50" s="14">
        <v>102.49</v>
      </c>
      <c r="L50" s="14">
        <v>138.75</v>
      </c>
    </row>
    <row r="51" ht="12.75" customHeight="1">
      <c r="A51" s="13">
        <v>49.0</v>
      </c>
      <c r="B51" s="47">
        <v>27.66</v>
      </c>
      <c r="C51" s="47">
        <v>34.6</v>
      </c>
      <c r="D51" s="47">
        <v>41.4</v>
      </c>
      <c r="E51" s="47">
        <v>50.2</v>
      </c>
      <c r="F51" s="47">
        <v>62.76</v>
      </c>
      <c r="G51" s="47">
        <v>75.81</v>
      </c>
      <c r="H51" s="47">
        <v>83.81</v>
      </c>
      <c r="I51" s="14">
        <v>225.72</v>
      </c>
      <c r="J51" s="14">
        <v>225.72</v>
      </c>
      <c r="K51" s="14">
        <v>104.2</v>
      </c>
      <c r="L51" s="14">
        <v>140.67</v>
      </c>
    </row>
    <row r="52" ht="12.75" customHeight="1">
      <c r="A52" s="13">
        <v>50.0</v>
      </c>
      <c r="B52" s="49">
        <v>27.67</v>
      </c>
      <c r="C52" s="49">
        <v>34.61</v>
      </c>
      <c r="D52" s="49">
        <v>41.42</v>
      </c>
      <c r="E52" s="49">
        <v>50.24</v>
      </c>
      <c r="F52" s="49">
        <v>63.3</v>
      </c>
      <c r="G52" s="49">
        <v>76.47</v>
      </c>
      <c r="H52" s="49">
        <v>84.99</v>
      </c>
      <c r="I52" s="17">
        <v>229.51</v>
      </c>
      <c r="J52" s="17">
        <v>229.51</v>
      </c>
      <c r="K52" s="17">
        <v>105.92</v>
      </c>
      <c r="L52" s="17">
        <v>142.91</v>
      </c>
    </row>
    <row r="53" ht="12.75" customHeight="1">
      <c r="A53" s="31">
        <v>51.0</v>
      </c>
      <c r="B53" s="51">
        <v>27.68</v>
      </c>
      <c r="C53" s="51">
        <v>34.62</v>
      </c>
      <c r="D53" s="52">
        <v>41.62</v>
      </c>
      <c r="E53" s="52">
        <v>50.48</v>
      </c>
      <c r="F53" s="52">
        <v>64.09</v>
      </c>
      <c r="G53" s="52">
        <v>77.42</v>
      </c>
      <c r="H53" s="52">
        <v>86.95</v>
      </c>
      <c r="I53" s="52">
        <v>235.5</v>
      </c>
      <c r="J53" s="52">
        <v>235.5</v>
      </c>
      <c r="K53" s="53">
        <v>109.15</v>
      </c>
      <c r="L53" s="80">
        <v>145.9</v>
      </c>
    </row>
    <row r="54" ht="12.75" customHeight="1">
      <c r="A54" s="19">
        <v>52.0</v>
      </c>
      <c r="B54" s="54">
        <v>27.69</v>
      </c>
      <c r="C54" s="54">
        <v>34.63</v>
      </c>
      <c r="D54" s="55">
        <v>41.64</v>
      </c>
      <c r="E54" s="55">
        <v>50.51</v>
      </c>
      <c r="F54" s="55">
        <v>64.1</v>
      </c>
      <c r="G54" s="55">
        <v>77.44</v>
      </c>
      <c r="H54" s="55">
        <v>86.96</v>
      </c>
      <c r="I54" s="55">
        <v>235.98</v>
      </c>
      <c r="J54" s="55">
        <v>235.98</v>
      </c>
      <c r="K54" s="56">
        <v>109.16</v>
      </c>
      <c r="L54" s="80">
        <v>145.93</v>
      </c>
    </row>
    <row r="55" ht="12.75" customHeight="1">
      <c r="A55" s="19">
        <v>53.0</v>
      </c>
      <c r="B55" s="54">
        <v>27.7</v>
      </c>
      <c r="C55" s="54">
        <v>34.64</v>
      </c>
      <c r="D55" s="55">
        <v>41.66</v>
      </c>
      <c r="E55" s="55">
        <v>51.01</v>
      </c>
      <c r="F55" s="55">
        <v>64.11</v>
      </c>
      <c r="G55" s="55">
        <v>77.45</v>
      </c>
      <c r="H55" s="55">
        <v>87.81</v>
      </c>
      <c r="I55" s="55">
        <v>239.55</v>
      </c>
      <c r="J55" s="55">
        <v>239.55</v>
      </c>
      <c r="K55" s="56">
        <v>112.18</v>
      </c>
      <c r="L55" s="80">
        <v>148.71</v>
      </c>
    </row>
    <row r="56" ht="12.75" customHeight="1">
      <c r="A56" s="19">
        <v>54.0</v>
      </c>
      <c r="B56" s="54">
        <v>27.71</v>
      </c>
      <c r="C56" s="54">
        <v>34.65</v>
      </c>
      <c r="D56" s="55">
        <v>41.72</v>
      </c>
      <c r="E56" s="55">
        <v>51.1</v>
      </c>
      <c r="F56" s="55">
        <v>64.13</v>
      </c>
      <c r="G56" s="55">
        <v>77.46</v>
      </c>
      <c r="H56" s="55">
        <v>87.82</v>
      </c>
      <c r="I56" s="55">
        <v>242.94</v>
      </c>
      <c r="J56" s="55">
        <v>242.94</v>
      </c>
      <c r="K56" s="56">
        <v>112.2</v>
      </c>
      <c r="L56" s="80">
        <v>148.74</v>
      </c>
    </row>
    <row r="57" ht="12.75" customHeight="1">
      <c r="A57" s="19">
        <v>55.0</v>
      </c>
      <c r="B57" s="57">
        <v>27.72</v>
      </c>
      <c r="C57" s="57">
        <v>34.66</v>
      </c>
      <c r="D57" s="58">
        <v>41.73</v>
      </c>
      <c r="E57" s="58">
        <v>51.11</v>
      </c>
      <c r="F57" s="58">
        <v>64.14</v>
      </c>
      <c r="G57" s="58">
        <v>77.47</v>
      </c>
      <c r="H57" s="58">
        <v>87.83</v>
      </c>
      <c r="I57" s="58">
        <v>246.21</v>
      </c>
      <c r="J57" s="58">
        <v>246.21</v>
      </c>
      <c r="K57" s="59">
        <v>114.81</v>
      </c>
      <c r="L57" s="81">
        <v>151.79</v>
      </c>
    </row>
    <row r="58" ht="12.75" customHeight="1">
      <c r="A58" s="32">
        <v>56.0</v>
      </c>
      <c r="B58" s="45">
        <v>27.74</v>
      </c>
      <c r="C58" s="45">
        <v>34.68</v>
      </c>
      <c r="D58" s="45">
        <v>41.74</v>
      </c>
      <c r="E58" s="45">
        <v>51.12</v>
      </c>
      <c r="F58" s="45">
        <v>64.16</v>
      </c>
      <c r="G58" s="45">
        <v>77.49</v>
      </c>
      <c r="H58" s="45">
        <v>88.93</v>
      </c>
      <c r="I58" s="45">
        <v>249.53</v>
      </c>
      <c r="J58" s="45">
        <v>249.53</v>
      </c>
      <c r="K58" s="46">
        <v>114.82</v>
      </c>
      <c r="L58" s="82">
        <v>151.8</v>
      </c>
    </row>
    <row r="59" ht="12.75" customHeight="1">
      <c r="A59" s="13">
        <v>57.0</v>
      </c>
      <c r="B59" s="47">
        <v>28.24</v>
      </c>
      <c r="C59" s="47">
        <v>34.86</v>
      </c>
      <c r="D59" s="47">
        <v>41.75</v>
      </c>
      <c r="E59" s="47">
        <v>52.65</v>
      </c>
      <c r="F59" s="47">
        <v>64.18</v>
      </c>
      <c r="G59" s="47">
        <v>77.51</v>
      </c>
      <c r="H59" s="47">
        <v>89.83</v>
      </c>
      <c r="I59" s="47">
        <v>252.97</v>
      </c>
      <c r="J59" s="47">
        <v>252.97</v>
      </c>
      <c r="K59" s="48">
        <v>116.94</v>
      </c>
      <c r="L59" s="82">
        <v>154.87</v>
      </c>
    </row>
    <row r="60" ht="12.75" customHeight="1">
      <c r="A60" s="13">
        <v>58.0</v>
      </c>
      <c r="B60" s="47">
        <v>28.25</v>
      </c>
      <c r="C60" s="47">
        <v>34.87</v>
      </c>
      <c r="D60" s="47">
        <v>41.77</v>
      </c>
      <c r="E60" s="47">
        <v>52.67</v>
      </c>
      <c r="F60" s="47">
        <v>64.19</v>
      </c>
      <c r="G60" s="47">
        <v>77.52</v>
      </c>
      <c r="H60" s="47">
        <v>90.62</v>
      </c>
      <c r="I60" s="47">
        <v>256.28</v>
      </c>
      <c r="J60" s="47">
        <v>256.28</v>
      </c>
      <c r="K60" s="48">
        <v>126.57</v>
      </c>
      <c r="L60" s="82">
        <v>154.88</v>
      </c>
    </row>
    <row r="61" ht="12.75" customHeight="1">
      <c r="A61" s="13">
        <v>59.0</v>
      </c>
      <c r="B61" s="47">
        <v>28.27</v>
      </c>
      <c r="C61" s="47">
        <v>34.9</v>
      </c>
      <c r="D61" s="47">
        <v>42.06</v>
      </c>
      <c r="E61" s="47">
        <v>52.7</v>
      </c>
      <c r="F61" s="47">
        <v>64.64</v>
      </c>
      <c r="G61" s="47">
        <v>77.53</v>
      </c>
      <c r="H61" s="47">
        <v>92.13</v>
      </c>
      <c r="I61" s="47">
        <v>260.17</v>
      </c>
      <c r="J61" s="47">
        <v>260.17</v>
      </c>
      <c r="K61" s="48">
        <v>126.58</v>
      </c>
      <c r="L61" s="82">
        <v>157.6</v>
      </c>
    </row>
    <row r="62" ht="12.75" customHeight="1">
      <c r="A62" s="16">
        <v>60.0</v>
      </c>
      <c r="B62" s="49">
        <v>29.05</v>
      </c>
      <c r="C62" s="49">
        <v>36.25</v>
      </c>
      <c r="D62" s="49">
        <v>42.78</v>
      </c>
      <c r="E62" s="49">
        <v>54.56</v>
      </c>
      <c r="F62" s="49">
        <v>65.84</v>
      </c>
      <c r="G62" s="49">
        <v>77.81</v>
      </c>
      <c r="H62" s="49">
        <v>92.69</v>
      </c>
      <c r="I62" s="49">
        <v>264.23</v>
      </c>
      <c r="J62" s="49">
        <v>264.23</v>
      </c>
      <c r="K62" s="50">
        <v>126.59</v>
      </c>
      <c r="L62" s="83">
        <v>157.62</v>
      </c>
    </row>
    <row r="63" ht="12.75" customHeight="1">
      <c r="A63" s="19">
        <v>61.0</v>
      </c>
      <c r="B63" s="51">
        <v>29.06</v>
      </c>
      <c r="C63" s="51">
        <v>36.35</v>
      </c>
      <c r="D63" s="52">
        <v>43.2</v>
      </c>
      <c r="E63" s="52">
        <v>54.69</v>
      </c>
      <c r="F63" s="52">
        <v>65.85</v>
      </c>
      <c r="G63" s="52">
        <v>77.82</v>
      </c>
      <c r="H63" s="52">
        <v>92.7</v>
      </c>
      <c r="I63" s="52">
        <v>267.49</v>
      </c>
      <c r="J63" s="52">
        <v>267.49</v>
      </c>
      <c r="K63" s="53">
        <v>126.6</v>
      </c>
      <c r="L63" s="80">
        <v>161.0</v>
      </c>
    </row>
    <row r="64" ht="12.75" customHeight="1">
      <c r="A64" s="23">
        <v>62.0</v>
      </c>
      <c r="B64" s="54">
        <v>30.25</v>
      </c>
      <c r="C64" s="54">
        <v>38.94</v>
      </c>
      <c r="D64" s="55">
        <v>43.9</v>
      </c>
      <c r="E64" s="55">
        <v>56.23</v>
      </c>
      <c r="F64" s="55">
        <v>66.86</v>
      </c>
      <c r="G64" s="55">
        <v>79.01</v>
      </c>
      <c r="H64" s="55">
        <v>93.83</v>
      </c>
      <c r="I64" s="55">
        <v>271.88</v>
      </c>
      <c r="J64" s="55">
        <v>271.88</v>
      </c>
      <c r="K64" s="56">
        <v>126.62</v>
      </c>
      <c r="L64" s="80">
        <v>161.01</v>
      </c>
    </row>
    <row r="65" ht="12.75" customHeight="1">
      <c r="A65" s="23">
        <v>63.0</v>
      </c>
      <c r="B65" s="54">
        <v>30.26</v>
      </c>
      <c r="C65" s="54">
        <v>38.95</v>
      </c>
      <c r="D65" s="55">
        <v>44.32</v>
      </c>
      <c r="E65" s="55">
        <v>56.26</v>
      </c>
      <c r="F65" s="55">
        <v>67.32</v>
      </c>
      <c r="G65" s="55">
        <v>79.66</v>
      </c>
      <c r="H65" s="55">
        <v>94.4</v>
      </c>
      <c r="I65" s="55">
        <v>276.34</v>
      </c>
      <c r="J65" s="55">
        <v>276.34</v>
      </c>
      <c r="K65" s="56">
        <v>126.64</v>
      </c>
      <c r="L65" s="80">
        <v>164.01</v>
      </c>
    </row>
    <row r="66" ht="12.75" customHeight="1">
      <c r="A66" s="23">
        <v>64.0</v>
      </c>
      <c r="B66" s="54">
        <v>31.07</v>
      </c>
      <c r="C66" s="54">
        <v>38.97</v>
      </c>
      <c r="D66" s="55">
        <v>45.05</v>
      </c>
      <c r="E66" s="55">
        <v>56.27</v>
      </c>
      <c r="F66" s="55">
        <v>67.8</v>
      </c>
      <c r="G66" s="55">
        <v>79.67</v>
      </c>
      <c r="H66" s="55">
        <v>94.98</v>
      </c>
      <c r="I66" s="55">
        <v>280.94</v>
      </c>
      <c r="J66" s="55">
        <v>280.94</v>
      </c>
      <c r="K66" s="56">
        <v>126.65</v>
      </c>
      <c r="L66" s="80">
        <v>164.02</v>
      </c>
    </row>
    <row r="67" ht="12.75" customHeight="1">
      <c r="A67" s="23">
        <v>65.0</v>
      </c>
      <c r="B67" s="57">
        <v>31.41</v>
      </c>
      <c r="C67" s="57">
        <v>40.01</v>
      </c>
      <c r="D67" s="58">
        <v>45.06</v>
      </c>
      <c r="E67" s="58">
        <v>56.28</v>
      </c>
      <c r="F67" s="58">
        <v>68.39</v>
      </c>
      <c r="G67" s="58">
        <v>79.86</v>
      </c>
      <c r="H67" s="58">
        <v>95.13</v>
      </c>
      <c r="I67" s="58">
        <v>285.53</v>
      </c>
      <c r="J67" s="58">
        <v>285.53</v>
      </c>
      <c r="K67" s="59">
        <v>126.66</v>
      </c>
      <c r="L67" s="81">
        <v>166.66</v>
      </c>
    </row>
    <row r="68" ht="12.75" customHeight="1">
      <c r="A68" s="9">
        <v>66.0</v>
      </c>
      <c r="B68" s="45">
        <v>31.57</v>
      </c>
      <c r="C68" s="45">
        <v>40.4</v>
      </c>
      <c r="D68" s="45">
        <v>45.07</v>
      </c>
      <c r="E68" s="45">
        <v>56.29</v>
      </c>
      <c r="F68" s="45">
        <v>68.44</v>
      </c>
      <c r="G68" s="45">
        <v>80.11</v>
      </c>
      <c r="H68" s="45">
        <v>95.54</v>
      </c>
      <c r="I68" s="45">
        <v>289.94</v>
      </c>
      <c r="J68" s="45">
        <v>289.94</v>
      </c>
      <c r="K68" s="46">
        <v>126.68</v>
      </c>
      <c r="L68" s="82">
        <v>166.67</v>
      </c>
    </row>
    <row r="69" ht="12.75" customHeight="1">
      <c r="A69" s="33">
        <v>67.0</v>
      </c>
      <c r="B69" s="47">
        <v>31.58</v>
      </c>
      <c r="C69" s="47">
        <v>40.42</v>
      </c>
      <c r="D69" s="47">
        <v>45.08</v>
      </c>
      <c r="E69" s="47">
        <v>56.4</v>
      </c>
      <c r="F69" s="47">
        <v>68.97</v>
      </c>
      <c r="G69" s="47">
        <v>80.5</v>
      </c>
      <c r="H69" s="47">
        <v>96.44</v>
      </c>
      <c r="I69" s="47">
        <v>294.35</v>
      </c>
      <c r="J69" s="47">
        <v>294.35</v>
      </c>
      <c r="K69" s="48">
        <v>126.7</v>
      </c>
      <c r="L69" s="82">
        <v>169.65</v>
      </c>
    </row>
    <row r="70" ht="12.75" customHeight="1">
      <c r="A70" s="33">
        <v>68.0</v>
      </c>
      <c r="B70" s="47">
        <v>31.94</v>
      </c>
      <c r="C70" s="47">
        <v>41.16</v>
      </c>
      <c r="D70" s="47">
        <v>47.81</v>
      </c>
      <c r="E70" s="47">
        <v>57.68</v>
      </c>
      <c r="F70" s="47">
        <v>69.99</v>
      </c>
      <c r="G70" s="47">
        <v>81.72</v>
      </c>
      <c r="H70" s="47">
        <v>96.45</v>
      </c>
      <c r="I70" s="47">
        <v>298.58</v>
      </c>
      <c r="J70" s="47">
        <v>298.58</v>
      </c>
      <c r="K70" s="48">
        <v>126.72</v>
      </c>
      <c r="L70" s="82">
        <v>169.66</v>
      </c>
    </row>
    <row r="71" ht="12.75" customHeight="1">
      <c r="A71" s="33">
        <v>69.0</v>
      </c>
      <c r="B71" s="47">
        <v>32.6</v>
      </c>
      <c r="C71" s="47">
        <v>41.56</v>
      </c>
      <c r="D71" s="47">
        <v>48.28</v>
      </c>
      <c r="E71" s="47">
        <v>58.09</v>
      </c>
      <c r="F71" s="47">
        <v>70.36</v>
      </c>
      <c r="G71" s="47">
        <v>81.73</v>
      </c>
      <c r="H71" s="47">
        <v>96.96</v>
      </c>
      <c r="I71" s="47">
        <v>302.92</v>
      </c>
      <c r="J71" s="47">
        <v>302.92</v>
      </c>
      <c r="K71" s="48">
        <v>128.58</v>
      </c>
      <c r="L71" s="82">
        <v>173.06</v>
      </c>
    </row>
    <row r="72" ht="12.75" customHeight="1">
      <c r="A72" s="16">
        <v>70.0</v>
      </c>
      <c r="B72" s="49">
        <v>32.75</v>
      </c>
      <c r="C72" s="49">
        <v>42.14</v>
      </c>
      <c r="D72" s="49">
        <v>49.33</v>
      </c>
      <c r="E72" s="49">
        <v>60.89</v>
      </c>
      <c r="F72" s="49">
        <v>71.76</v>
      </c>
      <c r="G72" s="49">
        <v>81.74</v>
      </c>
      <c r="H72" s="49">
        <v>97.79</v>
      </c>
      <c r="I72" s="49">
        <v>309.29</v>
      </c>
      <c r="J72" s="49">
        <v>309.29</v>
      </c>
      <c r="K72" s="50">
        <v>128.59</v>
      </c>
      <c r="L72" s="83">
        <v>173.07</v>
      </c>
    </row>
    <row r="73" ht="12.75" customHeight="1">
      <c r="A73" s="35">
        <v>71.0</v>
      </c>
      <c r="B73" s="51">
        <v>32.77</v>
      </c>
      <c r="C73" s="51">
        <v>42.15</v>
      </c>
      <c r="D73" s="52">
        <v>50.09</v>
      </c>
      <c r="E73" s="52">
        <v>60.9</v>
      </c>
      <c r="F73" s="52">
        <v>72.24</v>
      </c>
      <c r="G73" s="52">
        <v>83.07</v>
      </c>
      <c r="H73" s="52">
        <v>97.82</v>
      </c>
      <c r="I73" s="52">
        <v>314.05</v>
      </c>
      <c r="J73" s="52">
        <v>314.05</v>
      </c>
      <c r="K73" s="53">
        <v>131.65</v>
      </c>
      <c r="L73" s="80">
        <v>175.88</v>
      </c>
    </row>
    <row r="74" ht="12.75" customHeight="1">
      <c r="A74" s="23">
        <v>72.0</v>
      </c>
      <c r="B74" s="54">
        <v>33.71</v>
      </c>
      <c r="C74" s="54">
        <v>42.16</v>
      </c>
      <c r="D74" s="55">
        <v>51.15</v>
      </c>
      <c r="E74" s="55">
        <v>60.92</v>
      </c>
      <c r="F74" s="55">
        <v>73.43</v>
      </c>
      <c r="G74" s="55">
        <v>86.61</v>
      </c>
      <c r="H74" s="55">
        <v>97.97</v>
      </c>
      <c r="I74" s="55">
        <v>318.72</v>
      </c>
      <c r="J74" s="55">
        <v>318.72</v>
      </c>
      <c r="K74" s="56">
        <v>131.66</v>
      </c>
      <c r="L74" s="80">
        <v>175.9</v>
      </c>
    </row>
    <row r="75" ht="12.75" customHeight="1">
      <c r="A75" s="23">
        <v>73.0</v>
      </c>
      <c r="B75" s="54">
        <v>33.92</v>
      </c>
      <c r="C75" s="54">
        <v>42.56</v>
      </c>
      <c r="D75" s="55">
        <v>51.16</v>
      </c>
      <c r="E75" s="55">
        <v>61.82</v>
      </c>
      <c r="F75" s="55">
        <v>74.22</v>
      </c>
      <c r="G75" s="55">
        <v>86.76</v>
      </c>
      <c r="H75" s="55">
        <v>97.98</v>
      </c>
      <c r="I75" s="55">
        <v>323.39</v>
      </c>
      <c r="J75" s="55">
        <v>323.39</v>
      </c>
      <c r="K75" s="56">
        <v>133.7</v>
      </c>
      <c r="L75" s="80">
        <v>179.21</v>
      </c>
    </row>
    <row r="76" ht="12.75" customHeight="1">
      <c r="A76" s="23">
        <v>74.0</v>
      </c>
      <c r="B76" s="54">
        <v>34.82</v>
      </c>
      <c r="C76" s="54">
        <v>42.57</v>
      </c>
      <c r="D76" s="55">
        <v>51.17</v>
      </c>
      <c r="E76" s="55">
        <v>61.84</v>
      </c>
      <c r="F76" s="55">
        <v>75.36</v>
      </c>
      <c r="G76" s="55">
        <v>86.77</v>
      </c>
      <c r="H76" s="55">
        <v>97.99</v>
      </c>
      <c r="I76" s="55">
        <v>326.51</v>
      </c>
      <c r="J76" s="55">
        <v>326.51</v>
      </c>
      <c r="K76" s="56">
        <v>133.71</v>
      </c>
      <c r="L76" s="80">
        <v>179.22</v>
      </c>
    </row>
    <row r="77" ht="12.75" customHeight="1">
      <c r="A77" s="27">
        <v>75.0</v>
      </c>
      <c r="B77" s="57">
        <v>36.11</v>
      </c>
      <c r="C77" s="57">
        <v>42.59</v>
      </c>
      <c r="D77" s="58">
        <v>51.18</v>
      </c>
      <c r="E77" s="58">
        <v>62.32</v>
      </c>
      <c r="F77" s="58">
        <v>75.37</v>
      </c>
      <c r="G77" s="58">
        <v>87.65</v>
      </c>
      <c r="H77" s="58">
        <v>98.0</v>
      </c>
      <c r="I77" s="58">
        <v>330.2</v>
      </c>
      <c r="J77" s="58">
        <v>330.2</v>
      </c>
      <c r="K77" s="59">
        <v>135.59</v>
      </c>
      <c r="L77" s="81">
        <v>183.34</v>
      </c>
    </row>
    <row r="78" ht="12.75" customHeight="1">
      <c r="A78" s="5">
        <v>76.0</v>
      </c>
      <c r="B78" s="60">
        <v>38.9</v>
      </c>
      <c r="C78" s="60">
        <v>44.98</v>
      </c>
      <c r="D78" s="60">
        <v>51.51</v>
      </c>
      <c r="E78" s="60">
        <v>63.27</v>
      </c>
      <c r="F78" s="60">
        <v>77.04</v>
      </c>
      <c r="G78" s="60">
        <v>89.07</v>
      </c>
      <c r="H78" s="60">
        <v>98.92</v>
      </c>
      <c r="I78" s="60">
        <v>334.27</v>
      </c>
      <c r="J78" s="60">
        <v>334.27</v>
      </c>
      <c r="K78" s="61">
        <v>135.6</v>
      </c>
      <c r="L78" s="84">
        <v>183.37</v>
      </c>
    </row>
    <row r="79" ht="12.75" customHeight="1">
      <c r="A79" s="9">
        <v>77.0</v>
      </c>
      <c r="B79" s="45">
        <v>40.42</v>
      </c>
      <c r="C79" s="45">
        <v>45.63</v>
      </c>
      <c r="D79" s="45">
        <v>52.1</v>
      </c>
      <c r="E79" s="45">
        <v>63.56</v>
      </c>
      <c r="F79" s="45">
        <v>77.48</v>
      </c>
      <c r="G79" s="45">
        <v>91.61</v>
      </c>
      <c r="H79" s="45">
        <v>98.93</v>
      </c>
      <c r="I79" s="45">
        <v>337.03</v>
      </c>
      <c r="J79" s="45">
        <v>337.03</v>
      </c>
      <c r="K79" s="46">
        <v>135.92</v>
      </c>
      <c r="L79" s="85">
        <v>184.41</v>
      </c>
    </row>
    <row r="80" ht="12.75" customHeight="1">
      <c r="A80" s="13">
        <v>78.0</v>
      </c>
      <c r="B80" s="47">
        <v>40.46</v>
      </c>
      <c r="C80" s="47">
        <v>47.35</v>
      </c>
      <c r="D80" s="47">
        <v>53.63</v>
      </c>
      <c r="E80" s="47">
        <v>64.24</v>
      </c>
      <c r="F80" s="47">
        <v>77.97</v>
      </c>
      <c r="G80" s="47">
        <v>92.29</v>
      </c>
      <c r="H80" s="47">
        <v>98.95</v>
      </c>
      <c r="I80" s="47">
        <v>338.84</v>
      </c>
      <c r="J80" s="47">
        <v>338.84</v>
      </c>
      <c r="K80" s="48">
        <v>135.93</v>
      </c>
      <c r="L80" s="86">
        <v>184.42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ht="12.75" customHeight="1">
      <c r="A81" s="13">
        <v>79.0</v>
      </c>
      <c r="B81" s="47">
        <v>42.28</v>
      </c>
      <c r="C81" s="47">
        <v>49.31</v>
      </c>
      <c r="D81" s="47">
        <v>54.97</v>
      </c>
      <c r="E81" s="47">
        <v>65.25</v>
      </c>
      <c r="F81" s="47">
        <v>79.6</v>
      </c>
      <c r="G81" s="47">
        <v>93.72</v>
      </c>
      <c r="H81" s="47">
        <v>100.56</v>
      </c>
      <c r="I81" s="47">
        <v>338.9</v>
      </c>
      <c r="J81" s="47">
        <v>338.9</v>
      </c>
      <c r="K81" s="48">
        <v>137.63</v>
      </c>
      <c r="L81" s="82">
        <v>188.8</v>
      </c>
    </row>
    <row r="82" ht="12.75" customHeight="1">
      <c r="A82" s="16">
        <v>80.0</v>
      </c>
      <c r="B82" s="49">
        <v>43.43</v>
      </c>
      <c r="C82" s="49">
        <v>50.26</v>
      </c>
      <c r="D82" s="49">
        <v>55.21</v>
      </c>
      <c r="E82" s="49">
        <v>66.8</v>
      </c>
      <c r="F82" s="49">
        <v>80.92</v>
      </c>
      <c r="G82" s="49">
        <v>95.01</v>
      </c>
      <c r="H82" s="49">
        <v>101.34</v>
      </c>
      <c r="I82" s="49">
        <v>342.44</v>
      </c>
      <c r="J82" s="49">
        <v>342.44</v>
      </c>
      <c r="K82" s="50">
        <v>137.65</v>
      </c>
      <c r="L82" s="83">
        <v>188.82</v>
      </c>
    </row>
    <row r="83" ht="12.75" customHeight="1">
      <c r="A83" s="19">
        <v>81.0</v>
      </c>
      <c r="B83" s="51">
        <v>44.5</v>
      </c>
      <c r="C83" s="51">
        <v>50.66</v>
      </c>
      <c r="D83" s="52">
        <v>56.55</v>
      </c>
      <c r="E83" s="52">
        <v>67.25</v>
      </c>
      <c r="F83" s="52">
        <v>81.97</v>
      </c>
      <c r="G83" s="52">
        <v>95.58</v>
      </c>
      <c r="H83" s="52">
        <v>101.68</v>
      </c>
      <c r="I83" s="52">
        <v>345.3</v>
      </c>
      <c r="J83" s="52">
        <v>345.3</v>
      </c>
      <c r="K83" s="53">
        <v>138.3</v>
      </c>
      <c r="L83" s="87">
        <v>192.31</v>
      </c>
    </row>
    <row r="84" ht="12.75" customHeight="1">
      <c r="A84" s="23">
        <v>82.0</v>
      </c>
      <c r="B84" s="54">
        <v>45.94</v>
      </c>
      <c r="C84" s="54">
        <v>51.9</v>
      </c>
      <c r="D84" s="55">
        <v>59.11</v>
      </c>
      <c r="E84" s="55">
        <v>68.97</v>
      </c>
      <c r="F84" s="55">
        <v>82.19</v>
      </c>
      <c r="G84" s="55">
        <v>98.06</v>
      </c>
      <c r="H84" s="55">
        <v>101.69</v>
      </c>
      <c r="I84" s="55">
        <v>347.03</v>
      </c>
      <c r="J84" s="55">
        <v>347.03</v>
      </c>
      <c r="K84" s="56">
        <v>138.31</v>
      </c>
      <c r="L84" s="80">
        <v>192.32</v>
      </c>
    </row>
    <row r="85" ht="12.75" customHeight="1">
      <c r="A85" s="19">
        <v>83.0</v>
      </c>
      <c r="B85" s="54">
        <v>45.95</v>
      </c>
      <c r="C85" s="54">
        <v>51.91</v>
      </c>
      <c r="D85" s="55">
        <v>59.12</v>
      </c>
      <c r="E85" s="55">
        <v>68.98</v>
      </c>
      <c r="F85" s="55">
        <v>82.43</v>
      </c>
      <c r="G85" s="55">
        <v>98.07</v>
      </c>
      <c r="H85" s="55">
        <v>101.7</v>
      </c>
      <c r="I85" s="55">
        <v>350.81</v>
      </c>
      <c r="J85" s="55">
        <v>350.81</v>
      </c>
      <c r="K85" s="56">
        <v>139.52</v>
      </c>
      <c r="L85" s="80">
        <v>195.73</v>
      </c>
    </row>
    <row r="86" ht="12.75" customHeight="1">
      <c r="A86" s="19">
        <v>84.0</v>
      </c>
      <c r="B86" s="54">
        <v>47.78</v>
      </c>
      <c r="C86" s="54">
        <v>53.97</v>
      </c>
      <c r="D86" s="55">
        <v>60.84</v>
      </c>
      <c r="E86" s="55">
        <v>69.65</v>
      </c>
      <c r="F86" s="55">
        <v>84.46</v>
      </c>
      <c r="G86" s="55">
        <v>99.24</v>
      </c>
      <c r="H86" s="55">
        <v>102.48</v>
      </c>
      <c r="I86" s="55">
        <v>354.86</v>
      </c>
      <c r="J86" s="55">
        <v>354.86</v>
      </c>
      <c r="K86" s="56">
        <v>139.57</v>
      </c>
      <c r="L86" s="80">
        <v>195.74</v>
      </c>
    </row>
    <row r="87" ht="12.75" customHeight="1">
      <c r="A87" s="27">
        <v>85.0</v>
      </c>
      <c r="B87" s="57">
        <v>49.06</v>
      </c>
      <c r="C87" s="57">
        <v>53.98</v>
      </c>
      <c r="D87" s="58">
        <v>60.88</v>
      </c>
      <c r="E87" s="58">
        <v>70.77</v>
      </c>
      <c r="F87" s="58">
        <v>84.97</v>
      </c>
      <c r="G87" s="58">
        <v>100.31</v>
      </c>
      <c r="H87" s="58">
        <v>103.59</v>
      </c>
      <c r="I87" s="58">
        <v>358.99</v>
      </c>
      <c r="J87" s="58">
        <v>358.99</v>
      </c>
      <c r="K87" s="59">
        <v>140.02</v>
      </c>
      <c r="L87" s="81">
        <v>200.12</v>
      </c>
    </row>
    <row r="88" ht="12.75" customHeight="1">
      <c r="A88" s="13">
        <v>86.0</v>
      </c>
      <c r="B88" s="45">
        <v>50.85</v>
      </c>
      <c r="C88" s="45">
        <v>56.97</v>
      </c>
      <c r="D88" s="45">
        <v>63.26</v>
      </c>
      <c r="E88" s="45">
        <v>72.1</v>
      </c>
      <c r="F88" s="45">
        <v>86.79</v>
      </c>
      <c r="G88" s="45">
        <v>103.14</v>
      </c>
      <c r="H88" s="45">
        <v>106.76</v>
      </c>
      <c r="I88" s="45">
        <v>362.76</v>
      </c>
      <c r="J88" s="45">
        <v>362.76</v>
      </c>
      <c r="K88" s="46">
        <v>140.03</v>
      </c>
      <c r="L88" s="82">
        <v>200.13</v>
      </c>
    </row>
    <row r="89" ht="12.75" customHeight="1">
      <c r="A89" s="13">
        <v>87.0</v>
      </c>
      <c r="B89" s="47">
        <v>51.9</v>
      </c>
      <c r="C89" s="47">
        <v>57.0</v>
      </c>
      <c r="D89" s="47">
        <v>63.27</v>
      </c>
      <c r="E89" s="47">
        <v>72.11</v>
      </c>
      <c r="F89" s="47">
        <v>87.93</v>
      </c>
      <c r="G89" s="47">
        <v>103.22</v>
      </c>
      <c r="H89" s="47">
        <v>106.93</v>
      </c>
      <c r="I89" s="47">
        <v>366.85</v>
      </c>
      <c r="J89" s="47">
        <v>366.85</v>
      </c>
      <c r="K89" s="48">
        <v>141.69</v>
      </c>
      <c r="L89" s="82">
        <v>203.41</v>
      </c>
    </row>
    <row r="90" ht="12.75" customHeight="1">
      <c r="A90" s="13">
        <v>88.0</v>
      </c>
      <c r="B90" s="47">
        <v>54.05</v>
      </c>
      <c r="C90" s="47">
        <v>58.27</v>
      </c>
      <c r="D90" s="47">
        <v>65.26</v>
      </c>
      <c r="E90" s="47">
        <v>74.44</v>
      </c>
      <c r="F90" s="47">
        <v>88.25</v>
      </c>
      <c r="G90" s="47">
        <v>103.33</v>
      </c>
      <c r="H90" s="47">
        <v>108.11</v>
      </c>
      <c r="I90" s="47">
        <v>370.9</v>
      </c>
      <c r="J90" s="47">
        <v>370.9</v>
      </c>
      <c r="K90" s="48">
        <v>141.7</v>
      </c>
      <c r="L90" s="82">
        <v>203.44</v>
      </c>
    </row>
    <row r="91" ht="12.75" customHeight="1">
      <c r="A91" s="13">
        <v>89.0</v>
      </c>
      <c r="B91" s="47">
        <v>56.47</v>
      </c>
      <c r="C91" s="47">
        <v>59.9</v>
      </c>
      <c r="D91" s="47">
        <v>66.54</v>
      </c>
      <c r="E91" s="47">
        <v>74.68</v>
      </c>
      <c r="F91" s="47">
        <v>90.17</v>
      </c>
      <c r="G91" s="47">
        <v>104.39</v>
      </c>
      <c r="H91" s="47">
        <v>110.37</v>
      </c>
      <c r="I91" s="47">
        <v>374.78</v>
      </c>
      <c r="J91" s="47">
        <v>374.78</v>
      </c>
      <c r="K91" s="48">
        <v>142.65</v>
      </c>
      <c r="L91" s="82">
        <v>206.67</v>
      </c>
    </row>
    <row r="92" ht="12.75" customHeight="1">
      <c r="A92" s="13">
        <v>90.0</v>
      </c>
      <c r="B92" s="49">
        <v>59.92</v>
      </c>
      <c r="C92" s="49">
        <v>62.49</v>
      </c>
      <c r="D92" s="49">
        <v>69.42</v>
      </c>
      <c r="E92" s="49">
        <v>76.87</v>
      </c>
      <c r="F92" s="49">
        <v>91.45</v>
      </c>
      <c r="G92" s="49">
        <v>106.81</v>
      </c>
      <c r="H92" s="49">
        <v>112.55</v>
      </c>
      <c r="I92" s="49">
        <v>378.56</v>
      </c>
      <c r="J92" s="49">
        <v>378.56</v>
      </c>
      <c r="K92" s="50">
        <v>142.66</v>
      </c>
      <c r="L92" s="83">
        <v>206.68</v>
      </c>
    </row>
    <row r="93" ht="12.75" customHeight="1">
      <c r="A93" s="31">
        <v>91.0</v>
      </c>
      <c r="B93" s="51">
        <v>59.93</v>
      </c>
      <c r="C93" s="51">
        <v>62.5</v>
      </c>
      <c r="D93" s="52">
        <v>69.43</v>
      </c>
      <c r="E93" s="52">
        <v>76.88</v>
      </c>
      <c r="F93" s="52">
        <v>91.46</v>
      </c>
      <c r="G93" s="52">
        <v>106.82</v>
      </c>
      <c r="H93" s="52">
        <v>112.56</v>
      </c>
      <c r="I93" s="52">
        <v>382.61</v>
      </c>
      <c r="J93" s="52">
        <v>382.61</v>
      </c>
      <c r="K93" s="53">
        <v>143.55</v>
      </c>
      <c r="L93" s="80">
        <v>210.55</v>
      </c>
    </row>
    <row r="94" ht="12.75" customHeight="1">
      <c r="A94" s="19">
        <v>92.0</v>
      </c>
      <c r="B94" s="54">
        <v>61.27</v>
      </c>
      <c r="C94" s="54">
        <v>63.09</v>
      </c>
      <c r="D94" s="55">
        <v>69.8</v>
      </c>
      <c r="E94" s="55">
        <v>77.62</v>
      </c>
      <c r="F94" s="55">
        <v>92.58</v>
      </c>
      <c r="G94" s="55">
        <v>106.84</v>
      </c>
      <c r="H94" s="55">
        <v>112.89</v>
      </c>
      <c r="I94" s="55">
        <v>386.26</v>
      </c>
      <c r="J94" s="55">
        <v>386.26</v>
      </c>
      <c r="K94" s="56">
        <v>143.58</v>
      </c>
      <c r="L94" s="80">
        <v>210.56</v>
      </c>
    </row>
    <row r="95" ht="12.75" customHeight="1">
      <c r="A95" s="19">
        <v>93.0</v>
      </c>
      <c r="B95" s="54">
        <v>62.06</v>
      </c>
      <c r="C95" s="54">
        <v>63.69</v>
      </c>
      <c r="D95" s="55">
        <v>71.12</v>
      </c>
      <c r="E95" s="55">
        <v>77.63</v>
      </c>
      <c r="F95" s="55">
        <v>92.59</v>
      </c>
      <c r="G95" s="55">
        <v>106.85</v>
      </c>
      <c r="H95" s="55">
        <v>112.9</v>
      </c>
      <c r="I95" s="55">
        <v>390.02</v>
      </c>
      <c r="J95" s="55">
        <v>390.02</v>
      </c>
      <c r="K95" s="56">
        <v>144.54</v>
      </c>
      <c r="L95" s="80">
        <v>213.87</v>
      </c>
    </row>
    <row r="96" ht="12.75" customHeight="1">
      <c r="A96" s="19">
        <v>94.0</v>
      </c>
      <c r="B96" s="54">
        <v>62.38</v>
      </c>
      <c r="C96" s="54">
        <v>65.37</v>
      </c>
      <c r="D96" s="55">
        <v>71.47</v>
      </c>
      <c r="E96" s="55">
        <v>78.63</v>
      </c>
      <c r="F96" s="55">
        <v>94.55</v>
      </c>
      <c r="G96" s="55">
        <v>106.87</v>
      </c>
      <c r="H96" s="55">
        <v>115.14</v>
      </c>
      <c r="I96" s="55">
        <v>393.7</v>
      </c>
      <c r="J96" s="55">
        <v>393.7</v>
      </c>
      <c r="K96" s="56">
        <v>144.55</v>
      </c>
      <c r="L96" s="80">
        <v>213.89</v>
      </c>
    </row>
    <row r="97" ht="12.75" customHeight="1">
      <c r="A97" s="19">
        <v>95.0</v>
      </c>
      <c r="B97" s="57">
        <v>63.23</v>
      </c>
      <c r="C97" s="57">
        <v>65.96</v>
      </c>
      <c r="D97" s="58">
        <v>71.95</v>
      </c>
      <c r="E97" s="58">
        <v>79.7</v>
      </c>
      <c r="F97" s="58">
        <v>94.83</v>
      </c>
      <c r="G97" s="58">
        <v>107.24</v>
      </c>
      <c r="H97" s="58">
        <v>116.38</v>
      </c>
      <c r="I97" s="58">
        <v>397.53</v>
      </c>
      <c r="J97" s="58">
        <v>397.53</v>
      </c>
      <c r="K97" s="59">
        <v>145.68</v>
      </c>
      <c r="L97" s="81">
        <v>217.47</v>
      </c>
    </row>
    <row r="98" ht="12.75" customHeight="1">
      <c r="A98" s="32">
        <v>96.0</v>
      </c>
      <c r="B98" s="45">
        <v>65.25</v>
      </c>
      <c r="C98" s="45">
        <v>66.39</v>
      </c>
      <c r="D98" s="45">
        <v>74.58</v>
      </c>
      <c r="E98" s="45">
        <v>80.58</v>
      </c>
      <c r="F98" s="45">
        <v>94.84</v>
      </c>
      <c r="G98" s="45">
        <v>107.25</v>
      </c>
      <c r="H98" s="45">
        <v>117.53</v>
      </c>
      <c r="I98" s="45">
        <v>401.16</v>
      </c>
      <c r="J98" s="45">
        <v>401.16</v>
      </c>
      <c r="K98" s="46">
        <v>145.69</v>
      </c>
      <c r="L98" s="82">
        <v>217.48</v>
      </c>
    </row>
    <row r="99" ht="12.75" customHeight="1">
      <c r="A99" s="13">
        <v>97.0</v>
      </c>
      <c r="B99" s="47">
        <v>67.39</v>
      </c>
      <c r="C99" s="47">
        <v>68.99</v>
      </c>
      <c r="D99" s="47">
        <v>75.66</v>
      </c>
      <c r="E99" s="47">
        <v>81.88</v>
      </c>
      <c r="F99" s="47">
        <v>96.88</v>
      </c>
      <c r="G99" s="47">
        <v>108.79</v>
      </c>
      <c r="H99" s="47">
        <v>119.85</v>
      </c>
      <c r="I99" s="47">
        <v>404.99</v>
      </c>
      <c r="J99" s="47">
        <v>404.99</v>
      </c>
      <c r="K99" s="48">
        <v>146.6</v>
      </c>
      <c r="L99" s="82">
        <v>221.27</v>
      </c>
    </row>
    <row r="100" ht="12.75" customHeight="1">
      <c r="A100" s="13">
        <v>98.0</v>
      </c>
      <c r="B100" s="47">
        <v>68.29</v>
      </c>
      <c r="C100" s="47">
        <v>69.44</v>
      </c>
      <c r="D100" s="47">
        <v>75.67</v>
      </c>
      <c r="E100" s="47">
        <v>82.83</v>
      </c>
      <c r="F100" s="47">
        <v>97.97</v>
      </c>
      <c r="G100" s="47">
        <v>108.8</v>
      </c>
      <c r="H100" s="47">
        <v>119.86</v>
      </c>
      <c r="I100" s="47">
        <v>408.58</v>
      </c>
      <c r="J100" s="47">
        <v>408.58</v>
      </c>
      <c r="K100" s="48">
        <v>146.61</v>
      </c>
      <c r="L100" s="82">
        <v>221.28</v>
      </c>
    </row>
    <row r="101" ht="12.75" customHeight="1">
      <c r="A101" s="13">
        <v>99.0</v>
      </c>
      <c r="B101" s="47">
        <v>69.23</v>
      </c>
      <c r="C101" s="47">
        <v>69.85</v>
      </c>
      <c r="D101" s="47">
        <v>77.07</v>
      </c>
      <c r="E101" s="47">
        <v>83.88</v>
      </c>
      <c r="F101" s="47">
        <v>98.19</v>
      </c>
      <c r="G101" s="47">
        <v>109.89</v>
      </c>
      <c r="H101" s="47">
        <v>121.07</v>
      </c>
      <c r="I101" s="47">
        <v>412.41</v>
      </c>
      <c r="J101" s="47">
        <v>412.41</v>
      </c>
      <c r="K101" s="48">
        <v>147.33</v>
      </c>
      <c r="L101" s="82">
        <v>224.43</v>
      </c>
    </row>
    <row r="102" ht="12.75" customHeight="1">
      <c r="A102" s="16">
        <v>100.0</v>
      </c>
      <c r="B102" s="49">
        <v>70.39</v>
      </c>
      <c r="C102" s="49">
        <v>71.03</v>
      </c>
      <c r="D102" s="49">
        <v>77.81</v>
      </c>
      <c r="E102" s="49">
        <v>84.33</v>
      </c>
      <c r="F102" s="49">
        <v>99.26</v>
      </c>
      <c r="G102" s="49">
        <v>109.97</v>
      </c>
      <c r="H102" s="49">
        <v>121.15</v>
      </c>
      <c r="I102" s="49">
        <v>416.24</v>
      </c>
      <c r="J102" s="49">
        <v>416.24</v>
      </c>
      <c r="K102" s="50">
        <v>147.35</v>
      </c>
      <c r="L102" s="83">
        <v>224.44</v>
      </c>
    </row>
    <row r="103" ht="12.75" customHeight="1">
      <c r="A103" s="19">
        <v>101.0</v>
      </c>
      <c r="B103" s="51">
        <v>70.88</v>
      </c>
      <c r="C103" s="51">
        <v>71.72</v>
      </c>
      <c r="D103" s="52">
        <v>77.83</v>
      </c>
      <c r="E103" s="52">
        <v>85.13</v>
      </c>
      <c r="F103" s="52">
        <v>100.21</v>
      </c>
      <c r="G103" s="52">
        <v>111.01</v>
      </c>
      <c r="H103" s="52">
        <v>122.27</v>
      </c>
      <c r="I103" s="52">
        <v>416.25</v>
      </c>
      <c r="J103" s="52">
        <v>416.25</v>
      </c>
      <c r="K103" s="53">
        <v>147.36</v>
      </c>
      <c r="L103" s="80">
        <v>224.45</v>
      </c>
    </row>
    <row r="104" ht="12.75" customHeight="1">
      <c r="A104" s="23">
        <v>102.0</v>
      </c>
      <c r="B104" s="54">
        <v>71.56</v>
      </c>
      <c r="C104" s="54">
        <v>71.73</v>
      </c>
      <c r="D104" s="55">
        <v>78.57</v>
      </c>
      <c r="E104" s="55">
        <v>85.14</v>
      </c>
      <c r="F104" s="55">
        <v>100.22</v>
      </c>
      <c r="G104" s="55">
        <v>111.02</v>
      </c>
      <c r="H104" s="55">
        <v>122.28</v>
      </c>
      <c r="I104" s="55">
        <v>416.26</v>
      </c>
      <c r="J104" s="55">
        <v>416.26</v>
      </c>
      <c r="K104" s="56">
        <v>147.37</v>
      </c>
      <c r="L104" s="80">
        <v>224.48</v>
      </c>
    </row>
    <row r="105" ht="12.75" customHeight="1">
      <c r="A105" s="23">
        <v>103.0</v>
      </c>
      <c r="B105" s="54">
        <v>72.5</v>
      </c>
      <c r="C105" s="54">
        <v>73.51</v>
      </c>
      <c r="D105" s="55">
        <v>80.19</v>
      </c>
      <c r="E105" s="55">
        <v>85.64</v>
      </c>
      <c r="F105" s="55">
        <v>100.47</v>
      </c>
      <c r="G105" s="55">
        <v>111.03</v>
      </c>
      <c r="H105" s="55">
        <v>122.29</v>
      </c>
      <c r="I105" s="55">
        <v>416.27</v>
      </c>
      <c r="J105" s="55">
        <v>416.27</v>
      </c>
      <c r="K105" s="56">
        <v>147.4</v>
      </c>
      <c r="L105" s="80">
        <v>224.49</v>
      </c>
    </row>
    <row r="106" ht="12.75" customHeight="1">
      <c r="A106" s="23">
        <v>104.0</v>
      </c>
      <c r="B106" s="54">
        <v>72.51</v>
      </c>
      <c r="C106" s="54">
        <v>73.52</v>
      </c>
      <c r="D106" s="55">
        <v>80.39</v>
      </c>
      <c r="E106" s="55">
        <v>85.74</v>
      </c>
      <c r="F106" s="55">
        <v>100.48</v>
      </c>
      <c r="G106" s="55">
        <v>111.04</v>
      </c>
      <c r="H106" s="55">
        <v>122.3</v>
      </c>
      <c r="I106" s="55">
        <v>416.31</v>
      </c>
      <c r="J106" s="55">
        <v>416.31</v>
      </c>
      <c r="K106" s="56">
        <v>147.41</v>
      </c>
      <c r="L106" s="80">
        <v>224.51</v>
      </c>
    </row>
    <row r="107" ht="12.75" customHeight="1">
      <c r="A107" s="23">
        <v>105.0</v>
      </c>
      <c r="B107" s="57">
        <v>75.1</v>
      </c>
      <c r="C107" s="57">
        <v>75.69</v>
      </c>
      <c r="D107" s="58">
        <v>82.09</v>
      </c>
      <c r="E107" s="58">
        <v>88.34</v>
      </c>
      <c r="F107" s="58">
        <v>102.97</v>
      </c>
      <c r="G107" s="58">
        <v>113.62</v>
      </c>
      <c r="H107" s="58">
        <v>125.31</v>
      </c>
      <c r="I107" s="58">
        <v>420.02</v>
      </c>
      <c r="J107" s="58">
        <v>420.02</v>
      </c>
      <c r="K107" s="59">
        <v>148.81</v>
      </c>
      <c r="L107" s="81">
        <v>224.52</v>
      </c>
    </row>
    <row r="108" ht="12.75" customHeight="1">
      <c r="A108" s="9">
        <v>106.0</v>
      </c>
      <c r="B108" s="45">
        <v>75.62</v>
      </c>
      <c r="C108" s="45">
        <v>75.7</v>
      </c>
      <c r="D108" s="45">
        <v>82.1</v>
      </c>
      <c r="E108" s="45">
        <v>88.35</v>
      </c>
      <c r="F108" s="45">
        <v>102.98</v>
      </c>
      <c r="G108" s="45">
        <v>113.63</v>
      </c>
      <c r="H108" s="45">
        <v>125.32</v>
      </c>
      <c r="I108" s="45">
        <v>423.91</v>
      </c>
      <c r="J108" s="45">
        <v>423.91</v>
      </c>
      <c r="K108" s="46">
        <v>150.09</v>
      </c>
      <c r="L108" s="82">
        <v>229.8</v>
      </c>
    </row>
    <row r="109" ht="12.75" customHeight="1">
      <c r="A109" s="33">
        <v>107.0</v>
      </c>
      <c r="B109" s="47">
        <v>76.02</v>
      </c>
      <c r="C109" s="47">
        <v>76.75</v>
      </c>
      <c r="D109" s="47">
        <v>83.2</v>
      </c>
      <c r="E109" s="47">
        <v>89.3</v>
      </c>
      <c r="F109" s="47">
        <v>102.99</v>
      </c>
      <c r="G109" s="47">
        <v>114.48</v>
      </c>
      <c r="H109" s="47">
        <v>126.3</v>
      </c>
      <c r="I109" s="47">
        <v>427.82</v>
      </c>
      <c r="J109" s="47">
        <v>427.82</v>
      </c>
      <c r="K109" s="48">
        <v>150.1</v>
      </c>
      <c r="L109" s="82">
        <v>229.81</v>
      </c>
    </row>
    <row r="110" ht="12.75" customHeight="1">
      <c r="A110" s="33">
        <v>108.0</v>
      </c>
      <c r="B110" s="47">
        <v>77.1</v>
      </c>
      <c r="C110" s="47">
        <v>77.59</v>
      </c>
      <c r="D110" s="47">
        <v>84.0</v>
      </c>
      <c r="E110" s="47">
        <v>89.31</v>
      </c>
      <c r="F110" s="47">
        <v>103.91</v>
      </c>
      <c r="G110" s="47">
        <v>114.49</v>
      </c>
      <c r="H110" s="47">
        <v>126.32</v>
      </c>
      <c r="I110" s="47">
        <v>431.73</v>
      </c>
      <c r="J110" s="47">
        <v>431.73</v>
      </c>
      <c r="K110" s="48">
        <v>150.13</v>
      </c>
      <c r="L110" s="82">
        <v>229.83</v>
      </c>
    </row>
    <row r="111" ht="12.75" customHeight="1">
      <c r="A111" s="33">
        <v>109.0</v>
      </c>
      <c r="B111" s="47">
        <v>79.43</v>
      </c>
      <c r="C111" s="47">
        <v>79.45</v>
      </c>
      <c r="D111" s="47">
        <v>85.04</v>
      </c>
      <c r="E111" s="47">
        <v>91.04</v>
      </c>
      <c r="F111" s="47">
        <v>104.81</v>
      </c>
      <c r="G111" s="47">
        <v>116.54</v>
      </c>
      <c r="H111" s="47">
        <v>128.62</v>
      </c>
      <c r="I111" s="47">
        <v>435.42</v>
      </c>
      <c r="J111" s="47">
        <v>435.42</v>
      </c>
      <c r="K111" s="48">
        <v>150.14</v>
      </c>
      <c r="L111" s="82">
        <v>229.84</v>
      </c>
    </row>
    <row r="112" ht="12.75" customHeight="1">
      <c r="A112" s="16">
        <v>110.0</v>
      </c>
      <c r="B112" s="49">
        <v>80.8</v>
      </c>
      <c r="C112" s="49">
        <v>81.36</v>
      </c>
      <c r="D112" s="49">
        <v>86.84</v>
      </c>
      <c r="E112" s="49">
        <v>92.79</v>
      </c>
      <c r="F112" s="49">
        <v>107.72</v>
      </c>
      <c r="G112" s="49">
        <v>118.72</v>
      </c>
      <c r="H112" s="49">
        <v>131.0</v>
      </c>
      <c r="I112" s="49">
        <v>439.09</v>
      </c>
      <c r="J112" s="49">
        <v>439.09</v>
      </c>
      <c r="K112" s="50">
        <v>150.16</v>
      </c>
      <c r="L112" s="83">
        <v>229.86</v>
      </c>
    </row>
    <row r="113" ht="12.75" customHeight="1">
      <c r="A113" s="35">
        <v>111.0</v>
      </c>
      <c r="B113" s="51">
        <v>80.81</v>
      </c>
      <c r="C113" s="51">
        <v>81.48</v>
      </c>
      <c r="D113" s="52">
        <v>88.75</v>
      </c>
      <c r="E113" s="52">
        <v>93.69</v>
      </c>
      <c r="F113" s="52">
        <v>107.73</v>
      </c>
      <c r="G113" s="52">
        <v>119.57</v>
      </c>
      <c r="H113" s="52">
        <v>132.55</v>
      </c>
      <c r="I113" s="52">
        <v>444.1</v>
      </c>
      <c r="J113" s="52">
        <v>444.1</v>
      </c>
      <c r="K113" s="53">
        <v>154.63</v>
      </c>
      <c r="L113" s="80">
        <v>238.85</v>
      </c>
    </row>
    <row r="114" ht="12.75" customHeight="1">
      <c r="A114" s="23">
        <v>112.0</v>
      </c>
      <c r="B114" s="54">
        <v>81.76</v>
      </c>
      <c r="C114" s="54">
        <v>83.16</v>
      </c>
      <c r="D114" s="55">
        <v>88.76</v>
      </c>
      <c r="E114" s="55">
        <v>93.7</v>
      </c>
      <c r="F114" s="55">
        <v>108.58</v>
      </c>
      <c r="G114" s="55">
        <v>119.58</v>
      </c>
      <c r="H114" s="55">
        <v>132.56</v>
      </c>
      <c r="I114" s="55">
        <v>449.11</v>
      </c>
      <c r="J114" s="55">
        <v>449.11</v>
      </c>
      <c r="K114" s="56">
        <v>154.64</v>
      </c>
      <c r="L114" s="80">
        <v>238.86</v>
      </c>
    </row>
    <row r="115" ht="12.75" customHeight="1">
      <c r="A115" s="23">
        <v>113.0</v>
      </c>
      <c r="B115" s="54">
        <v>81.77</v>
      </c>
      <c r="C115" s="54">
        <v>83.17</v>
      </c>
      <c r="D115" s="55">
        <v>89.74</v>
      </c>
      <c r="E115" s="55">
        <v>94.57</v>
      </c>
      <c r="F115" s="55">
        <v>108.59</v>
      </c>
      <c r="G115" s="55">
        <v>119.59</v>
      </c>
      <c r="H115" s="55">
        <v>133.71</v>
      </c>
      <c r="I115" s="55">
        <v>453.0</v>
      </c>
      <c r="J115" s="55">
        <v>453.0</v>
      </c>
      <c r="K115" s="56">
        <v>154.65</v>
      </c>
      <c r="L115" s="80">
        <v>238.9</v>
      </c>
    </row>
    <row r="116" ht="12.75" customHeight="1">
      <c r="A116" s="23">
        <v>114.0</v>
      </c>
      <c r="B116" s="54">
        <v>82.63</v>
      </c>
      <c r="C116" s="54">
        <v>84.95</v>
      </c>
      <c r="D116" s="55">
        <v>91.61</v>
      </c>
      <c r="E116" s="55">
        <v>96.41</v>
      </c>
      <c r="F116" s="55">
        <v>111.47</v>
      </c>
      <c r="G116" s="55">
        <v>122.58</v>
      </c>
      <c r="H116" s="55">
        <v>135.84</v>
      </c>
      <c r="I116" s="55">
        <v>456.94</v>
      </c>
      <c r="J116" s="55">
        <v>456.94</v>
      </c>
      <c r="K116" s="56">
        <v>154.66</v>
      </c>
      <c r="L116" s="80">
        <v>238.91</v>
      </c>
    </row>
    <row r="117" ht="12.75" customHeight="1">
      <c r="A117" s="27">
        <v>115.0</v>
      </c>
      <c r="B117" s="57">
        <v>85.14</v>
      </c>
      <c r="C117" s="57">
        <v>86.23</v>
      </c>
      <c r="D117" s="58">
        <v>91.64</v>
      </c>
      <c r="E117" s="58">
        <v>97.58</v>
      </c>
      <c r="F117" s="58">
        <v>111.49</v>
      </c>
      <c r="G117" s="58">
        <v>123.75</v>
      </c>
      <c r="H117" s="58">
        <v>135.89</v>
      </c>
      <c r="I117" s="58">
        <v>460.83</v>
      </c>
      <c r="J117" s="58">
        <v>460.83</v>
      </c>
      <c r="K117" s="59">
        <v>154.69</v>
      </c>
      <c r="L117" s="81">
        <v>238.93</v>
      </c>
    </row>
    <row r="118" ht="12.75" customHeight="1">
      <c r="A118" s="5">
        <v>116.0</v>
      </c>
      <c r="B118" s="60">
        <v>85.15</v>
      </c>
      <c r="C118" s="60">
        <v>86.24</v>
      </c>
      <c r="D118" s="60">
        <v>92.76</v>
      </c>
      <c r="E118" s="60">
        <v>97.59</v>
      </c>
      <c r="F118" s="60">
        <v>113.12</v>
      </c>
      <c r="G118" s="60">
        <v>125.3</v>
      </c>
      <c r="H118" s="60">
        <v>138.0</v>
      </c>
      <c r="I118" s="60">
        <v>463.72</v>
      </c>
      <c r="J118" s="60">
        <v>463.72</v>
      </c>
      <c r="K118" s="61">
        <v>158.73</v>
      </c>
      <c r="L118" s="84">
        <v>247.91</v>
      </c>
    </row>
    <row r="119" ht="12.75" customHeight="1">
      <c r="A119" s="9">
        <v>117.0</v>
      </c>
      <c r="B119" s="45">
        <v>85.24</v>
      </c>
      <c r="C119" s="45">
        <v>87.07</v>
      </c>
      <c r="D119" s="45">
        <v>93.65</v>
      </c>
      <c r="E119" s="45">
        <v>98.9</v>
      </c>
      <c r="F119" s="45">
        <v>113.13</v>
      </c>
      <c r="G119" s="45">
        <v>125.31</v>
      </c>
      <c r="H119" s="45">
        <v>138.9</v>
      </c>
      <c r="I119" s="45">
        <v>467.4</v>
      </c>
      <c r="J119" s="45">
        <v>467.4</v>
      </c>
      <c r="K119" s="46">
        <v>158.75</v>
      </c>
      <c r="L119" s="85">
        <v>247.93</v>
      </c>
    </row>
    <row r="120" ht="12.75" customHeight="1">
      <c r="A120" s="13">
        <v>118.0</v>
      </c>
      <c r="B120" s="47">
        <v>86.15</v>
      </c>
      <c r="C120" s="47">
        <v>88.09</v>
      </c>
      <c r="D120" s="47">
        <v>93.74</v>
      </c>
      <c r="E120" s="47">
        <v>99.19</v>
      </c>
      <c r="F120" s="47">
        <v>113.96</v>
      </c>
      <c r="G120" s="47">
        <v>125.32</v>
      </c>
      <c r="H120" s="47">
        <v>141.28</v>
      </c>
      <c r="I120" s="47">
        <v>471.09</v>
      </c>
      <c r="J120" s="47">
        <v>471.09</v>
      </c>
      <c r="K120" s="48">
        <v>158.76</v>
      </c>
      <c r="L120" s="86">
        <v>247.94</v>
      </c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ht="12.75" customHeight="1">
      <c r="A121" s="13">
        <v>119.0</v>
      </c>
      <c r="B121" s="47">
        <v>88.71</v>
      </c>
      <c r="C121" s="47">
        <v>89.9</v>
      </c>
      <c r="D121" s="47">
        <v>96.52</v>
      </c>
      <c r="E121" s="47">
        <v>100.69</v>
      </c>
      <c r="F121" s="47">
        <v>113.97</v>
      </c>
      <c r="G121" s="47">
        <v>126.3</v>
      </c>
      <c r="H121" s="47">
        <v>141.29</v>
      </c>
      <c r="I121" s="47">
        <v>477.91</v>
      </c>
      <c r="J121" s="47">
        <v>477.91</v>
      </c>
      <c r="K121" s="48">
        <v>158.78</v>
      </c>
      <c r="L121" s="82">
        <v>247.95</v>
      </c>
    </row>
    <row r="122" ht="12.75" customHeight="1">
      <c r="A122" s="16">
        <v>120.0</v>
      </c>
      <c r="B122" s="49">
        <v>91.12</v>
      </c>
      <c r="C122" s="49">
        <v>91.19</v>
      </c>
      <c r="D122" s="49">
        <v>96.66</v>
      </c>
      <c r="E122" s="49">
        <v>101.38</v>
      </c>
      <c r="F122" s="49">
        <v>115.96</v>
      </c>
      <c r="G122" s="49">
        <v>127.96</v>
      </c>
      <c r="H122" s="49">
        <v>141.3</v>
      </c>
      <c r="I122" s="49">
        <v>481.83</v>
      </c>
      <c r="J122" s="49">
        <v>481.83</v>
      </c>
      <c r="K122" s="50">
        <v>158.79</v>
      </c>
      <c r="L122" s="83">
        <v>247.96</v>
      </c>
    </row>
    <row r="123" ht="12.75" customHeight="1">
      <c r="A123" s="19">
        <v>121.0</v>
      </c>
      <c r="B123" s="51">
        <v>91.13</v>
      </c>
      <c r="C123" s="51">
        <v>91.21</v>
      </c>
      <c r="D123" s="52">
        <v>96.67</v>
      </c>
      <c r="E123" s="52">
        <v>101.4</v>
      </c>
      <c r="F123" s="52">
        <v>116.7</v>
      </c>
      <c r="G123" s="52">
        <v>127.98</v>
      </c>
      <c r="H123" s="52">
        <v>141.31</v>
      </c>
      <c r="I123" s="52">
        <v>485.05</v>
      </c>
      <c r="J123" s="52">
        <v>485.05</v>
      </c>
      <c r="K123" s="53">
        <v>162.45</v>
      </c>
      <c r="L123" s="87">
        <v>256.92</v>
      </c>
    </row>
    <row r="124" ht="12.75" customHeight="1">
      <c r="A124" s="23">
        <v>122.0</v>
      </c>
      <c r="B124" s="54">
        <v>91.14</v>
      </c>
      <c r="C124" s="54">
        <v>92.96</v>
      </c>
      <c r="D124" s="55">
        <v>97.62</v>
      </c>
      <c r="E124" s="55">
        <v>102.31</v>
      </c>
      <c r="F124" s="55">
        <v>117.61</v>
      </c>
      <c r="G124" s="55">
        <v>129.99</v>
      </c>
      <c r="H124" s="55">
        <v>143.79</v>
      </c>
      <c r="I124" s="55">
        <v>493.76</v>
      </c>
      <c r="J124" s="55">
        <v>493.76</v>
      </c>
      <c r="K124" s="56">
        <v>162.46</v>
      </c>
      <c r="L124" s="80">
        <v>256.94</v>
      </c>
    </row>
    <row r="125" ht="12.75" customHeight="1">
      <c r="A125" s="19">
        <v>123.0</v>
      </c>
      <c r="B125" s="54">
        <v>91.96</v>
      </c>
      <c r="C125" s="54">
        <v>93.05</v>
      </c>
      <c r="D125" s="55">
        <v>100.55</v>
      </c>
      <c r="E125" s="55">
        <v>105.1</v>
      </c>
      <c r="F125" s="55">
        <v>118.53</v>
      </c>
      <c r="G125" s="55">
        <v>132.38</v>
      </c>
      <c r="H125" s="55">
        <v>145.75</v>
      </c>
      <c r="I125" s="55">
        <v>493.77</v>
      </c>
      <c r="J125" s="55">
        <v>493.77</v>
      </c>
      <c r="K125" s="56">
        <v>162.47</v>
      </c>
      <c r="L125" s="80">
        <v>256.95</v>
      </c>
    </row>
    <row r="126" ht="12.75" customHeight="1">
      <c r="A126" s="19">
        <v>124.0</v>
      </c>
      <c r="B126" s="54">
        <v>91.97</v>
      </c>
      <c r="C126" s="54">
        <v>93.97</v>
      </c>
      <c r="D126" s="55">
        <v>101.6</v>
      </c>
      <c r="E126" s="55">
        <v>105.11</v>
      </c>
      <c r="F126" s="55">
        <v>119.31</v>
      </c>
      <c r="G126" s="55">
        <v>132.39</v>
      </c>
      <c r="H126" s="55">
        <v>145.76</v>
      </c>
      <c r="I126" s="55">
        <v>497.43</v>
      </c>
      <c r="J126" s="55">
        <v>497.43</v>
      </c>
      <c r="K126" s="56">
        <v>162.48</v>
      </c>
      <c r="L126" s="80">
        <v>257.0</v>
      </c>
    </row>
    <row r="127" ht="12.75" customHeight="1">
      <c r="A127" s="27">
        <v>125.0</v>
      </c>
      <c r="B127" s="57">
        <v>92.85</v>
      </c>
      <c r="C127" s="57">
        <v>93.98</v>
      </c>
      <c r="D127" s="58">
        <v>101.61</v>
      </c>
      <c r="E127" s="58">
        <v>105.12</v>
      </c>
      <c r="F127" s="58">
        <v>119.32</v>
      </c>
      <c r="G127" s="58">
        <v>132.4</v>
      </c>
      <c r="H127" s="58">
        <v>145.77</v>
      </c>
      <c r="I127" s="58">
        <v>501.59</v>
      </c>
      <c r="J127" s="58">
        <v>501.59</v>
      </c>
      <c r="K127" s="59">
        <v>162.49</v>
      </c>
      <c r="L127" s="81">
        <v>257.01</v>
      </c>
    </row>
    <row r="128" ht="12.75" customHeight="1">
      <c r="A128" s="13">
        <v>126.0</v>
      </c>
      <c r="B128" s="45">
        <v>94.71</v>
      </c>
      <c r="C128" s="45">
        <v>94.9</v>
      </c>
      <c r="D128" s="45">
        <v>102.65</v>
      </c>
      <c r="E128" s="45">
        <v>105.13</v>
      </c>
      <c r="F128" s="45">
        <v>120.03</v>
      </c>
      <c r="G128" s="45">
        <v>132.41</v>
      </c>
      <c r="H128" s="45">
        <v>150.91</v>
      </c>
      <c r="I128" s="45">
        <v>504.7</v>
      </c>
      <c r="J128" s="45">
        <v>504.7</v>
      </c>
      <c r="K128" s="46">
        <v>165.77</v>
      </c>
      <c r="L128" s="82">
        <v>266.07</v>
      </c>
    </row>
    <row r="129" ht="12.75" customHeight="1">
      <c r="A129" s="13">
        <v>127.0</v>
      </c>
      <c r="B129" s="47">
        <v>94.72</v>
      </c>
      <c r="C129" s="47">
        <v>96.54</v>
      </c>
      <c r="D129" s="47">
        <v>104.64</v>
      </c>
      <c r="E129" s="47">
        <v>107.52</v>
      </c>
      <c r="F129" s="47">
        <v>122.76</v>
      </c>
      <c r="G129" s="47">
        <v>134.8</v>
      </c>
      <c r="H129" s="47">
        <v>150.92</v>
      </c>
      <c r="I129" s="47">
        <v>508.8</v>
      </c>
      <c r="J129" s="47">
        <v>508.8</v>
      </c>
      <c r="K129" s="48">
        <v>165.78</v>
      </c>
      <c r="L129" s="82">
        <v>266.12</v>
      </c>
    </row>
    <row r="130" ht="12.75" customHeight="1">
      <c r="A130" s="13">
        <v>128.0</v>
      </c>
      <c r="B130" s="47">
        <v>95.6</v>
      </c>
      <c r="C130" s="47">
        <v>96.55</v>
      </c>
      <c r="D130" s="47">
        <v>104.65</v>
      </c>
      <c r="E130" s="47">
        <v>107.54</v>
      </c>
      <c r="F130" s="47">
        <v>122.77</v>
      </c>
      <c r="G130" s="47">
        <v>134.81</v>
      </c>
      <c r="H130" s="47">
        <v>151.73</v>
      </c>
      <c r="I130" s="47">
        <v>512.94</v>
      </c>
      <c r="J130" s="47">
        <v>512.94</v>
      </c>
      <c r="K130" s="48">
        <v>165.8</v>
      </c>
      <c r="L130" s="82">
        <v>266.13</v>
      </c>
    </row>
    <row r="131" ht="12.75" customHeight="1">
      <c r="A131" s="13">
        <v>129.0</v>
      </c>
      <c r="B131" s="47">
        <v>97.42</v>
      </c>
      <c r="C131" s="47">
        <v>97.79</v>
      </c>
      <c r="D131" s="47">
        <v>104.69</v>
      </c>
      <c r="E131" s="47">
        <v>108.27</v>
      </c>
      <c r="F131" s="47">
        <v>122.78</v>
      </c>
      <c r="G131" s="47">
        <v>134.83</v>
      </c>
      <c r="H131" s="47">
        <v>153.19</v>
      </c>
      <c r="I131" s="47">
        <v>517.08</v>
      </c>
      <c r="J131" s="47">
        <v>517.08</v>
      </c>
      <c r="K131" s="48">
        <v>165.81</v>
      </c>
      <c r="L131" s="82">
        <v>266.14</v>
      </c>
    </row>
    <row r="132" ht="12.75" customHeight="1">
      <c r="A132" s="13">
        <v>130.0</v>
      </c>
      <c r="B132" s="49">
        <v>97.8</v>
      </c>
      <c r="C132" s="49">
        <v>97.82</v>
      </c>
      <c r="D132" s="49">
        <v>105.63</v>
      </c>
      <c r="E132" s="49">
        <v>108.28</v>
      </c>
      <c r="F132" s="49">
        <v>123.67</v>
      </c>
      <c r="G132" s="49">
        <v>136.58</v>
      </c>
      <c r="H132" s="49">
        <v>156.7</v>
      </c>
      <c r="I132" s="49">
        <v>531.25</v>
      </c>
      <c r="J132" s="49">
        <v>531.25</v>
      </c>
      <c r="K132" s="50">
        <v>165.83</v>
      </c>
      <c r="L132" s="83">
        <v>266.16</v>
      </c>
    </row>
    <row r="133" ht="12.75" customHeight="1">
      <c r="A133" s="31">
        <v>131.0</v>
      </c>
      <c r="B133" s="51">
        <v>98.34</v>
      </c>
      <c r="C133" s="51">
        <v>99.35</v>
      </c>
      <c r="D133" s="52">
        <v>107.64</v>
      </c>
      <c r="E133" s="52">
        <v>110.05</v>
      </c>
      <c r="F133" s="52">
        <v>125.49</v>
      </c>
      <c r="G133" s="52">
        <v>137.87</v>
      </c>
      <c r="H133" s="52">
        <v>157.42</v>
      </c>
      <c r="I133" s="52">
        <v>531.26</v>
      </c>
      <c r="J133" s="52">
        <v>531.26</v>
      </c>
      <c r="K133" s="53">
        <v>169.38</v>
      </c>
      <c r="L133" s="80">
        <v>273.34</v>
      </c>
    </row>
    <row r="134" ht="12.75" customHeight="1">
      <c r="A134" s="19">
        <v>132.0</v>
      </c>
      <c r="B134" s="54">
        <v>99.38</v>
      </c>
      <c r="C134" s="54">
        <v>99.39</v>
      </c>
      <c r="D134" s="55">
        <v>107.65</v>
      </c>
      <c r="E134" s="55">
        <v>110.78</v>
      </c>
      <c r="F134" s="55">
        <v>125.5</v>
      </c>
      <c r="G134" s="55">
        <v>137.88</v>
      </c>
      <c r="H134" s="55">
        <v>157.43</v>
      </c>
      <c r="I134" s="55">
        <v>536.03</v>
      </c>
      <c r="J134" s="55">
        <v>536.03</v>
      </c>
      <c r="K134" s="56">
        <v>169.39</v>
      </c>
      <c r="L134" s="80">
        <v>273.36</v>
      </c>
    </row>
    <row r="135" ht="12.75" customHeight="1">
      <c r="A135" s="19">
        <v>133.0</v>
      </c>
      <c r="B135" s="54">
        <v>100.22</v>
      </c>
      <c r="C135" s="54">
        <v>100.49</v>
      </c>
      <c r="D135" s="55">
        <v>107.66</v>
      </c>
      <c r="E135" s="55">
        <v>110.79</v>
      </c>
      <c r="F135" s="55">
        <v>126.15</v>
      </c>
      <c r="G135" s="55">
        <v>137.89</v>
      </c>
      <c r="H135" s="55">
        <v>157.44</v>
      </c>
      <c r="I135" s="55">
        <v>539.25</v>
      </c>
      <c r="J135" s="55">
        <v>539.25</v>
      </c>
      <c r="K135" s="56">
        <v>169.4</v>
      </c>
      <c r="L135" s="80">
        <v>273.37</v>
      </c>
    </row>
    <row r="136" ht="12.75" customHeight="1">
      <c r="A136" s="19">
        <v>134.0</v>
      </c>
      <c r="B136" s="54">
        <v>102.09</v>
      </c>
      <c r="C136" s="54">
        <v>102.21</v>
      </c>
      <c r="D136" s="55">
        <v>109.78</v>
      </c>
      <c r="E136" s="55">
        <v>112.78</v>
      </c>
      <c r="F136" s="55">
        <v>128.33</v>
      </c>
      <c r="G136" s="55">
        <v>140.15</v>
      </c>
      <c r="H136" s="55">
        <v>157.46</v>
      </c>
      <c r="I136" s="55">
        <v>539.27</v>
      </c>
      <c r="J136" s="55">
        <v>539.27</v>
      </c>
      <c r="K136" s="56">
        <v>169.41</v>
      </c>
      <c r="L136" s="80">
        <v>273.38</v>
      </c>
    </row>
    <row r="137" ht="12.75" customHeight="1">
      <c r="A137" s="19">
        <v>135.0</v>
      </c>
      <c r="B137" s="57">
        <v>102.87</v>
      </c>
      <c r="C137" s="57">
        <v>104.23</v>
      </c>
      <c r="D137" s="58">
        <v>111.78</v>
      </c>
      <c r="E137" s="58">
        <v>114.78</v>
      </c>
      <c r="F137" s="58">
        <v>129.91</v>
      </c>
      <c r="G137" s="58">
        <v>140.89</v>
      </c>
      <c r="H137" s="58">
        <v>158.23</v>
      </c>
      <c r="I137" s="58">
        <v>543.35</v>
      </c>
      <c r="J137" s="58">
        <v>543.35</v>
      </c>
      <c r="K137" s="59">
        <v>169.42</v>
      </c>
      <c r="L137" s="81">
        <v>273.39</v>
      </c>
    </row>
    <row r="138" ht="12.75" customHeight="1">
      <c r="A138" s="32">
        <v>136.0</v>
      </c>
      <c r="B138" s="45">
        <v>103.62</v>
      </c>
      <c r="C138" s="45">
        <v>104.24</v>
      </c>
      <c r="D138" s="45">
        <v>112.54</v>
      </c>
      <c r="E138" s="45">
        <v>115.78</v>
      </c>
      <c r="F138" s="45">
        <v>129.92</v>
      </c>
      <c r="G138" s="45">
        <v>143.08</v>
      </c>
      <c r="H138" s="45">
        <v>159.31</v>
      </c>
      <c r="I138" s="45">
        <v>547.48</v>
      </c>
      <c r="J138" s="45">
        <v>547.48</v>
      </c>
      <c r="K138" s="46">
        <v>172.87</v>
      </c>
      <c r="L138" s="82">
        <v>282.13</v>
      </c>
    </row>
    <row r="139" ht="12.75" customHeight="1">
      <c r="A139" s="13">
        <v>137.0</v>
      </c>
      <c r="B139" s="47">
        <v>103.64</v>
      </c>
      <c r="C139" s="47">
        <v>104.49</v>
      </c>
      <c r="D139" s="47">
        <v>115.52</v>
      </c>
      <c r="E139" s="47">
        <v>116.63</v>
      </c>
      <c r="F139" s="47">
        <v>129.93</v>
      </c>
      <c r="G139" s="47">
        <v>143.09</v>
      </c>
      <c r="H139" s="47">
        <v>159.32</v>
      </c>
      <c r="I139" s="47">
        <v>562.18</v>
      </c>
      <c r="J139" s="47">
        <v>562.18</v>
      </c>
      <c r="K139" s="48">
        <v>172.88</v>
      </c>
      <c r="L139" s="82">
        <v>282.14</v>
      </c>
    </row>
    <row r="140" ht="12.75" customHeight="1">
      <c r="A140" s="13">
        <v>138.0</v>
      </c>
      <c r="B140" s="47">
        <v>105.57</v>
      </c>
      <c r="C140" s="47">
        <v>107.15</v>
      </c>
      <c r="D140" s="47">
        <v>116.08</v>
      </c>
      <c r="E140" s="47">
        <v>117.59</v>
      </c>
      <c r="F140" s="47">
        <v>132.59</v>
      </c>
      <c r="G140" s="47">
        <v>144.3</v>
      </c>
      <c r="H140" s="47">
        <v>163.69</v>
      </c>
      <c r="I140" s="47">
        <v>565.17</v>
      </c>
      <c r="J140" s="47">
        <v>565.17</v>
      </c>
      <c r="K140" s="48">
        <v>172.9</v>
      </c>
      <c r="L140" s="82">
        <v>282.15</v>
      </c>
    </row>
    <row r="141" ht="12.75" customHeight="1">
      <c r="A141" s="13">
        <v>139.0</v>
      </c>
      <c r="B141" s="47">
        <v>107.53</v>
      </c>
      <c r="C141" s="47">
        <v>107.54</v>
      </c>
      <c r="D141" s="47">
        <v>116.11</v>
      </c>
      <c r="E141" s="47">
        <v>117.61</v>
      </c>
      <c r="F141" s="47">
        <v>132.61</v>
      </c>
      <c r="G141" s="47">
        <v>146.99</v>
      </c>
      <c r="H141" s="47">
        <v>163.73</v>
      </c>
      <c r="I141" s="47">
        <v>565.18</v>
      </c>
      <c r="J141" s="47">
        <v>565.18</v>
      </c>
      <c r="K141" s="48">
        <v>172.91</v>
      </c>
      <c r="L141" s="82">
        <v>282.16</v>
      </c>
    </row>
    <row r="142" ht="12.75" customHeight="1">
      <c r="A142" s="16">
        <v>140.0</v>
      </c>
      <c r="B142" s="49">
        <v>108.42</v>
      </c>
      <c r="C142" s="49">
        <v>109.26</v>
      </c>
      <c r="D142" s="49">
        <v>117.25</v>
      </c>
      <c r="E142" s="49">
        <v>119.45</v>
      </c>
      <c r="F142" s="49">
        <v>134.03</v>
      </c>
      <c r="G142" s="49">
        <v>147.0</v>
      </c>
      <c r="H142" s="49">
        <v>163.74</v>
      </c>
      <c r="I142" s="49">
        <v>565.19</v>
      </c>
      <c r="J142" s="49">
        <v>565.19</v>
      </c>
      <c r="K142" s="50">
        <v>172.92</v>
      </c>
      <c r="L142" s="83">
        <v>282.18</v>
      </c>
    </row>
    <row r="143" ht="12.75" customHeight="1">
      <c r="A143" s="19">
        <v>141.0</v>
      </c>
      <c r="B143" s="51">
        <v>108.43</v>
      </c>
      <c r="C143" s="51">
        <v>109.27</v>
      </c>
      <c r="D143" s="52">
        <v>118.28</v>
      </c>
      <c r="E143" s="52">
        <v>119.47</v>
      </c>
      <c r="F143" s="52">
        <v>134.04</v>
      </c>
      <c r="G143" s="52">
        <v>147.01</v>
      </c>
      <c r="H143" s="52">
        <v>165.29</v>
      </c>
      <c r="I143" s="52">
        <v>566.64</v>
      </c>
      <c r="J143" s="52">
        <v>566.64</v>
      </c>
      <c r="K143" s="53">
        <v>176.16</v>
      </c>
      <c r="L143" s="80">
        <v>291.63</v>
      </c>
    </row>
    <row r="144" ht="12.75" customHeight="1">
      <c r="A144" s="23">
        <v>142.0</v>
      </c>
      <c r="B144" s="54">
        <v>109.82</v>
      </c>
      <c r="C144" s="54">
        <v>109.83</v>
      </c>
      <c r="D144" s="55">
        <v>119.33</v>
      </c>
      <c r="E144" s="55">
        <v>121.38</v>
      </c>
      <c r="F144" s="55">
        <v>136.04</v>
      </c>
      <c r="G144" s="55">
        <v>147.67</v>
      </c>
      <c r="H144" s="55">
        <v>165.3</v>
      </c>
      <c r="I144" s="55">
        <v>576.09</v>
      </c>
      <c r="J144" s="55">
        <v>576.09</v>
      </c>
      <c r="K144" s="56">
        <v>176.17</v>
      </c>
      <c r="L144" s="80">
        <v>291.64</v>
      </c>
    </row>
    <row r="145" ht="12.75" customHeight="1">
      <c r="A145" s="23">
        <v>143.0</v>
      </c>
      <c r="B145" s="54">
        <v>109.83</v>
      </c>
      <c r="C145" s="54">
        <v>109.84</v>
      </c>
      <c r="D145" s="55">
        <v>119.34</v>
      </c>
      <c r="E145" s="55">
        <v>121.39</v>
      </c>
      <c r="F145" s="55">
        <v>136.05</v>
      </c>
      <c r="G145" s="55">
        <v>147.68</v>
      </c>
      <c r="H145" s="55">
        <v>165.31</v>
      </c>
      <c r="I145" s="55">
        <v>579.99</v>
      </c>
      <c r="J145" s="55">
        <v>579.99</v>
      </c>
      <c r="K145" s="56">
        <v>176.18</v>
      </c>
      <c r="L145" s="80">
        <v>291.66</v>
      </c>
    </row>
    <row r="146" ht="12.75" customHeight="1">
      <c r="A146" s="23">
        <v>144.0</v>
      </c>
      <c r="B146" s="54">
        <v>112.93</v>
      </c>
      <c r="C146" s="54">
        <v>114.45</v>
      </c>
      <c r="D146" s="55">
        <v>122.83</v>
      </c>
      <c r="E146" s="55">
        <v>125.19</v>
      </c>
      <c r="F146" s="55">
        <v>139.67</v>
      </c>
      <c r="G146" s="55">
        <v>152.93</v>
      </c>
      <c r="H146" s="55">
        <v>171.08</v>
      </c>
      <c r="I146" s="55">
        <v>583.97</v>
      </c>
      <c r="J146" s="55">
        <v>583.97</v>
      </c>
      <c r="K146" s="56">
        <v>176.2</v>
      </c>
      <c r="L146" s="80">
        <v>291.67</v>
      </c>
    </row>
    <row r="147" ht="12.75" customHeight="1">
      <c r="A147" s="23">
        <v>145.0</v>
      </c>
      <c r="B147" s="57">
        <v>112.94</v>
      </c>
      <c r="C147" s="57">
        <v>115.6</v>
      </c>
      <c r="D147" s="58">
        <v>122.84</v>
      </c>
      <c r="E147" s="58">
        <v>125.2</v>
      </c>
      <c r="F147" s="58">
        <v>141.75</v>
      </c>
      <c r="G147" s="58">
        <v>153.27</v>
      </c>
      <c r="H147" s="58">
        <v>171.09</v>
      </c>
      <c r="I147" s="58">
        <v>583.98</v>
      </c>
      <c r="J147" s="58">
        <v>583.98</v>
      </c>
      <c r="K147" s="59">
        <v>176.23</v>
      </c>
      <c r="L147" s="81">
        <v>294.51</v>
      </c>
    </row>
    <row r="148" ht="12.75" customHeight="1">
      <c r="A148" s="9">
        <v>146.0</v>
      </c>
      <c r="B148" s="45">
        <v>112.95</v>
      </c>
      <c r="C148" s="45">
        <v>115.61</v>
      </c>
      <c r="D148" s="45">
        <v>122.85</v>
      </c>
      <c r="E148" s="45">
        <v>125.21</v>
      </c>
      <c r="F148" s="45">
        <v>141.76</v>
      </c>
      <c r="G148" s="45">
        <v>153.28</v>
      </c>
      <c r="H148" s="45">
        <v>171.1</v>
      </c>
      <c r="I148" s="45">
        <v>586.69</v>
      </c>
      <c r="J148" s="45">
        <v>586.69</v>
      </c>
      <c r="K148" s="46">
        <v>179.82</v>
      </c>
      <c r="L148" s="82">
        <v>300.51</v>
      </c>
    </row>
    <row r="149" ht="12.75" customHeight="1">
      <c r="A149" s="33">
        <v>147.0</v>
      </c>
      <c r="B149" s="47">
        <v>114.32</v>
      </c>
      <c r="C149" s="47">
        <v>116.75</v>
      </c>
      <c r="D149" s="47">
        <v>125.01</v>
      </c>
      <c r="E149" s="47">
        <v>126.47</v>
      </c>
      <c r="F149" s="47">
        <v>142.78</v>
      </c>
      <c r="G149" s="47">
        <v>153.29</v>
      </c>
      <c r="H149" s="47">
        <v>172.68</v>
      </c>
      <c r="I149" s="47">
        <v>600.67</v>
      </c>
      <c r="J149" s="47">
        <v>600.67</v>
      </c>
      <c r="K149" s="48">
        <v>179.83</v>
      </c>
      <c r="L149" s="82">
        <v>300.55</v>
      </c>
    </row>
    <row r="150" ht="12.75" customHeight="1">
      <c r="A150" s="33">
        <v>148.0</v>
      </c>
      <c r="B150" s="47">
        <v>114.33</v>
      </c>
      <c r="C150" s="47">
        <v>117.44</v>
      </c>
      <c r="D150" s="47">
        <v>125.16</v>
      </c>
      <c r="E150" s="47">
        <v>126.48</v>
      </c>
      <c r="F150" s="47">
        <v>142.79</v>
      </c>
      <c r="G150" s="47">
        <v>153.3</v>
      </c>
      <c r="H150" s="47">
        <v>172.69</v>
      </c>
      <c r="I150" s="47">
        <v>600.68</v>
      </c>
      <c r="J150" s="47">
        <v>600.68</v>
      </c>
      <c r="K150" s="48">
        <v>179.84</v>
      </c>
      <c r="L150" s="82">
        <v>300.56</v>
      </c>
    </row>
    <row r="151" ht="12.75" customHeight="1">
      <c r="A151" s="33">
        <v>149.0</v>
      </c>
      <c r="B151" s="47">
        <v>114.34</v>
      </c>
      <c r="C151" s="47">
        <v>117.45</v>
      </c>
      <c r="D151" s="47">
        <v>126.88</v>
      </c>
      <c r="E151" s="47">
        <v>128.46</v>
      </c>
      <c r="F151" s="47">
        <v>143.26</v>
      </c>
      <c r="G151" s="47">
        <v>154.75</v>
      </c>
      <c r="H151" s="47">
        <v>174.33</v>
      </c>
      <c r="I151" s="47">
        <v>601.96</v>
      </c>
      <c r="J151" s="47">
        <v>601.96</v>
      </c>
      <c r="K151" s="48">
        <v>179.85</v>
      </c>
      <c r="L151" s="82">
        <v>300.58</v>
      </c>
    </row>
    <row r="152" ht="12.75" customHeight="1">
      <c r="A152" s="16">
        <v>150.0</v>
      </c>
      <c r="B152" s="49">
        <v>114.35</v>
      </c>
      <c r="C152" s="49">
        <v>117.46</v>
      </c>
      <c r="D152" s="49">
        <v>126.9</v>
      </c>
      <c r="E152" s="49">
        <v>130.29</v>
      </c>
      <c r="F152" s="49">
        <v>143.27</v>
      </c>
      <c r="G152" s="49">
        <v>154.76</v>
      </c>
      <c r="H152" s="49">
        <v>174.34</v>
      </c>
      <c r="I152" s="49">
        <v>606.09</v>
      </c>
      <c r="J152" s="49">
        <v>606.09</v>
      </c>
      <c r="K152" s="50">
        <v>179.86</v>
      </c>
      <c r="L152" s="83">
        <v>300.59</v>
      </c>
    </row>
    <row r="153" ht="12.75" customHeight="1">
      <c r="A153" s="36" t="s">
        <v>13</v>
      </c>
      <c r="B153" s="88">
        <f t="shared" ref="B153:L153" si="1">ROUNDUP(B152/150,2)</f>
        <v>0.77</v>
      </c>
      <c r="C153" s="88">
        <f t="shared" si="1"/>
        <v>0.79</v>
      </c>
      <c r="D153" s="88">
        <f t="shared" si="1"/>
        <v>0.85</v>
      </c>
      <c r="E153" s="88">
        <f t="shared" si="1"/>
        <v>0.87</v>
      </c>
      <c r="F153" s="88">
        <f t="shared" si="1"/>
        <v>0.96</v>
      </c>
      <c r="G153" s="88">
        <f t="shared" si="1"/>
        <v>1.04</v>
      </c>
      <c r="H153" s="88">
        <f t="shared" si="1"/>
        <v>1.17</v>
      </c>
      <c r="I153" s="88">
        <f t="shared" si="1"/>
        <v>4.05</v>
      </c>
      <c r="J153" s="88">
        <f t="shared" si="1"/>
        <v>4.05</v>
      </c>
      <c r="K153" s="88">
        <f t="shared" si="1"/>
        <v>1.2</v>
      </c>
      <c r="L153" s="88">
        <f t="shared" si="1"/>
        <v>2.01</v>
      </c>
    </row>
    <row r="154" ht="12.75" customHeight="1">
      <c r="A154" s="63" t="s">
        <v>17</v>
      </c>
      <c r="B154" s="89">
        <f t="shared" ref="B154:J154" si="2">$B$3-1.25</f>
        <v>10.07</v>
      </c>
      <c r="C154" s="89">
        <f t="shared" si="2"/>
        <v>10.07</v>
      </c>
      <c r="D154" s="89">
        <f t="shared" si="2"/>
        <v>10.07</v>
      </c>
      <c r="E154" s="89">
        <f t="shared" si="2"/>
        <v>10.07</v>
      </c>
      <c r="F154" s="89">
        <f t="shared" si="2"/>
        <v>10.07</v>
      </c>
      <c r="G154" s="89">
        <f t="shared" si="2"/>
        <v>10.07</v>
      </c>
      <c r="H154" s="89">
        <f t="shared" si="2"/>
        <v>10.07</v>
      </c>
      <c r="I154" s="89">
        <f t="shared" si="2"/>
        <v>10.07</v>
      </c>
      <c r="J154" s="89">
        <f t="shared" si="2"/>
        <v>10.07</v>
      </c>
      <c r="K154" s="89">
        <f>K3-5.03</f>
        <v>21.92</v>
      </c>
      <c r="L154" s="89">
        <f>L3-15.19</f>
        <v>27.64</v>
      </c>
    </row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57" footer="0.0" header="0.0" left="0.75" right="0.75" top="0.51"/>
  <pageSetup scale="92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25"/>
    <col customWidth="1" min="2" max="2" width="10.13"/>
    <col customWidth="1" min="3" max="5" width="8.63"/>
    <col customWidth="1" min="6" max="6" width="14.63"/>
    <col customWidth="1" min="7" max="9" width="8.63"/>
    <col customWidth="1" min="10" max="10" width="14.25"/>
    <col customWidth="1" min="11" max="26" width="8.63"/>
  </cols>
  <sheetData>
    <row r="1" ht="12.75" customHeight="1">
      <c r="A1" s="90"/>
      <c r="B1" s="91" t="s">
        <v>0</v>
      </c>
      <c r="C1" s="91" t="s">
        <v>0</v>
      </c>
      <c r="D1" s="92" t="s">
        <v>0</v>
      </c>
      <c r="E1" s="93" t="s">
        <v>0</v>
      </c>
      <c r="F1" s="91" t="s">
        <v>0</v>
      </c>
      <c r="G1" s="91" t="s">
        <v>0</v>
      </c>
      <c r="H1" s="92" t="s">
        <v>0</v>
      </c>
      <c r="I1" s="93"/>
      <c r="J1" s="91"/>
      <c r="K1" s="91"/>
      <c r="L1" s="94"/>
      <c r="M1" s="93"/>
      <c r="P1" s="95" t="s">
        <v>18</v>
      </c>
      <c r="Q1" s="96" t="s">
        <v>1</v>
      </c>
      <c r="R1" s="97">
        <v>1.0</v>
      </c>
      <c r="S1" s="97">
        <v>2.0</v>
      </c>
      <c r="T1" s="98" t="s">
        <v>19</v>
      </c>
      <c r="U1" s="98" t="s">
        <v>20</v>
      </c>
      <c r="V1" s="98" t="s">
        <v>21</v>
      </c>
      <c r="W1" s="98" t="s">
        <v>22</v>
      </c>
      <c r="X1" s="98" t="s">
        <v>23</v>
      </c>
      <c r="Y1" s="98" t="s">
        <v>24</v>
      </c>
      <c r="Z1" s="63">
        <v>9.0</v>
      </c>
    </row>
    <row r="2" ht="12.75" customHeight="1">
      <c r="A2" s="99" t="s">
        <v>1</v>
      </c>
      <c r="B2" s="100">
        <v>2.0</v>
      </c>
      <c r="C2" s="100">
        <v>3.0</v>
      </c>
      <c r="D2" s="101">
        <v>4.0</v>
      </c>
      <c r="E2" s="102">
        <v>5.0</v>
      </c>
      <c r="F2" s="100">
        <v>6.0</v>
      </c>
      <c r="G2" s="100">
        <v>7.0</v>
      </c>
      <c r="H2" s="101">
        <v>8.0</v>
      </c>
      <c r="I2" s="102"/>
      <c r="J2" s="100"/>
      <c r="K2" s="100"/>
      <c r="L2" s="101"/>
      <c r="M2" s="102"/>
      <c r="Q2" s="103">
        <v>0.0625</v>
      </c>
      <c r="R2" s="104">
        <v>3.41</v>
      </c>
      <c r="S2" s="104">
        <v>3.41</v>
      </c>
      <c r="T2" s="104">
        <v>3.43</v>
      </c>
      <c r="U2" s="104">
        <v>3.45</v>
      </c>
      <c r="V2" s="104">
        <v>3.52</v>
      </c>
      <c r="W2" s="104">
        <v>3.62</v>
      </c>
      <c r="X2" s="104">
        <v>3.72</v>
      </c>
      <c r="Y2" s="104">
        <v>3.78</v>
      </c>
      <c r="Z2" s="104">
        <v>4.01</v>
      </c>
    </row>
    <row r="3" ht="12.75" customHeight="1">
      <c r="A3" s="105" t="s">
        <v>25</v>
      </c>
      <c r="B3" s="106">
        <v>11.32</v>
      </c>
      <c r="C3" s="106">
        <v>11.65</v>
      </c>
      <c r="D3" s="106">
        <v>12.69</v>
      </c>
      <c r="E3" s="106">
        <v>13.27</v>
      </c>
      <c r="F3" s="106">
        <v>13.72</v>
      </c>
      <c r="G3" s="106">
        <v>13.93</v>
      </c>
      <c r="H3" s="106">
        <v>14.17</v>
      </c>
      <c r="I3" s="106"/>
      <c r="J3" s="106"/>
      <c r="K3" s="106"/>
      <c r="L3" s="106"/>
      <c r="M3" s="107"/>
      <c r="Q3" s="103">
        <v>0.125</v>
      </c>
      <c r="R3" s="104">
        <v>3.41</v>
      </c>
      <c r="S3" s="104">
        <v>3.41</v>
      </c>
      <c r="T3" s="104">
        <v>3.43</v>
      </c>
      <c r="U3" s="104">
        <v>3.45</v>
      </c>
      <c r="V3" s="104">
        <v>3.52</v>
      </c>
      <c r="W3" s="104">
        <v>3.62</v>
      </c>
      <c r="X3" s="104">
        <v>3.72</v>
      </c>
      <c r="Y3" s="104">
        <v>3.81</v>
      </c>
      <c r="Z3" s="104">
        <v>4.01</v>
      </c>
    </row>
    <row r="4" ht="12.75" customHeight="1">
      <c r="A4" s="108">
        <v>2.0</v>
      </c>
      <c r="B4" s="109">
        <v>12.08</v>
      </c>
      <c r="C4" s="109">
        <v>13.32</v>
      </c>
      <c r="D4" s="109">
        <v>14.53</v>
      </c>
      <c r="E4" s="109">
        <v>14.84</v>
      </c>
      <c r="F4" s="109">
        <v>15.49</v>
      </c>
      <c r="G4" s="109">
        <v>16.13</v>
      </c>
      <c r="H4" s="109">
        <v>16.4</v>
      </c>
      <c r="I4" s="109"/>
      <c r="J4" s="109"/>
      <c r="K4" s="109"/>
      <c r="L4" s="109"/>
      <c r="M4" s="110"/>
      <c r="Q4" s="103">
        <v>0.1875</v>
      </c>
      <c r="R4" s="104">
        <v>3.41</v>
      </c>
      <c r="S4" s="104">
        <v>3.41</v>
      </c>
      <c r="T4" s="104">
        <v>3.43</v>
      </c>
      <c r="U4" s="104">
        <v>3.45</v>
      </c>
      <c r="V4" s="104">
        <v>3.52</v>
      </c>
      <c r="W4" s="104">
        <v>3.62</v>
      </c>
      <c r="X4" s="104">
        <v>3.72</v>
      </c>
      <c r="Y4" s="104">
        <v>3.85</v>
      </c>
      <c r="Z4" s="104">
        <v>4.01</v>
      </c>
    </row>
    <row r="5" ht="12.75" customHeight="1">
      <c r="A5" s="111">
        <v>3.0</v>
      </c>
      <c r="B5" s="112">
        <v>12.57</v>
      </c>
      <c r="C5" s="112">
        <v>14.03</v>
      </c>
      <c r="D5" s="112">
        <v>15.16</v>
      </c>
      <c r="E5" s="112">
        <v>15.93</v>
      </c>
      <c r="F5" s="112">
        <v>16.58</v>
      </c>
      <c r="G5" s="112">
        <v>17.2</v>
      </c>
      <c r="H5" s="112">
        <v>18.05</v>
      </c>
      <c r="I5" s="112"/>
      <c r="J5" s="112"/>
      <c r="K5" s="112"/>
      <c r="L5" s="112"/>
      <c r="M5" s="113"/>
      <c r="Q5" s="103">
        <v>0.25</v>
      </c>
      <c r="R5" s="104">
        <v>3.41</v>
      </c>
      <c r="S5" s="104">
        <v>3.41</v>
      </c>
      <c r="T5" s="104">
        <v>3.43</v>
      </c>
      <c r="U5" s="104">
        <v>3.45</v>
      </c>
      <c r="V5" s="104">
        <v>3.52</v>
      </c>
      <c r="W5" s="104">
        <v>3.62</v>
      </c>
      <c r="X5" s="104">
        <v>3.72</v>
      </c>
      <c r="Y5" s="104">
        <v>3.88</v>
      </c>
      <c r="Z5" s="104">
        <v>4.01</v>
      </c>
    </row>
    <row r="6" ht="12.75" customHeight="1">
      <c r="A6" s="111">
        <v>4.0</v>
      </c>
      <c r="B6" s="112">
        <v>12.94</v>
      </c>
      <c r="C6" s="112">
        <v>14.11</v>
      </c>
      <c r="D6" s="112">
        <v>15.78</v>
      </c>
      <c r="E6" s="112">
        <v>16.81</v>
      </c>
      <c r="F6" s="112">
        <v>17.27</v>
      </c>
      <c r="G6" s="112">
        <v>18.47</v>
      </c>
      <c r="H6" s="112">
        <v>19.34</v>
      </c>
      <c r="I6" s="112"/>
      <c r="J6" s="112"/>
      <c r="K6" s="112"/>
      <c r="L6" s="112"/>
      <c r="M6" s="113"/>
      <c r="Q6" s="103">
        <v>0.3125</v>
      </c>
      <c r="R6" s="104">
        <v>3.64</v>
      </c>
      <c r="S6" s="104">
        <v>3.64</v>
      </c>
      <c r="T6" s="104">
        <v>3.72</v>
      </c>
      <c r="U6" s="104">
        <v>3.77</v>
      </c>
      <c r="V6" s="104">
        <v>3.82</v>
      </c>
      <c r="W6" s="104">
        <v>3.84</v>
      </c>
      <c r="X6" s="104">
        <v>3.96</v>
      </c>
      <c r="Y6" s="104">
        <v>4.08</v>
      </c>
      <c r="Z6" s="104">
        <v>4.31</v>
      </c>
    </row>
    <row r="7" ht="12.75" customHeight="1">
      <c r="A7" s="114">
        <v>5.0</v>
      </c>
      <c r="B7" s="115">
        <v>13.29</v>
      </c>
      <c r="C7" s="115">
        <v>14.76</v>
      </c>
      <c r="D7" s="115">
        <v>16.17</v>
      </c>
      <c r="E7" s="115">
        <v>17.56</v>
      </c>
      <c r="F7" s="115">
        <v>18.26</v>
      </c>
      <c r="G7" s="115">
        <v>19.33</v>
      </c>
      <c r="H7" s="115">
        <v>20.48</v>
      </c>
      <c r="I7" s="115"/>
      <c r="J7" s="115"/>
      <c r="K7" s="115"/>
      <c r="L7" s="115"/>
      <c r="M7" s="116"/>
      <c r="Q7" s="103">
        <v>0.375</v>
      </c>
      <c r="R7" s="104">
        <v>3.64</v>
      </c>
      <c r="S7" s="104">
        <v>3.64</v>
      </c>
      <c r="T7" s="104">
        <v>3.72</v>
      </c>
      <c r="U7" s="104">
        <v>3.77</v>
      </c>
      <c r="V7" s="104">
        <v>3.82</v>
      </c>
      <c r="W7" s="104">
        <v>3.84</v>
      </c>
      <c r="X7" s="104">
        <v>3.96</v>
      </c>
      <c r="Y7" s="104">
        <v>4.12</v>
      </c>
      <c r="Z7" s="104">
        <v>4.31</v>
      </c>
    </row>
    <row r="8" ht="12.75" customHeight="1">
      <c r="A8" s="117">
        <v>6.0</v>
      </c>
      <c r="B8" s="118">
        <v>13.39</v>
      </c>
      <c r="C8" s="118">
        <v>14.81</v>
      </c>
      <c r="D8" s="118">
        <v>16.33</v>
      </c>
      <c r="E8" s="118">
        <v>17.63</v>
      </c>
      <c r="F8" s="118">
        <v>18.28</v>
      </c>
      <c r="G8" s="118">
        <v>19.34</v>
      </c>
      <c r="H8" s="118">
        <v>20.49</v>
      </c>
      <c r="I8" s="118"/>
      <c r="J8" s="118"/>
      <c r="K8" s="118"/>
      <c r="L8" s="118"/>
      <c r="M8" s="119"/>
      <c r="Q8" s="103">
        <v>0.4375</v>
      </c>
      <c r="R8" s="104">
        <v>3.64</v>
      </c>
      <c r="S8" s="104">
        <v>3.64</v>
      </c>
      <c r="T8" s="104">
        <v>3.72</v>
      </c>
      <c r="U8" s="104">
        <v>3.77</v>
      </c>
      <c r="V8" s="104">
        <v>3.82</v>
      </c>
      <c r="W8" s="104">
        <v>3.84</v>
      </c>
      <c r="X8" s="104">
        <v>3.96</v>
      </c>
      <c r="Y8" s="104">
        <v>4.13</v>
      </c>
      <c r="Z8" s="104">
        <v>4.31</v>
      </c>
    </row>
    <row r="9" ht="12.75" customHeight="1">
      <c r="A9" s="120">
        <v>7.0</v>
      </c>
      <c r="B9" s="121">
        <v>14.15</v>
      </c>
      <c r="C9" s="121">
        <v>15.15</v>
      </c>
      <c r="D9" s="121">
        <v>16.76</v>
      </c>
      <c r="E9" s="121">
        <v>18.19</v>
      </c>
      <c r="F9" s="121">
        <v>18.61</v>
      </c>
      <c r="G9" s="121">
        <v>19.86</v>
      </c>
      <c r="H9" s="121">
        <v>21.26</v>
      </c>
      <c r="I9" s="121"/>
      <c r="J9" s="121"/>
      <c r="K9" s="121"/>
      <c r="L9" s="121"/>
      <c r="M9" s="122"/>
      <c r="Q9" s="103">
        <v>0.5</v>
      </c>
      <c r="R9" s="104">
        <v>3.64</v>
      </c>
      <c r="S9" s="104">
        <v>3.64</v>
      </c>
      <c r="T9" s="104">
        <v>3.72</v>
      </c>
      <c r="U9" s="104">
        <v>3.77</v>
      </c>
      <c r="V9" s="104">
        <v>3.82</v>
      </c>
      <c r="W9" s="104">
        <v>3.84</v>
      </c>
      <c r="X9" s="104">
        <v>3.96</v>
      </c>
      <c r="Y9" s="104">
        <v>4.13</v>
      </c>
      <c r="Z9" s="104">
        <v>4.31</v>
      </c>
    </row>
    <row r="10" ht="12.75" customHeight="1">
      <c r="A10" s="120">
        <v>8.0</v>
      </c>
      <c r="B10" s="121">
        <v>14.56</v>
      </c>
      <c r="C10" s="121">
        <v>15.7</v>
      </c>
      <c r="D10" s="121">
        <v>17.34</v>
      </c>
      <c r="E10" s="121">
        <v>18.71</v>
      </c>
      <c r="F10" s="121">
        <v>19.36</v>
      </c>
      <c r="G10" s="121">
        <v>20.66</v>
      </c>
      <c r="H10" s="121">
        <v>22.19</v>
      </c>
      <c r="I10" s="121"/>
      <c r="J10" s="121"/>
      <c r="K10" s="121"/>
      <c r="L10" s="121"/>
      <c r="M10" s="122"/>
      <c r="Q10" s="103">
        <v>0.5625</v>
      </c>
      <c r="R10" s="104">
        <v>4.1</v>
      </c>
      <c r="S10" s="104">
        <v>4.1</v>
      </c>
      <c r="T10" s="104">
        <v>4.19</v>
      </c>
      <c r="U10" s="104">
        <v>4.23</v>
      </c>
      <c r="V10" s="104">
        <v>4.28</v>
      </c>
      <c r="W10" s="104">
        <v>4.33</v>
      </c>
      <c r="X10" s="104">
        <v>4.41</v>
      </c>
      <c r="Y10" s="104">
        <v>4.5</v>
      </c>
      <c r="Z10" s="104">
        <v>5.17</v>
      </c>
    </row>
    <row r="11" ht="12.75" customHeight="1">
      <c r="A11" s="120">
        <v>9.0</v>
      </c>
      <c r="B11" s="121">
        <v>14.78</v>
      </c>
      <c r="C11" s="121">
        <v>15.92</v>
      </c>
      <c r="D11" s="121">
        <v>17.42</v>
      </c>
      <c r="E11" s="121">
        <v>18.87</v>
      </c>
      <c r="F11" s="121">
        <v>19.77</v>
      </c>
      <c r="G11" s="121">
        <v>21.52</v>
      </c>
      <c r="H11" s="121">
        <v>23.37</v>
      </c>
      <c r="I11" s="121"/>
      <c r="J11" s="121"/>
      <c r="K11" s="121"/>
      <c r="L11" s="121"/>
      <c r="M11" s="122"/>
      <c r="Q11" s="103">
        <v>0.625</v>
      </c>
      <c r="R11" s="104">
        <v>4.11</v>
      </c>
      <c r="S11" s="104">
        <v>4.11</v>
      </c>
      <c r="T11" s="104">
        <v>4.21</v>
      </c>
      <c r="U11" s="104">
        <v>4.26</v>
      </c>
      <c r="V11" s="104">
        <v>4.31</v>
      </c>
      <c r="W11" s="104">
        <v>4.36</v>
      </c>
      <c r="X11" s="104">
        <v>4.45</v>
      </c>
      <c r="Y11" s="104">
        <v>4.54</v>
      </c>
      <c r="Z11" s="104">
        <v>5.17</v>
      </c>
    </row>
    <row r="12" ht="12.75" customHeight="1">
      <c r="Q12" s="103">
        <v>0.6875</v>
      </c>
      <c r="R12" s="104">
        <v>4.11</v>
      </c>
      <c r="S12" s="104">
        <v>4.11</v>
      </c>
      <c r="T12" s="104">
        <v>4.22</v>
      </c>
      <c r="U12" s="104">
        <v>4.28</v>
      </c>
      <c r="V12" s="104">
        <v>4.33</v>
      </c>
      <c r="W12" s="104">
        <v>4.39</v>
      </c>
      <c r="X12" s="104">
        <v>4.48</v>
      </c>
      <c r="Y12" s="104">
        <v>4.58</v>
      </c>
      <c r="Z12" s="104">
        <v>5.17</v>
      </c>
    </row>
    <row r="13" ht="12.75" customHeight="1">
      <c r="Q13" s="103">
        <v>0.75</v>
      </c>
      <c r="R13" s="104">
        <v>4.11</v>
      </c>
      <c r="S13" s="104">
        <v>4.11</v>
      </c>
      <c r="T13" s="104">
        <v>4.24</v>
      </c>
      <c r="U13" s="104">
        <v>4.3</v>
      </c>
      <c r="V13" s="104">
        <v>4.36</v>
      </c>
      <c r="W13" s="104">
        <v>4.41</v>
      </c>
      <c r="X13" s="104">
        <v>4.52</v>
      </c>
      <c r="Y13" s="104">
        <v>4.62</v>
      </c>
      <c r="Z13" s="104">
        <v>5.17</v>
      </c>
    </row>
    <row r="14" ht="12.75" customHeight="1">
      <c r="A14" s="123" t="s">
        <v>26</v>
      </c>
      <c r="D14" s="63" t="s">
        <v>1</v>
      </c>
      <c r="Q14" s="103">
        <v>0.8125</v>
      </c>
      <c r="R14" s="104">
        <v>4.62</v>
      </c>
      <c r="S14" s="104">
        <v>4.62</v>
      </c>
      <c r="T14" s="104">
        <v>4.74</v>
      </c>
      <c r="U14" s="104">
        <v>4.8</v>
      </c>
      <c r="V14" s="104">
        <v>4.86</v>
      </c>
      <c r="W14" s="104">
        <v>4.92</v>
      </c>
      <c r="X14" s="104">
        <v>5.03</v>
      </c>
      <c r="Y14" s="104">
        <v>5.13</v>
      </c>
      <c r="Z14" s="104">
        <v>6.41</v>
      </c>
    </row>
    <row r="15" ht="12.75" customHeight="1">
      <c r="A15" s="124" t="s">
        <v>27</v>
      </c>
      <c r="B15" s="124">
        <v>2.0</v>
      </c>
      <c r="C15" s="124">
        <v>3.0</v>
      </c>
      <c r="D15" s="124">
        <v>4.0</v>
      </c>
      <c r="E15" s="124">
        <v>5.0</v>
      </c>
      <c r="F15" s="124">
        <v>6.0</v>
      </c>
      <c r="G15" s="124">
        <v>7.0</v>
      </c>
      <c r="H15" s="124">
        <v>8.0</v>
      </c>
      <c r="I15" s="124">
        <v>9.0</v>
      </c>
      <c r="J15" s="124">
        <v>17.0</v>
      </c>
      <c r="K15" s="124">
        <v>51.0</v>
      </c>
      <c r="L15" s="124">
        <v>54.0</v>
      </c>
      <c r="P15" s="103">
        <v>0.875</v>
      </c>
      <c r="Q15" s="104">
        <v>4.63</v>
      </c>
      <c r="R15" s="104">
        <v>4.63</v>
      </c>
      <c r="S15" s="104">
        <v>4.75</v>
      </c>
      <c r="T15" s="104">
        <v>4.82</v>
      </c>
      <c r="U15" s="104">
        <v>4.88</v>
      </c>
      <c r="V15" s="104">
        <v>4.94</v>
      </c>
      <c r="W15" s="104">
        <v>5.06</v>
      </c>
      <c r="X15" s="104">
        <v>5.17</v>
      </c>
      <c r="Y15" s="104">
        <v>6.45</v>
      </c>
    </row>
    <row r="16" ht="12.75" customHeight="1">
      <c r="A16" s="125">
        <v>1.0</v>
      </c>
      <c r="B16" s="126">
        <v>0.5</v>
      </c>
      <c r="C16" s="126">
        <v>0.5</v>
      </c>
      <c r="D16" s="126">
        <v>0.5</v>
      </c>
      <c r="E16" s="126">
        <v>0.5</v>
      </c>
      <c r="F16" s="126">
        <v>0.5</v>
      </c>
      <c r="G16" s="126">
        <v>0.52</v>
      </c>
      <c r="H16" s="126">
        <v>0.52</v>
      </c>
      <c r="I16" s="127">
        <v>0.25</v>
      </c>
      <c r="J16" s="127">
        <v>0.25</v>
      </c>
      <c r="K16" s="127">
        <v>0.25</v>
      </c>
      <c r="L16" s="127">
        <v>0.25</v>
      </c>
      <c r="P16" s="103">
        <v>0.9375</v>
      </c>
      <c r="Q16" s="104">
        <v>4.65</v>
      </c>
      <c r="R16" s="104">
        <v>4.65</v>
      </c>
      <c r="S16" s="104">
        <v>4.77</v>
      </c>
      <c r="T16" s="104">
        <v>4.84</v>
      </c>
      <c r="U16" s="104">
        <v>4.91</v>
      </c>
      <c r="V16" s="104">
        <v>4.97</v>
      </c>
      <c r="W16" s="104">
        <v>5.1</v>
      </c>
      <c r="X16" s="104">
        <v>5.21</v>
      </c>
      <c r="Y16" s="104">
        <v>6.49</v>
      </c>
    </row>
    <row r="17" ht="12.75" customHeight="1">
      <c r="A17" s="128">
        <v>2.0</v>
      </c>
      <c r="B17" s="127">
        <v>0.5</v>
      </c>
      <c r="C17" s="127">
        <v>0.5</v>
      </c>
      <c r="D17" s="127">
        <v>0.5</v>
      </c>
      <c r="E17" s="127">
        <v>0.5</v>
      </c>
      <c r="F17" s="127">
        <v>0.5</v>
      </c>
      <c r="G17" s="127">
        <v>0.52</v>
      </c>
      <c r="H17" s="127">
        <v>0.52</v>
      </c>
      <c r="I17" s="127">
        <v>0.25</v>
      </c>
      <c r="J17" s="127">
        <v>0.25</v>
      </c>
      <c r="K17" s="127">
        <v>0.25</v>
      </c>
      <c r="L17" s="127">
        <v>0.25</v>
      </c>
      <c r="P17" s="103">
        <v>1.0</v>
      </c>
      <c r="Q17" s="104">
        <v>4.66</v>
      </c>
      <c r="R17" s="104">
        <v>4.66</v>
      </c>
      <c r="S17" s="104">
        <v>4.79</v>
      </c>
      <c r="T17" s="104">
        <v>4.86</v>
      </c>
      <c r="U17" s="104">
        <v>4.93</v>
      </c>
      <c r="V17" s="104">
        <v>5.0</v>
      </c>
      <c r="W17" s="104">
        <v>5.13</v>
      </c>
      <c r="X17" s="104">
        <v>5.25</v>
      </c>
      <c r="Y17" s="104">
        <v>6.53</v>
      </c>
    </row>
    <row r="18" ht="12.75" customHeight="1">
      <c r="A18" s="128">
        <v>3.0</v>
      </c>
      <c r="B18" s="127">
        <v>0.55</v>
      </c>
      <c r="C18" s="127">
        <v>0.55</v>
      </c>
      <c r="D18" s="127">
        <v>0.55</v>
      </c>
      <c r="E18" s="127">
        <v>0.58</v>
      </c>
      <c r="F18" s="127">
        <v>0.6</v>
      </c>
      <c r="G18" s="127">
        <v>0.61</v>
      </c>
      <c r="H18" s="127">
        <v>0.61</v>
      </c>
      <c r="I18" s="127">
        <v>0.25</v>
      </c>
      <c r="J18" s="127">
        <v>0.25</v>
      </c>
      <c r="K18" s="127">
        <v>0.25</v>
      </c>
      <c r="L18" s="127">
        <v>0.25</v>
      </c>
      <c r="P18" s="96">
        <v>1.0</v>
      </c>
      <c r="Q18" s="97">
        <v>5.48</v>
      </c>
      <c r="R18" s="97">
        <v>5.48</v>
      </c>
      <c r="S18" s="97">
        <v>6.07</v>
      </c>
      <c r="T18" s="97">
        <v>6.26</v>
      </c>
      <c r="U18" s="97">
        <v>6.61</v>
      </c>
      <c r="V18" s="97">
        <v>6.74</v>
      </c>
      <c r="W18" s="97">
        <v>6.85</v>
      </c>
      <c r="X18" s="97">
        <v>6.99</v>
      </c>
      <c r="Y18" s="97">
        <v>12.26</v>
      </c>
    </row>
    <row r="19" ht="12.75" customHeight="1">
      <c r="A19" s="128">
        <v>4.0</v>
      </c>
      <c r="B19" s="127">
        <v>0.55</v>
      </c>
      <c r="C19" s="127">
        <v>0.55</v>
      </c>
      <c r="D19" s="127">
        <v>0.55</v>
      </c>
      <c r="E19" s="127">
        <v>0.58</v>
      </c>
      <c r="F19" s="127">
        <v>0.6</v>
      </c>
      <c r="G19" s="127">
        <v>0.61</v>
      </c>
      <c r="H19" s="127">
        <v>0.61</v>
      </c>
      <c r="I19" s="127">
        <v>0.25</v>
      </c>
      <c r="J19" s="127">
        <v>0.25</v>
      </c>
      <c r="K19" s="127">
        <v>0.25</v>
      </c>
      <c r="L19" s="127">
        <v>0.25</v>
      </c>
      <c r="P19" s="97">
        <v>2.0</v>
      </c>
      <c r="Q19" s="97">
        <v>6.01</v>
      </c>
      <c r="R19" s="97">
        <v>6.01</v>
      </c>
      <c r="S19" s="97">
        <v>6.77</v>
      </c>
      <c r="T19" s="97">
        <v>7.04</v>
      </c>
      <c r="U19" s="97">
        <v>7.47</v>
      </c>
      <c r="V19" s="97">
        <v>7.7</v>
      </c>
      <c r="W19" s="97">
        <v>7.95</v>
      </c>
      <c r="X19" s="97">
        <v>8.2</v>
      </c>
      <c r="Y19" s="97">
        <v>17.28</v>
      </c>
    </row>
    <row r="20" ht="12.75" customHeight="1">
      <c r="A20" s="128">
        <v>5.0</v>
      </c>
      <c r="B20" s="127">
        <v>0.55</v>
      </c>
      <c r="C20" s="127">
        <v>0.55</v>
      </c>
      <c r="D20" s="127">
        <v>0.55</v>
      </c>
      <c r="E20" s="127">
        <v>0.58</v>
      </c>
      <c r="F20" s="127">
        <v>0.6</v>
      </c>
      <c r="G20" s="127">
        <v>0.61</v>
      </c>
      <c r="H20" s="127">
        <v>0.61</v>
      </c>
      <c r="I20" s="127">
        <v>0.25</v>
      </c>
      <c r="J20" s="127">
        <v>0.25</v>
      </c>
      <c r="K20" s="127">
        <v>0.25</v>
      </c>
      <c r="L20" s="127">
        <v>0.25</v>
      </c>
      <c r="P20" s="97">
        <v>3.0</v>
      </c>
      <c r="Q20" s="97">
        <v>6.4</v>
      </c>
      <c r="R20" s="97">
        <v>6.4</v>
      </c>
      <c r="S20" s="97">
        <v>7.34</v>
      </c>
      <c r="T20" s="97">
        <v>7.69</v>
      </c>
      <c r="U20" s="97">
        <v>8.2</v>
      </c>
      <c r="V20" s="97">
        <v>8.5</v>
      </c>
      <c r="W20" s="97">
        <v>8.89</v>
      </c>
      <c r="X20" s="97">
        <v>9.26</v>
      </c>
      <c r="Y20" s="97">
        <v>21.17</v>
      </c>
    </row>
    <row r="21" ht="12.75" customHeight="1">
      <c r="A21" s="128">
        <v>6.0</v>
      </c>
      <c r="B21" s="127">
        <v>0.55</v>
      </c>
      <c r="C21" s="127">
        <v>0.55</v>
      </c>
      <c r="D21" s="127">
        <v>0.55</v>
      </c>
      <c r="E21" s="127">
        <v>0.58</v>
      </c>
      <c r="F21" s="127">
        <v>0.6</v>
      </c>
      <c r="G21" s="127">
        <v>0.61</v>
      </c>
      <c r="H21" s="127">
        <v>0.61</v>
      </c>
      <c r="I21" s="127">
        <v>0.25</v>
      </c>
      <c r="J21" s="127">
        <v>0.25</v>
      </c>
      <c r="K21" s="127">
        <v>0.25</v>
      </c>
      <c r="L21" s="127">
        <v>0.25</v>
      </c>
      <c r="P21" s="97">
        <v>4.0</v>
      </c>
      <c r="Q21" s="97">
        <v>6.81</v>
      </c>
      <c r="R21" s="97">
        <v>6.81</v>
      </c>
      <c r="S21" s="97">
        <v>7.92</v>
      </c>
      <c r="T21" s="97">
        <v>8.35</v>
      </c>
      <c r="U21" s="97">
        <v>8.94</v>
      </c>
      <c r="V21" s="97">
        <v>9.32</v>
      </c>
      <c r="W21" s="97">
        <v>9.85</v>
      </c>
      <c r="X21" s="97">
        <v>10.32</v>
      </c>
      <c r="Y21" s="97">
        <v>26.68</v>
      </c>
    </row>
    <row r="22" ht="12.75" customHeight="1">
      <c r="A22" s="128">
        <v>7.0</v>
      </c>
      <c r="B22" s="127">
        <v>0.55</v>
      </c>
      <c r="C22" s="127">
        <v>0.55</v>
      </c>
      <c r="D22" s="127">
        <v>0.5</v>
      </c>
      <c r="E22" s="127">
        <v>0.58</v>
      </c>
      <c r="F22" s="127">
        <v>0.61</v>
      </c>
      <c r="G22" s="127">
        <v>0.63</v>
      </c>
      <c r="H22" s="127">
        <v>0.64</v>
      </c>
      <c r="I22" s="127">
        <v>0.25</v>
      </c>
      <c r="J22" s="127">
        <v>0.25</v>
      </c>
      <c r="K22" s="127">
        <v>0.25</v>
      </c>
      <c r="L22" s="127">
        <v>0.25</v>
      </c>
      <c r="P22" s="97">
        <v>5.0</v>
      </c>
      <c r="Q22" s="97">
        <v>7.21</v>
      </c>
      <c r="R22" s="97">
        <v>7.21</v>
      </c>
      <c r="S22" s="97">
        <v>8.5</v>
      </c>
      <c r="T22" s="97">
        <v>9.01</v>
      </c>
      <c r="U22" s="97">
        <v>9.68</v>
      </c>
      <c r="V22" s="97">
        <v>10.13</v>
      </c>
      <c r="W22" s="97">
        <v>10.8</v>
      </c>
      <c r="X22" s="97">
        <v>11.38</v>
      </c>
      <c r="Y22" s="97">
        <v>30.47</v>
      </c>
    </row>
    <row r="23" ht="12.75" customHeight="1">
      <c r="A23" s="128">
        <v>8.0</v>
      </c>
      <c r="B23" s="127">
        <v>0.55</v>
      </c>
      <c r="C23" s="127">
        <v>0.55</v>
      </c>
      <c r="D23" s="127">
        <v>0.5</v>
      </c>
      <c r="E23" s="127">
        <v>0.58</v>
      </c>
      <c r="F23" s="127">
        <v>0.61</v>
      </c>
      <c r="G23" s="127">
        <v>0.63</v>
      </c>
      <c r="H23" s="127">
        <v>0.64</v>
      </c>
      <c r="I23" s="127">
        <v>0.25</v>
      </c>
      <c r="J23" s="127">
        <v>0.25</v>
      </c>
      <c r="K23" s="127">
        <v>0.25</v>
      </c>
      <c r="L23" s="127">
        <v>0.25</v>
      </c>
      <c r="S23" s="97"/>
    </row>
    <row r="24" ht="12.75" customHeight="1">
      <c r="A24" s="128">
        <v>9.0</v>
      </c>
      <c r="B24" s="127">
        <v>0.55</v>
      </c>
      <c r="C24" s="127">
        <v>0.55</v>
      </c>
      <c r="D24" s="127">
        <v>0.5</v>
      </c>
      <c r="E24" s="127">
        <v>0.58</v>
      </c>
      <c r="F24" s="127">
        <v>0.61</v>
      </c>
      <c r="G24" s="127">
        <v>0.63</v>
      </c>
      <c r="H24" s="127">
        <v>0.64</v>
      </c>
      <c r="I24" s="127">
        <v>0.25</v>
      </c>
      <c r="J24" s="127">
        <v>0.25</v>
      </c>
      <c r="K24" s="127">
        <v>0.25</v>
      </c>
      <c r="L24" s="127">
        <v>0.25</v>
      </c>
      <c r="O24" s="63" t="s">
        <v>28</v>
      </c>
      <c r="P24" s="97" t="str">
        <f>Mail_Innovations_Fuel_Surcharge</f>
        <v>#NAME?</v>
      </c>
      <c r="Q24" s="97"/>
    </row>
    <row r="25" ht="12.75" customHeight="1">
      <c r="A25" s="129" t="s">
        <v>29</v>
      </c>
      <c r="B25" s="130">
        <v>0.2</v>
      </c>
      <c r="C25" s="130">
        <v>0.2</v>
      </c>
      <c r="D25" s="130">
        <v>0.2</v>
      </c>
      <c r="E25" s="130">
        <v>0.2</v>
      </c>
      <c r="F25" s="130">
        <v>0.2</v>
      </c>
      <c r="G25" s="130">
        <v>0.2</v>
      </c>
      <c r="H25" s="130">
        <v>0.2</v>
      </c>
      <c r="I25" s="130">
        <v>0.2</v>
      </c>
      <c r="J25" s="130">
        <v>0.2</v>
      </c>
      <c r="K25" s="130">
        <v>0.2</v>
      </c>
      <c r="L25" s="130">
        <v>0.2</v>
      </c>
      <c r="O25" s="95" t="s">
        <v>18</v>
      </c>
      <c r="P25" s="96" t="s">
        <v>1</v>
      </c>
      <c r="Q25" s="97">
        <v>1.0</v>
      </c>
      <c r="R25" s="97">
        <v>2.0</v>
      </c>
      <c r="S25" s="98" t="s">
        <v>19</v>
      </c>
      <c r="T25" s="98" t="s">
        <v>20</v>
      </c>
      <c r="U25" s="98" t="s">
        <v>21</v>
      </c>
      <c r="V25" s="98" t="s">
        <v>22</v>
      </c>
      <c r="W25" s="98" t="s">
        <v>23</v>
      </c>
      <c r="X25" s="98" t="s">
        <v>24</v>
      </c>
    </row>
    <row r="26" ht="12.75" customHeight="1">
      <c r="Q26" s="103">
        <v>0.0625</v>
      </c>
      <c r="R26" s="131" t="str">
        <f t="shared" ref="R26:Y26" si="1">ROUND(R2*(1+$P$24),2)</f>
        <v>#NAME?</v>
      </c>
      <c r="S26" s="131" t="str">
        <f t="shared" si="1"/>
        <v>#NAME?</v>
      </c>
      <c r="T26" s="131" t="str">
        <f t="shared" si="1"/>
        <v>#NAME?</v>
      </c>
      <c r="U26" s="131" t="str">
        <f t="shared" si="1"/>
        <v>#NAME?</v>
      </c>
      <c r="V26" s="131" t="str">
        <f t="shared" si="1"/>
        <v>#NAME?</v>
      </c>
      <c r="W26" s="131" t="str">
        <f t="shared" si="1"/>
        <v>#NAME?</v>
      </c>
      <c r="X26" s="131" t="str">
        <f t="shared" si="1"/>
        <v>#NAME?</v>
      </c>
      <c r="Y26" s="131" t="str">
        <f t="shared" si="1"/>
        <v>#NAME?</v>
      </c>
    </row>
    <row r="27" ht="12.75" customHeight="1">
      <c r="Q27" s="103">
        <v>0.125</v>
      </c>
      <c r="R27" s="131" t="str">
        <f t="shared" ref="R27:Y27" si="2">ROUND(R3*(1+$P$24),2)</f>
        <v>#NAME?</v>
      </c>
      <c r="S27" s="131" t="str">
        <f t="shared" si="2"/>
        <v>#NAME?</v>
      </c>
      <c r="T27" s="131" t="str">
        <f t="shared" si="2"/>
        <v>#NAME?</v>
      </c>
      <c r="U27" s="131" t="str">
        <f t="shared" si="2"/>
        <v>#NAME?</v>
      </c>
      <c r="V27" s="131" t="str">
        <f t="shared" si="2"/>
        <v>#NAME?</v>
      </c>
      <c r="W27" s="131" t="str">
        <f t="shared" si="2"/>
        <v>#NAME?</v>
      </c>
      <c r="X27" s="131" t="str">
        <f t="shared" si="2"/>
        <v>#NAME?</v>
      </c>
      <c r="Y27" s="131" t="str">
        <f t="shared" si="2"/>
        <v>#NAME?</v>
      </c>
    </row>
    <row r="28" ht="12.75" customHeight="1">
      <c r="A28" s="63" t="s">
        <v>30</v>
      </c>
      <c r="B28" s="132">
        <v>7.6</v>
      </c>
      <c r="C28" s="63" t="s">
        <v>31</v>
      </c>
      <c r="Q28" s="103">
        <v>0.1875</v>
      </c>
      <c r="R28" s="131" t="str">
        <f t="shared" ref="R28:Y28" si="3">ROUND(R4*(1+$P$24),2)</f>
        <v>#NAME?</v>
      </c>
      <c r="S28" s="131" t="str">
        <f t="shared" si="3"/>
        <v>#NAME?</v>
      </c>
      <c r="T28" s="131" t="str">
        <f t="shared" si="3"/>
        <v>#NAME?</v>
      </c>
      <c r="U28" s="131" t="str">
        <f t="shared" si="3"/>
        <v>#NAME?</v>
      </c>
      <c r="V28" s="131" t="str">
        <f t="shared" si="3"/>
        <v>#NAME?</v>
      </c>
      <c r="W28" s="131" t="str">
        <f t="shared" si="3"/>
        <v>#NAME?</v>
      </c>
      <c r="X28" s="131" t="str">
        <f t="shared" si="3"/>
        <v>#NAME?</v>
      </c>
      <c r="Y28" s="131" t="str">
        <f t="shared" si="3"/>
        <v>#NAME?</v>
      </c>
    </row>
    <row r="29" ht="12.75" customHeight="1">
      <c r="A29" s="99" t="s">
        <v>1</v>
      </c>
      <c r="B29" s="100">
        <v>2.0</v>
      </c>
      <c r="C29" s="100">
        <v>3.0</v>
      </c>
      <c r="D29" s="101">
        <v>4.0</v>
      </c>
      <c r="E29" s="102">
        <v>5.0</v>
      </c>
      <c r="F29" s="100">
        <v>6.0</v>
      </c>
      <c r="G29" s="100">
        <v>7.0</v>
      </c>
      <c r="H29" s="101">
        <v>8.0</v>
      </c>
      <c r="Q29" s="103">
        <v>0.25</v>
      </c>
      <c r="R29" s="131" t="str">
        <f t="shared" ref="R29:Y29" si="4">ROUND(R5*(1+$P$24),2)</f>
        <v>#NAME?</v>
      </c>
      <c r="S29" s="131" t="str">
        <f t="shared" si="4"/>
        <v>#NAME?</v>
      </c>
      <c r="T29" s="131" t="str">
        <f t="shared" si="4"/>
        <v>#NAME?</v>
      </c>
      <c r="U29" s="131" t="str">
        <f t="shared" si="4"/>
        <v>#NAME?</v>
      </c>
      <c r="V29" s="131" t="str">
        <f t="shared" si="4"/>
        <v>#NAME?</v>
      </c>
      <c r="W29" s="131" t="str">
        <f t="shared" si="4"/>
        <v>#NAME?</v>
      </c>
      <c r="X29" s="131" t="str">
        <f t="shared" si="4"/>
        <v>#NAME?</v>
      </c>
      <c r="Y29" s="131" t="str">
        <f t="shared" si="4"/>
        <v>#NAME?</v>
      </c>
    </row>
    <row r="30" ht="12.75" customHeight="1">
      <c r="A30" s="105" t="s">
        <v>25</v>
      </c>
      <c r="B30" s="133">
        <f t="shared" ref="B30:H30" si="5">(B3-$B$28)/B3</f>
        <v>0.3286219081</v>
      </c>
      <c r="C30" s="133">
        <f t="shared" si="5"/>
        <v>0.347639485</v>
      </c>
      <c r="D30" s="133">
        <f t="shared" si="5"/>
        <v>0.4011032309</v>
      </c>
      <c r="E30" s="133">
        <f t="shared" si="5"/>
        <v>0.427279578</v>
      </c>
      <c r="F30" s="133">
        <f t="shared" si="5"/>
        <v>0.4460641399</v>
      </c>
      <c r="G30" s="133">
        <f t="shared" si="5"/>
        <v>0.4544149318</v>
      </c>
      <c r="H30" s="133">
        <f t="shared" si="5"/>
        <v>0.4636556104</v>
      </c>
      <c r="Q30" s="103">
        <v>0.3125</v>
      </c>
      <c r="R30" s="131" t="str">
        <f t="shared" ref="R30:Y30" si="6">ROUND(R6*(1+$P$24),2)</f>
        <v>#NAME?</v>
      </c>
      <c r="S30" s="131" t="str">
        <f t="shared" si="6"/>
        <v>#NAME?</v>
      </c>
      <c r="T30" s="131" t="str">
        <f t="shared" si="6"/>
        <v>#NAME?</v>
      </c>
      <c r="U30" s="131" t="str">
        <f t="shared" si="6"/>
        <v>#NAME?</v>
      </c>
      <c r="V30" s="131" t="str">
        <f t="shared" si="6"/>
        <v>#NAME?</v>
      </c>
      <c r="W30" s="131" t="str">
        <f t="shared" si="6"/>
        <v>#NAME?</v>
      </c>
      <c r="X30" s="131" t="str">
        <f t="shared" si="6"/>
        <v>#NAME?</v>
      </c>
      <c r="Y30" s="131" t="str">
        <f t="shared" si="6"/>
        <v>#NAME?</v>
      </c>
    </row>
    <row r="31" ht="12.75" customHeight="1">
      <c r="A31" s="108">
        <v>2.0</v>
      </c>
      <c r="B31" s="133">
        <f t="shared" ref="B31:H31" si="7">(B4-$B$28)/B4</f>
        <v>0.3708609272</v>
      </c>
      <c r="C31" s="133">
        <f t="shared" si="7"/>
        <v>0.4294294294</v>
      </c>
      <c r="D31" s="133">
        <f t="shared" si="7"/>
        <v>0.4769442533</v>
      </c>
      <c r="E31" s="133">
        <f t="shared" si="7"/>
        <v>0.4878706199</v>
      </c>
      <c r="F31" s="133">
        <f t="shared" si="7"/>
        <v>0.509360878</v>
      </c>
      <c r="G31" s="133">
        <f t="shared" si="7"/>
        <v>0.5288282703</v>
      </c>
      <c r="H31" s="133">
        <f t="shared" si="7"/>
        <v>0.5365853659</v>
      </c>
      <c r="Q31" s="103">
        <v>0.375</v>
      </c>
      <c r="R31" s="131" t="str">
        <f t="shared" ref="R31:Y31" si="8">ROUND(R7*(1+$P$24),2)</f>
        <v>#NAME?</v>
      </c>
      <c r="S31" s="131" t="str">
        <f t="shared" si="8"/>
        <v>#NAME?</v>
      </c>
      <c r="T31" s="131" t="str">
        <f t="shared" si="8"/>
        <v>#NAME?</v>
      </c>
      <c r="U31" s="131" t="str">
        <f t="shared" si="8"/>
        <v>#NAME?</v>
      </c>
      <c r="V31" s="131" t="str">
        <f t="shared" si="8"/>
        <v>#NAME?</v>
      </c>
      <c r="W31" s="131" t="str">
        <f t="shared" si="8"/>
        <v>#NAME?</v>
      </c>
      <c r="X31" s="131" t="str">
        <f t="shared" si="8"/>
        <v>#NAME?</v>
      </c>
      <c r="Y31" s="131" t="str">
        <f t="shared" si="8"/>
        <v>#NAME?</v>
      </c>
    </row>
    <row r="32" ht="12.75" customHeight="1">
      <c r="A32" s="111">
        <v>3.0</v>
      </c>
      <c r="B32" s="133">
        <f t="shared" ref="B32:H32" si="9">(B5-$B$28)/B5</f>
        <v>0.3953858393</v>
      </c>
      <c r="C32" s="133">
        <f t="shared" si="9"/>
        <v>0.4583036351</v>
      </c>
      <c r="D32" s="133">
        <f t="shared" si="9"/>
        <v>0.4986807388</v>
      </c>
      <c r="E32" s="133">
        <f t="shared" si="9"/>
        <v>0.5229127433</v>
      </c>
      <c r="F32" s="133">
        <f t="shared" si="9"/>
        <v>0.5416164053</v>
      </c>
      <c r="G32" s="133">
        <f t="shared" si="9"/>
        <v>0.5581395349</v>
      </c>
      <c r="H32" s="133">
        <f t="shared" si="9"/>
        <v>0.5789473684</v>
      </c>
      <c r="Q32" s="103">
        <v>0.4375</v>
      </c>
      <c r="R32" s="131" t="str">
        <f t="shared" ref="R32:Y32" si="10">ROUND(R8*(1+$P$24),2)</f>
        <v>#NAME?</v>
      </c>
      <c r="S32" s="131" t="str">
        <f t="shared" si="10"/>
        <v>#NAME?</v>
      </c>
      <c r="T32" s="131" t="str">
        <f t="shared" si="10"/>
        <v>#NAME?</v>
      </c>
      <c r="U32" s="131" t="str">
        <f t="shared" si="10"/>
        <v>#NAME?</v>
      </c>
      <c r="V32" s="131" t="str">
        <f t="shared" si="10"/>
        <v>#NAME?</v>
      </c>
      <c r="W32" s="131" t="str">
        <f t="shared" si="10"/>
        <v>#NAME?</v>
      </c>
      <c r="X32" s="131" t="str">
        <f t="shared" si="10"/>
        <v>#NAME?</v>
      </c>
      <c r="Y32" s="131" t="str">
        <f t="shared" si="10"/>
        <v>#NAME?</v>
      </c>
    </row>
    <row r="33" ht="12.75" customHeight="1">
      <c r="A33" s="111">
        <v>4.0</v>
      </c>
      <c r="B33" s="133">
        <f t="shared" ref="B33:H33" si="11">(B6-$B$28)/B6</f>
        <v>0.4126738794</v>
      </c>
      <c r="C33" s="133">
        <f t="shared" si="11"/>
        <v>0.4613749114</v>
      </c>
      <c r="D33" s="133">
        <f t="shared" si="11"/>
        <v>0.5183776933</v>
      </c>
      <c r="E33" s="133">
        <f t="shared" si="11"/>
        <v>0.5478881618</v>
      </c>
      <c r="F33" s="133">
        <f t="shared" si="11"/>
        <v>0.5599305153</v>
      </c>
      <c r="G33" s="133">
        <f t="shared" si="11"/>
        <v>0.5885219274</v>
      </c>
      <c r="H33" s="133">
        <f t="shared" si="11"/>
        <v>0.6070320579</v>
      </c>
      <c r="Q33" s="103">
        <v>0.5</v>
      </c>
      <c r="R33" s="131" t="str">
        <f t="shared" ref="R33:Y33" si="12">ROUND(R9*(1+$P$24),2)</f>
        <v>#NAME?</v>
      </c>
      <c r="S33" s="131" t="str">
        <f t="shared" si="12"/>
        <v>#NAME?</v>
      </c>
      <c r="T33" s="131" t="str">
        <f t="shared" si="12"/>
        <v>#NAME?</v>
      </c>
      <c r="U33" s="131" t="str">
        <f t="shared" si="12"/>
        <v>#NAME?</v>
      </c>
      <c r="V33" s="131" t="str">
        <f t="shared" si="12"/>
        <v>#NAME?</v>
      </c>
      <c r="W33" s="131" t="str">
        <f t="shared" si="12"/>
        <v>#NAME?</v>
      </c>
      <c r="X33" s="131" t="str">
        <f t="shared" si="12"/>
        <v>#NAME?</v>
      </c>
      <c r="Y33" s="131" t="str">
        <f t="shared" si="12"/>
        <v>#NAME?</v>
      </c>
    </row>
    <row r="34" ht="12.75" customHeight="1">
      <c r="A34" s="114">
        <v>5.0</v>
      </c>
      <c r="B34" s="133">
        <f t="shared" ref="B34:H34" si="13">(B7-$B$28)/B7</f>
        <v>0.4281414597</v>
      </c>
      <c r="C34" s="133">
        <f t="shared" si="13"/>
        <v>0.4850948509</v>
      </c>
      <c r="D34" s="133">
        <f t="shared" si="13"/>
        <v>0.5299938157</v>
      </c>
      <c r="E34" s="133">
        <f t="shared" si="13"/>
        <v>0.5671981777</v>
      </c>
      <c r="F34" s="133">
        <f t="shared" si="13"/>
        <v>0.5837897043</v>
      </c>
      <c r="G34" s="133">
        <f t="shared" si="13"/>
        <v>0.6068287636</v>
      </c>
      <c r="H34" s="133">
        <f t="shared" si="13"/>
        <v>0.62890625</v>
      </c>
      <c r="Q34" s="103">
        <v>0.5625</v>
      </c>
      <c r="R34" s="131" t="str">
        <f t="shared" ref="R34:Y34" si="14">ROUND(R10*(1+$P$24),2)</f>
        <v>#NAME?</v>
      </c>
      <c r="S34" s="131" t="str">
        <f t="shared" si="14"/>
        <v>#NAME?</v>
      </c>
      <c r="T34" s="131" t="str">
        <f t="shared" si="14"/>
        <v>#NAME?</v>
      </c>
      <c r="U34" s="131" t="str">
        <f t="shared" si="14"/>
        <v>#NAME?</v>
      </c>
      <c r="V34" s="131" t="str">
        <f t="shared" si="14"/>
        <v>#NAME?</v>
      </c>
      <c r="W34" s="131" t="str">
        <f t="shared" si="14"/>
        <v>#NAME?</v>
      </c>
      <c r="X34" s="131" t="str">
        <f t="shared" si="14"/>
        <v>#NAME?</v>
      </c>
      <c r="Y34" s="131" t="str">
        <f t="shared" si="14"/>
        <v>#NAME?</v>
      </c>
    </row>
    <row r="35" ht="12.75" customHeight="1">
      <c r="A35" s="117">
        <v>6.0</v>
      </c>
      <c r="B35" s="133">
        <f t="shared" ref="B35:H35" si="15">(B8-$B$28)/B8</f>
        <v>0.4324122479</v>
      </c>
      <c r="C35" s="133">
        <f t="shared" si="15"/>
        <v>0.4868332208</v>
      </c>
      <c r="D35" s="133">
        <f t="shared" si="15"/>
        <v>0.5345988977</v>
      </c>
      <c r="E35" s="133">
        <f t="shared" si="15"/>
        <v>0.5689166194</v>
      </c>
      <c r="F35" s="133">
        <f t="shared" si="15"/>
        <v>0.5842450766</v>
      </c>
      <c r="G35" s="133">
        <f t="shared" si="15"/>
        <v>0.6070320579</v>
      </c>
      <c r="H35" s="133">
        <f t="shared" si="15"/>
        <v>0.6290873597</v>
      </c>
      <c r="Q35" s="103">
        <v>0.625</v>
      </c>
      <c r="R35" s="131" t="str">
        <f t="shared" ref="R35:Y35" si="16">ROUND(R11*(1+$P$24),2)</f>
        <v>#NAME?</v>
      </c>
      <c r="S35" s="131" t="str">
        <f t="shared" si="16"/>
        <v>#NAME?</v>
      </c>
      <c r="T35" s="131" t="str">
        <f t="shared" si="16"/>
        <v>#NAME?</v>
      </c>
      <c r="U35" s="131" t="str">
        <f t="shared" si="16"/>
        <v>#NAME?</v>
      </c>
      <c r="V35" s="131" t="str">
        <f t="shared" si="16"/>
        <v>#NAME?</v>
      </c>
      <c r="W35" s="131" t="str">
        <f t="shared" si="16"/>
        <v>#NAME?</v>
      </c>
      <c r="X35" s="131" t="str">
        <f t="shared" si="16"/>
        <v>#NAME?</v>
      </c>
      <c r="Y35" s="131" t="str">
        <f t="shared" si="16"/>
        <v>#NAME?</v>
      </c>
    </row>
    <row r="36" ht="12.75" customHeight="1">
      <c r="A36" s="120">
        <v>7.0</v>
      </c>
      <c r="B36" s="133">
        <f t="shared" ref="B36:H36" si="17">(B9-$B$28)/B9</f>
        <v>0.4628975265</v>
      </c>
      <c r="C36" s="133">
        <f t="shared" si="17"/>
        <v>0.498349835</v>
      </c>
      <c r="D36" s="133">
        <f t="shared" si="17"/>
        <v>0.5465393795</v>
      </c>
      <c r="E36" s="133">
        <f t="shared" si="17"/>
        <v>0.5821880154</v>
      </c>
      <c r="F36" s="133">
        <f t="shared" si="17"/>
        <v>0.59161741</v>
      </c>
      <c r="G36" s="133">
        <f t="shared" si="17"/>
        <v>0.6173212487</v>
      </c>
      <c r="H36" s="133">
        <f t="shared" si="17"/>
        <v>0.6425211665</v>
      </c>
      <c r="Q36" s="103">
        <v>0.6875</v>
      </c>
      <c r="R36" s="131" t="str">
        <f t="shared" ref="R36:Y36" si="18">ROUND(R12*(1+$P$24),2)</f>
        <v>#NAME?</v>
      </c>
      <c r="S36" s="131" t="str">
        <f t="shared" si="18"/>
        <v>#NAME?</v>
      </c>
      <c r="T36" s="131" t="str">
        <f t="shared" si="18"/>
        <v>#NAME?</v>
      </c>
      <c r="U36" s="131" t="str">
        <f t="shared" si="18"/>
        <v>#NAME?</v>
      </c>
      <c r="V36" s="131" t="str">
        <f t="shared" si="18"/>
        <v>#NAME?</v>
      </c>
      <c r="W36" s="131" t="str">
        <f t="shared" si="18"/>
        <v>#NAME?</v>
      </c>
      <c r="X36" s="131" t="str">
        <f t="shared" si="18"/>
        <v>#NAME?</v>
      </c>
      <c r="Y36" s="131" t="str">
        <f t="shared" si="18"/>
        <v>#NAME?</v>
      </c>
    </row>
    <row r="37" ht="12.75" customHeight="1">
      <c r="A37" s="120">
        <v>8.0</v>
      </c>
      <c r="B37" s="133">
        <f t="shared" ref="B37:H37" si="19">(B10-$B$28)/B10</f>
        <v>0.478021978</v>
      </c>
      <c r="C37" s="133">
        <f t="shared" si="19"/>
        <v>0.5159235669</v>
      </c>
      <c r="D37" s="133">
        <f t="shared" si="19"/>
        <v>0.5617070358</v>
      </c>
      <c r="E37" s="133">
        <f t="shared" si="19"/>
        <v>0.5938001069</v>
      </c>
      <c r="F37" s="133">
        <f t="shared" si="19"/>
        <v>0.6074380165</v>
      </c>
      <c r="G37" s="133">
        <f t="shared" si="19"/>
        <v>0.6321393998</v>
      </c>
      <c r="H37" s="133">
        <f t="shared" si="19"/>
        <v>0.6575033799</v>
      </c>
      <c r="Q37" s="103">
        <v>0.75</v>
      </c>
      <c r="R37" s="131" t="str">
        <f t="shared" ref="R37:Y37" si="20">ROUND(R13*(1+$P$24),2)</f>
        <v>#NAME?</v>
      </c>
      <c r="S37" s="131" t="str">
        <f t="shared" si="20"/>
        <v>#NAME?</v>
      </c>
      <c r="T37" s="131" t="str">
        <f t="shared" si="20"/>
        <v>#NAME?</v>
      </c>
      <c r="U37" s="131" t="str">
        <f t="shared" si="20"/>
        <v>#NAME?</v>
      </c>
      <c r="V37" s="131" t="str">
        <f t="shared" si="20"/>
        <v>#NAME?</v>
      </c>
      <c r="W37" s="131" t="str">
        <f t="shared" si="20"/>
        <v>#NAME?</v>
      </c>
      <c r="X37" s="131" t="str">
        <f t="shared" si="20"/>
        <v>#NAME?</v>
      </c>
      <c r="Y37" s="131" t="str">
        <f t="shared" si="20"/>
        <v>#NAME?</v>
      </c>
    </row>
    <row r="38" ht="12.75" customHeight="1">
      <c r="A38" s="120">
        <v>9.0</v>
      </c>
      <c r="B38" s="133">
        <f t="shared" ref="B38:H38" si="21">(B11-$B$28)/B11</f>
        <v>0.4857916103</v>
      </c>
      <c r="C38" s="133">
        <f t="shared" si="21"/>
        <v>0.5226130653</v>
      </c>
      <c r="D38" s="133">
        <f t="shared" si="21"/>
        <v>0.5637198622</v>
      </c>
      <c r="E38" s="133">
        <f t="shared" si="21"/>
        <v>0.5972443031</v>
      </c>
      <c r="F38" s="133">
        <f t="shared" si="21"/>
        <v>0.6155791603</v>
      </c>
      <c r="G38" s="133">
        <f t="shared" si="21"/>
        <v>0.6468401487</v>
      </c>
      <c r="H38" s="133">
        <f t="shared" si="21"/>
        <v>0.674796748</v>
      </c>
      <c r="Q38" s="103">
        <v>0.8125</v>
      </c>
      <c r="R38" s="131" t="str">
        <f t="shared" ref="R38:Y38" si="22">ROUND(R14*(1+$P$24),2)</f>
        <v>#NAME?</v>
      </c>
      <c r="S38" s="131" t="str">
        <f t="shared" si="22"/>
        <v>#NAME?</v>
      </c>
      <c r="T38" s="131" t="str">
        <f t="shared" si="22"/>
        <v>#NAME?</v>
      </c>
      <c r="U38" s="131" t="str">
        <f t="shared" si="22"/>
        <v>#NAME?</v>
      </c>
      <c r="V38" s="131" t="str">
        <f t="shared" si="22"/>
        <v>#NAME?</v>
      </c>
      <c r="W38" s="131" t="str">
        <f t="shared" si="22"/>
        <v>#NAME?</v>
      </c>
      <c r="X38" s="131" t="str">
        <f t="shared" si="22"/>
        <v>#NAME?</v>
      </c>
      <c r="Y38" s="131" t="str">
        <f t="shared" si="22"/>
        <v>#NAME?</v>
      </c>
    </row>
    <row r="39" ht="12.75" customHeight="1">
      <c r="Q39" s="103">
        <v>0.875</v>
      </c>
      <c r="R39" s="131" t="str">
        <f t="shared" ref="R39:Y39" si="23">ROUND(Q15*(1+$P$24),2)</f>
        <v>#NAME?</v>
      </c>
      <c r="S39" s="131" t="str">
        <f t="shared" si="23"/>
        <v>#NAME?</v>
      </c>
      <c r="T39" s="131" t="str">
        <f t="shared" si="23"/>
        <v>#NAME?</v>
      </c>
      <c r="U39" s="131" t="str">
        <f t="shared" si="23"/>
        <v>#NAME?</v>
      </c>
      <c r="V39" s="131" t="str">
        <f t="shared" si="23"/>
        <v>#NAME?</v>
      </c>
      <c r="W39" s="131" t="str">
        <f t="shared" si="23"/>
        <v>#NAME?</v>
      </c>
      <c r="X39" s="131" t="str">
        <f t="shared" si="23"/>
        <v>#NAME?</v>
      </c>
      <c r="Y39" s="131" t="str">
        <f t="shared" si="23"/>
        <v>#NAME?</v>
      </c>
    </row>
    <row r="40" ht="12.75" customHeight="1">
      <c r="Q40" s="103">
        <v>0.9375</v>
      </c>
      <c r="R40" s="131" t="str">
        <f t="shared" ref="R40:Y40" si="24">ROUND(Q16*(1+$P$24),2)</f>
        <v>#NAME?</v>
      </c>
      <c r="S40" s="131" t="str">
        <f t="shared" si="24"/>
        <v>#NAME?</v>
      </c>
      <c r="T40" s="131" t="str">
        <f t="shared" si="24"/>
        <v>#NAME?</v>
      </c>
      <c r="U40" s="131" t="str">
        <f t="shared" si="24"/>
        <v>#NAME?</v>
      </c>
      <c r="V40" s="131" t="str">
        <f t="shared" si="24"/>
        <v>#NAME?</v>
      </c>
      <c r="W40" s="131" t="str">
        <f t="shared" si="24"/>
        <v>#NAME?</v>
      </c>
      <c r="X40" s="131" t="str">
        <f t="shared" si="24"/>
        <v>#NAME?</v>
      </c>
      <c r="Y40" s="131" t="str">
        <f t="shared" si="24"/>
        <v>#NAME?</v>
      </c>
    </row>
    <row r="41" ht="12.75" customHeight="1">
      <c r="A41" s="63" t="s">
        <v>32</v>
      </c>
      <c r="Q41" s="103">
        <v>1.0</v>
      </c>
      <c r="R41" s="131" t="str">
        <f t="shared" ref="R41:Y41" si="25">ROUND(Q17*(1+$P$24),2)</f>
        <v>#NAME?</v>
      </c>
      <c r="S41" s="131" t="str">
        <f t="shared" si="25"/>
        <v>#NAME?</v>
      </c>
      <c r="T41" s="131" t="str">
        <f t="shared" si="25"/>
        <v>#NAME?</v>
      </c>
      <c r="U41" s="131" t="str">
        <f t="shared" si="25"/>
        <v>#NAME?</v>
      </c>
      <c r="V41" s="131" t="str">
        <f t="shared" si="25"/>
        <v>#NAME?</v>
      </c>
      <c r="W41" s="131" t="str">
        <f t="shared" si="25"/>
        <v>#NAME?</v>
      </c>
      <c r="X41" s="131" t="str">
        <f t="shared" si="25"/>
        <v>#NAME?</v>
      </c>
      <c r="Y41" s="131" t="str">
        <f t="shared" si="25"/>
        <v>#NAME?</v>
      </c>
    </row>
    <row r="42" ht="12.75" customHeight="1">
      <c r="A42" s="99" t="s">
        <v>1</v>
      </c>
      <c r="B42" s="100">
        <v>2.0</v>
      </c>
      <c r="C42" s="100">
        <v>3.0</v>
      </c>
      <c r="D42" s="101">
        <v>4.0</v>
      </c>
      <c r="E42" s="102">
        <v>5.0</v>
      </c>
      <c r="F42" s="100">
        <v>6.0</v>
      </c>
      <c r="G42" s="100">
        <v>7.0</v>
      </c>
      <c r="H42" s="101">
        <v>8.0</v>
      </c>
      <c r="J42" s="134"/>
    </row>
    <row r="43" ht="12.75" customHeight="1">
      <c r="A43" s="105" t="s">
        <v>25</v>
      </c>
      <c r="B43" s="135">
        <f t="shared" ref="B43:H43" si="26">B16+GroundEconDiscount</f>
        <v>0.64</v>
      </c>
      <c r="C43" s="135">
        <f t="shared" si="26"/>
        <v>0.64</v>
      </c>
      <c r="D43" s="135">
        <f t="shared" si="26"/>
        <v>0.64</v>
      </c>
      <c r="E43" s="135">
        <f t="shared" si="26"/>
        <v>0.64</v>
      </c>
      <c r="F43" s="135">
        <f t="shared" si="26"/>
        <v>0.64</v>
      </c>
      <c r="G43" s="135">
        <f t="shared" si="26"/>
        <v>0.66</v>
      </c>
      <c r="H43" s="135">
        <f t="shared" si="26"/>
        <v>0.66</v>
      </c>
    </row>
    <row r="44" ht="12.75" customHeight="1">
      <c r="A44" s="108">
        <v>2.0</v>
      </c>
      <c r="B44" s="135">
        <f t="shared" ref="B44:H44" si="27">B17+GroundEconDiscount</f>
        <v>0.64</v>
      </c>
      <c r="C44" s="135">
        <f t="shared" si="27"/>
        <v>0.64</v>
      </c>
      <c r="D44" s="135">
        <f t="shared" si="27"/>
        <v>0.64</v>
      </c>
      <c r="E44" s="135">
        <f t="shared" si="27"/>
        <v>0.64</v>
      </c>
      <c r="F44" s="135">
        <f t="shared" si="27"/>
        <v>0.64</v>
      </c>
      <c r="G44" s="135">
        <f t="shared" si="27"/>
        <v>0.66</v>
      </c>
      <c r="H44" s="135">
        <f t="shared" si="27"/>
        <v>0.66</v>
      </c>
    </row>
    <row r="45" ht="12.75" customHeight="1">
      <c r="A45" s="111">
        <v>3.0</v>
      </c>
      <c r="B45" s="135">
        <f t="shared" ref="B45:H45" si="28">B18+GroundEconDiscount</f>
        <v>0.69</v>
      </c>
      <c r="C45" s="135">
        <f t="shared" si="28"/>
        <v>0.69</v>
      </c>
      <c r="D45" s="135">
        <f t="shared" si="28"/>
        <v>0.69</v>
      </c>
      <c r="E45" s="135">
        <f t="shared" si="28"/>
        <v>0.72</v>
      </c>
      <c r="F45" s="135">
        <f t="shared" si="28"/>
        <v>0.74</v>
      </c>
      <c r="G45" s="135">
        <f t="shared" si="28"/>
        <v>0.75</v>
      </c>
      <c r="H45" s="135">
        <f t="shared" si="28"/>
        <v>0.75</v>
      </c>
    </row>
    <row r="46" ht="12.75" customHeight="1">
      <c r="A46" s="111">
        <v>4.0</v>
      </c>
      <c r="B46" s="135">
        <f t="shared" ref="B46:H46" si="29">B19+GroundEconDiscount</f>
        <v>0.69</v>
      </c>
      <c r="C46" s="135">
        <f t="shared" si="29"/>
        <v>0.69</v>
      </c>
      <c r="D46" s="135">
        <f t="shared" si="29"/>
        <v>0.69</v>
      </c>
      <c r="E46" s="135">
        <f t="shared" si="29"/>
        <v>0.72</v>
      </c>
      <c r="F46" s="135">
        <f t="shared" si="29"/>
        <v>0.74</v>
      </c>
      <c r="G46" s="135">
        <f t="shared" si="29"/>
        <v>0.75</v>
      </c>
      <c r="H46" s="135">
        <f t="shared" si="29"/>
        <v>0.75</v>
      </c>
    </row>
    <row r="47" ht="12.75" customHeight="1">
      <c r="A47" s="114">
        <v>5.0</v>
      </c>
      <c r="B47" s="135">
        <f t="shared" ref="B47:H47" si="30">B20+GroundEconDiscount</f>
        <v>0.69</v>
      </c>
      <c r="C47" s="135">
        <f t="shared" si="30"/>
        <v>0.69</v>
      </c>
      <c r="D47" s="135">
        <f t="shared" si="30"/>
        <v>0.69</v>
      </c>
      <c r="E47" s="135">
        <f t="shared" si="30"/>
        <v>0.72</v>
      </c>
      <c r="F47" s="135">
        <f t="shared" si="30"/>
        <v>0.74</v>
      </c>
      <c r="G47" s="135">
        <f t="shared" si="30"/>
        <v>0.75</v>
      </c>
      <c r="H47" s="135">
        <f t="shared" si="30"/>
        <v>0.75</v>
      </c>
    </row>
    <row r="48" ht="12.75" customHeight="1">
      <c r="A48" s="117">
        <v>6.0</v>
      </c>
      <c r="B48" s="135">
        <f t="shared" ref="B48:H48" si="31">B21+GroundEconDiscount</f>
        <v>0.69</v>
      </c>
      <c r="C48" s="135">
        <f t="shared" si="31"/>
        <v>0.69</v>
      </c>
      <c r="D48" s="135">
        <f t="shared" si="31"/>
        <v>0.69</v>
      </c>
      <c r="E48" s="135">
        <f t="shared" si="31"/>
        <v>0.72</v>
      </c>
      <c r="F48" s="135">
        <f t="shared" si="31"/>
        <v>0.74</v>
      </c>
      <c r="G48" s="135">
        <f t="shared" si="31"/>
        <v>0.75</v>
      </c>
      <c r="H48" s="135">
        <f t="shared" si="31"/>
        <v>0.75</v>
      </c>
    </row>
    <row r="49" ht="12.75" customHeight="1">
      <c r="A49" s="120">
        <v>7.0</v>
      </c>
      <c r="B49" s="135">
        <f t="shared" ref="B49:H49" si="32">B22+GroundEconDiscount</f>
        <v>0.69</v>
      </c>
      <c r="C49" s="135">
        <f t="shared" si="32"/>
        <v>0.69</v>
      </c>
      <c r="D49" s="135">
        <f t="shared" si="32"/>
        <v>0.64</v>
      </c>
      <c r="E49" s="135">
        <f t="shared" si="32"/>
        <v>0.72</v>
      </c>
      <c r="F49" s="135">
        <f t="shared" si="32"/>
        <v>0.75</v>
      </c>
      <c r="G49" s="135">
        <f t="shared" si="32"/>
        <v>0.77</v>
      </c>
      <c r="H49" s="135">
        <f t="shared" si="32"/>
        <v>0.78</v>
      </c>
    </row>
    <row r="50" ht="12.75" customHeight="1">
      <c r="A50" s="120">
        <v>8.0</v>
      </c>
      <c r="B50" s="135">
        <f t="shared" ref="B50:H50" si="33">B23+GroundEconDiscount</f>
        <v>0.69</v>
      </c>
      <c r="C50" s="135">
        <f t="shared" si="33"/>
        <v>0.69</v>
      </c>
      <c r="D50" s="135">
        <f t="shared" si="33"/>
        <v>0.64</v>
      </c>
      <c r="E50" s="135">
        <f t="shared" si="33"/>
        <v>0.72</v>
      </c>
      <c r="F50" s="135">
        <f t="shared" si="33"/>
        <v>0.75</v>
      </c>
      <c r="G50" s="135">
        <f t="shared" si="33"/>
        <v>0.77</v>
      </c>
      <c r="H50" s="135">
        <f t="shared" si="33"/>
        <v>0.78</v>
      </c>
    </row>
    <row r="51" ht="12.75" customHeight="1">
      <c r="A51" s="120">
        <v>9.0</v>
      </c>
      <c r="B51" s="135">
        <f t="shared" ref="B51:H51" si="34">B24+GroundEconDiscount</f>
        <v>0.69</v>
      </c>
      <c r="C51" s="135">
        <f t="shared" si="34"/>
        <v>0.69</v>
      </c>
      <c r="D51" s="135">
        <f t="shared" si="34"/>
        <v>0.64</v>
      </c>
      <c r="E51" s="135">
        <f t="shared" si="34"/>
        <v>0.72</v>
      </c>
      <c r="F51" s="135">
        <f t="shared" si="34"/>
        <v>0.75</v>
      </c>
      <c r="G51" s="135">
        <f t="shared" si="34"/>
        <v>0.77</v>
      </c>
      <c r="H51" s="135">
        <f t="shared" si="34"/>
        <v>0.78</v>
      </c>
    </row>
    <row r="52" ht="12.75" customHeight="1"/>
    <row r="53" ht="12.75" customHeight="1"/>
    <row r="54" ht="12.75" customHeight="1">
      <c r="A54" s="63" t="s">
        <v>33</v>
      </c>
    </row>
    <row r="55" ht="12.75" customHeight="1">
      <c r="A55" s="99" t="s">
        <v>1</v>
      </c>
      <c r="B55" s="100">
        <v>2.0</v>
      </c>
      <c r="C55" s="100">
        <v>3.0</v>
      </c>
      <c r="D55" s="101">
        <v>4.0</v>
      </c>
      <c r="E55" s="102">
        <v>5.0</v>
      </c>
      <c r="F55" s="100">
        <v>6.0</v>
      </c>
      <c r="G55" s="100">
        <v>7.0</v>
      </c>
      <c r="H55" s="101">
        <v>8.0</v>
      </c>
    </row>
    <row r="56" ht="12.75" customHeight="1">
      <c r="A56" s="105" t="s">
        <v>25</v>
      </c>
      <c r="B56" s="135">
        <f t="shared" ref="B56:H56" si="35">B30-B43</f>
        <v>-0.3113780919</v>
      </c>
      <c r="C56" s="135">
        <f t="shared" si="35"/>
        <v>-0.292360515</v>
      </c>
      <c r="D56" s="135">
        <f t="shared" si="35"/>
        <v>-0.2388967691</v>
      </c>
      <c r="E56" s="135">
        <f t="shared" si="35"/>
        <v>-0.212720422</v>
      </c>
      <c r="F56" s="135">
        <f t="shared" si="35"/>
        <v>-0.1939358601</v>
      </c>
      <c r="G56" s="135">
        <f t="shared" si="35"/>
        <v>-0.2055850682</v>
      </c>
      <c r="H56" s="135">
        <f t="shared" si="35"/>
        <v>-0.1963443896</v>
      </c>
    </row>
    <row r="57" ht="12.75" customHeight="1">
      <c r="A57" s="108">
        <v>2.0</v>
      </c>
      <c r="B57" s="135">
        <f t="shared" ref="B57:H57" si="36">B31-B44</f>
        <v>-0.2691390728</v>
      </c>
      <c r="C57" s="135">
        <f t="shared" si="36"/>
        <v>-0.2105705706</v>
      </c>
      <c r="D57" s="135">
        <f t="shared" si="36"/>
        <v>-0.1630557467</v>
      </c>
      <c r="E57" s="135">
        <f t="shared" si="36"/>
        <v>-0.1521293801</v>
      </c>
      <c r="F57" s="135">
        <f t="shared" si="36"/>
        <v>-0.130639122</v>
      </c>
      <c r="G57" s="135">
        <f t="shared" si="36"/>
        <v>-0.1311717297</v>
      </c>
      <c r="H57" s="135">
        <f t="shared" si="36"/>
        <v>-0.1234146341</v>
      </c>
    </row>
    <row r="58" ht="12.75" customHeight="1">
      <c r="A58" s="111">
        <v>3.0</v>
      </c>
      <c r="B58" s="135">
        <f t="shared" ref="B58:H58" si="37">B32-B45</f>
        <v>-0.2946141607</v>
      </c>
      <c r="C58" s="135">
        <f t="shared" si="37"/>
        <v>-0.2316963649</v>
      </c>
      <c r="D58" s="135">
        <f t="shared" si="37"/>
        <v>-0.1913192612</v>
      </c>
      <c r="E58" s="135">
        <f t="shared" si="37"/>
        <v>-0.1970872567</v>
      </c>
      <c r="F58" s="135">
        <f t="shared" si="37"/>
        <v>-0.1983835947</v>
      </c>
      <c r="G58" s="135">
        <f t="shared" si="37"/>
        <v>-0.1918604651</v>
      </c>
      <c r="H58" s="135">
        <f t="shared" si="37"/>
        <v>-0.1710526316</v>
      </c>
    </row>
    <row r="59" ht="12.75" customHeight="1">
      <c r="A59" s="111">
        <v>4.0</v>
      </c>
      <c r="B59" s="135">
        <f t="shared" ref="B59:H59" si="38">B33-B46</f>
        <v>-0.2773261206</v>
      </c>
      <c r="C59" s="135">
        <f t="shared" si="38"/>
        <v>-0.2286250886</v>
      </c>
      <c r="D59" s="135">
        <f t="shared" si="38"/>
        <v>-0.1716223067</v>
      </c>
      <c r="E59" s="135">
        <f t="shared" si="38"/>
        <v>-0.1721118382</v>
      </c>
      <c r="F59" s="135">
        <f t="shared" si="38"/>
        <v>-0.1800694847</v>
      </c>
      <c r="G59" s="135">
        <f t="shared" si="38"/>
        <v>-0.1614780726</v>
      </c>
      <c r="H59" s="135">
        <f t="shared" si="38"/>
        <v>-0.1429679421</v>
      </c>
    </row>
    <row r="60" ht="12.75" customHeight="1">
      <c r="A60" s="114">
        <v>5.0</v>
      </c>
      <c r="B60" s="135">
        <f t="shared" ref="B60:H60" si="39">B34-B47</f>
        <v>-0.2618585403</v>
      </c>
      <c r="C60" s="135">
        <f t="shared" si="39"/>
        <v>-0.2049051491</v>
      </c>
      <c r="D60" s="135">
        <f t="shared" si="39"/>
        <v>-0.1600061843</v>
      </c>
      <c r="E60" s="135">
        <f t="shared" si="39"/>
        <v>-0.1528018223</v>
      </c>
      <c r="F60" s="135">
        <f t="shared" si="39"/>
        <v>-0.1562102957</v>
      </c>
      <c r="G60" s="135">
        <f t="shared" si="39"/>
        <v>-0.1431712364</v>
      </c>
      <c r="H60" s="135">
        <f t="shared" si="39"/>
        <v>-0.12109375</v>
      </c>
    </row>
    <row r="61" ht="12.75" customHeight="1">
      <c r="A61" s="117">
        <v>6.0</v>
      </c>
      <c r="B61" s="135">
        <f t="shared" ref="B61:H61" si="40">B35-B48</f>
        <v>-0.2575877521</v>
      </c>
      <c r="C61" s="135">
        <f t="shared" si="40"/>
        <v>-0.2031667792</v>
      </c>
      <c r="D61" s="135">
        <f t="shared" si="40"/>
        <v>-0.1554011023</v>
      </c>
      <c r="E61" s="135">
        <f t="shared" si="40"/>
        <v>-0.1510833806</v>
      </c>
      <c r="F61" s="135">
        <f t="shared" si="40"/>
        <v>-0.1557549234</v>
      </c>
      <c r="G61" s="135">
        <f t="shared" si="40"/>
        <v>-0.1429679421</v>
      </c>
      <c r="H61" s="135">
        <f t="shared" si="40"/>
        <v>-0.1209126403</v>
      </c>
    </row>
    <row r="62" ht="12.75" customHeight="1">
      <c r="A62" s="120">
        <v>7.0</v>
      </c>
      <c r="B62" s="135">
        <f t="shared" ref="B62:H62" si="41">B36-B49</f>
        <v>-0.2271024735</v>
      </c>
      <c r="C62" s="135">
        <f t="shared" si="41"/>
        <v>-0.191650165</v>
      </c>
      <c r="D62" s="135">
        <f t="shared" si="41"/>
        <v>-0.09346062053</v>
      </c>
      <c r="E62" s="135">
        <f t="shared" si="41"/>
        <v>-0.1378119846</v>
      </c>
      <c r="F62" s="135">
        <f t="shared" si="41"/>
        <v>-0.15838259</v>
      </c>
      <c r="G62" s="135">
        <f t="shared" si="41"/>
        <v>-0.1526787513</v>
      </c>
      <c r="H62" s="135">
        <f t="shared" si="41"/>
        <v>-0.1374788335</v>
      </c>
    </row>
    <row r="63" ht="12.75" customHeight="1">
      <c r="A63" s="120">
        <v>8.0</v>
      </c>
      <c r="B63" s="135">
        <f t="shared" ref="B63:H63" si="42">B37-B50</f>
        <v>-0.211978022</v>
      </c>
      <c r="C63" s="135">
        <f t="shared" si="42"/>
        <v>-0.1740764331</v>
      </c>
      <c r="D63" s="135">
        <f t="shared" si="42"/>
        <v>-0.07829296424</v>
      </c>
      <c r="E63" s="135">
        <f t="shared" si="42"/>
        <v>-0.1261998931</v>
      </c>
      <c r="F63" s="135">
        <f t="shared" si="42"/>
        <v>-0.1425619835</v>
      </c>
      <c r="G63" s="135">
        <f t="shared" si="42"/>
        <v>-0.1378606002</v>
      </c>
      <c r="H63" s="135">
        <f t="shared" si="42"/>
        <v>-0.1224966201</v>
      </c>
    </row>
    <row r="64" ht="12.75" customHeight="1">
      <c r="A64" s="120">
        <v>9.0</v>
      </c>
      <c r="B64" s="135">
        <f t="shared" ref="B64:H64" si="43">B38-B51</f>
        <v>-0.2042083897</v>
      </c>
      <c r="C64" s="135">
        <f t="shared" si="43"/>
        <v>-0.1673869347</v>
      </c>
      <c r="D64" s="135">
        <f t="shared" si="43"/>
        <v>-0.07628013777</v>
      </c>
      <c r="E64" s="135">
        <f t="shared" si="43"/>
        <v>-0.1227556969</v>
      </c>
      <c r="F64" s="135">
        <f t="shared" si="43"/>
        <v>-0.1344208397</v>
      </c>
      <c r="G64" s="135">
        <f t="shared" si="43"/>
        <v>-0.1231598513</v>
      </c>
      <c r="H64" s="135">
        <f t="shared" si="43"/>
        <v>-0.105203252</v>
      </c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14:C14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7"/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9.75"/>
    <col customWidth="1" min="2" max="6" width="8.63"/>
    <col customWidth="1" min="7" max="7" width="11.25"/>
    <col customWidth="1" min="8" max="8" width="11.13"/>
    <col customWidth="1" min="9" max="12" width="8.63"/>
    <col customWidth="1" min="13" max="13" width="9.75"/>
    <col customWidth="1" min="14" max="14" width="9.0"/>
    <col customWidth="1" min="15" max="15" width="8.63"/>
    <col customWidth="1" min="16" max="16" width="8.38"/>
    <col customWidth="1" min="17" max="26" width="9.38"/>
  </cols>
  <sheetData>
    <row r="1" ht="12.75" customHeight="1">
      <c r="A1" s="136"/>
      <c r="B1" s="137" t="s">
        <v>16</v>
      </c>
      <c r="C1" s="137" t="s">
        <v>16</v>
      </c>
      <c r="D1" s="137" t="s">
        <v>34</v>
      </c>
      <c r="E1" s="137" t="s">
        <v>35</v>
      </c>
      <c r="F1" s="137" t="s">
        <v>36</v>
      </c>
      <c r="G1" s="137" t="s">
        <v>37</v>
      </c>
      <c r="H1" s="137" t="s">
        <v>38</v>
      </c>
      <c r="I1" s="137" t="s">
        <v>39</v>
      </c>
      <c r="J1" s="137" t="s">
        <v>40</v>
      </c>
      <c r="K1" s="137" t="s">
        <v>41</v>
      </c>
      <c r="L1" s="137" t="s">
        <v>42</v>
      </c>
      <c r="M1" s="137" t="s">
        <v>43</v>
      </c>
      <c r="N1" s="137" t="s">
        <v>44</v>
      </c>
      <c r="O1" s="137" t="s">
        <v>45</v>
      </c>
      <c r="P1" s="137" t="s">
        <v>46</v>
      </c>
      <c r="Q1" s="137" t="s">
        <v>47</v>
      </c>
      <c r="R1" s="138"/>
      <c r="S1" s="138"/>
      <c r="T1" s="138"/>
      <c r="U1" s="138"/>
      <c r="V1" s="138"/>
      <c r="W1" s="138"/>
      <c r="X1" s="138"/>
      <c r="Y1" s="138"/>
      <c r="Z1" s="138"/>
    </row>
    <row r="2" ht="12.75" customHeight="1">
      <c r="A2" s="1" t="s">
        <v>1</v>
      </c>
      <c r="B2" s="139" t="s">
        <v>48</v>
      </c>
      <c r="C2" s="139" t="s">
        <v>49</v>
      </c>
      <c r="D2" s="139" t="s">
        <v>50</v>
      </c>
      <c r="E2" s="140" t="s">
        <v>51</v>
      </c>
      <c r="F2" s="140" t="s">
        <v>52</v>
      </c>
      <c r="G2" s="140" t="s">
        <v>53</v>
      </c>
      <c r="H2" s="140" t="s">
        <v>54</v>
      </c>
      <c r="I2" s="140" t="s">
        <v>55</v>
      </c>
      <c r="J2" s="140" t="s">
        <v>56</v>
      </c>
      <c r="K2" s="140" t="s">
        <v>57</v>
      </c>
      <c r="L2" s="140" t="s">
        <v>58</v>
      </c>
      <c r="M2" s="140" t="s">
        <v>59</v>
      </c>
      <c r="N2" s="140" t="s">
        <v>60</v>
      </c>
      <c r="O2" s="140" t="s">
        <v>61</v>
      </c>
      <c r="P2" s="140" t="s">
        <v>62</v>
      </c>
      <c r="Q2" s="140" t="s">
        <v>12</v>
      </c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>
        <v>1.0</v>
      </c>
      <c r="B3" s="141">
        <v>112.23</v>
      </c>
      <c r="C3" s="141">
        <v>120.58</v>
      </c>
      <c r="D3" s="141">
        <v>100.46</v>
      </c>
      <c r="E3" s="141">
        <v>131.23</v>
      </c>
      <c r="F3" s="141">
        <v>132.63</v>
      </c>
      <c r="G3" s="141">
        <v>130.37</v>
      </c>
      <c r="H3" s="141">
        <v>121.71</v>
      </c>
      <c r="I3" s="142">
        <v>128.11</v>
      </c>
      <c r="J3" s="142">
        <v>102.97</v>
      </c>
      <c r="K3" s="142">
        <v>151.59</v>
      </c>
      <c r="L3" s="142">
        <v>133.96</v>
      </c>
      <c r="M3" s="142">
        <v>183.3</v>
      </c>
      <c r="N3" s="142">
        <v>129.07</v>
      </c>
      <c r="O3" s="142">
        <v>139.19</v>
      </c>
      <c r="P3" s="142">
        <v>139.48</v>
      </c>
      <c r="Q3" s="142">
        <v>56.7</v>
      </c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5">
        <v>2.0</v>
      </c>
      <c r="B4" s="143">
        <v>118.98</v>
      </c>
      <c r="C4" s="143">
        <v>132.92</v>
      </c>
      <c r="D4" s="144">
        <v>108.84</v>
      </c>
      <c r="E4" s="144">
        <v>155.24</v>
      </c>
      <c r="F4" s="144">
        <v>189.66</v>
      </c>
      <c r="G4" s="144">
        <v>151.15</v>
      </c>
      <c r="H4" s="144">
        <v>144.44</v>
      </c>
      <c r="I4" s="144">
        <v>167.64</v>
      </c>
      <c r="J4" s="143">
        <v>126.47</v>
      </c>
      <c r="K4" s="145">
        <v>187.97</v>
      </c>
      <c r="L4" s="143">
        <v>167.01</v>
      </c>
      <c r="M4" s="143">
        <v>209.13</v>
      </c>
      <c r="N4" s="143">
        <v>178.81</v>
      </c>
      <c r="O4" s="143">
        <v>159.29</v>
      </c>
      <c r="P4" s="143">
        <v>154.72</v>
      </c>
      <c r="Q4" s="143">
        <v>62.2</v>
      </c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5">
        <v>3.0</v>
      </c>
      <c r="B5" s="146">
        <v>129.06</v>
      </c>
      <c r="C5" s="146">
        <v>145.91</v>
      </c>
      <c r="D5" s="147">
        <v>130.97</v>
      </c>
      <c r="E5" s="147">
        <v>180.35</v>
      </c>
      <c r="F5" s="147">
        <v>223.45</v>
      </c>
      <c r="G5" s="147">
        <v>177.49</v>
      </c>
      <c r="H5" s="146">
        <v>165.84</v>
      </c>
      <c r="I5" s="148">
        <v>186.49</v>
      </c>
      <c r="J5" s="146">
        <v>140.43</v>
      </c>
      <c r="K5" s="149">
        <v>211.18</v>
      </c>
      <c r="L5" s="146">
        <v>185.48</v>
      </c>
      <c r="M5" s="146">
        <v>236.14</v>
      </c>
      <c r="N5" s="146">
        <v>225.79</v>
      </c>
      <c r="O5" s="146">
        <v>190.04</v>
      </c>
      <c r="P5" s="146">
        <v>203.15</v>
      </c>
      <c r="Q5" s="146">
        <v>70.95</v>
      </c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5">
        <v>4.0</v>
      </c>
      <c r="B6" s="146">
        <v>137.07</v>
      </c>
      <c r="C6" s="146">
        <v>157.58</v>
      </c>
      <c r="D6" s="147">
        <v>133.19</v>
      </c>
      <c r="E6" s="146">
        <v>205.3</v>
      </c>
      <c r="F6" s="148">
        <v>272.76</v>
      </c>
      <c r="G6" s="147">
        <v>201.27</v>
      </c>
      <c r="H6" s="147">
        <v>187.01</v>
      </c>
      <c r="I6" s="147">
        <v>209.41</v>
      </c>
      <c r="J6" s="146">
        <v>155.45</v>
      </c>
      <c r="K6" s="149">
        <v>232.83</v>
      </c>
      <c r="L6" s="149">
        <v>207.61</v>
      </c>
      <c r="M6" s="149">
        <v>274.13</v>
      </c>
      <c r="N6" s="149">
        <v>259.31</v>
      </c>
      <c r="O6" s="149">
        <v>209.13</v>
      </c>
      <c r="P6" s="149">
        <v>208.57</v>
      </c>
      <c r="Q6" s="149">
        <v>75.7</v>
      </c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5">
        <v>5.0</v>
      </c>
      <c r="B7" s="150">
        <v>156.64</v>
      </c>
      <c r="C7" s="150">
        <v>182.39</v>
      </c>
      <c r="D7" s="151">
        <v>155.78</v>
      </c>
      <c r="E7" s="147">
        <v>225.51</v>
      </c>
      <c r="F7" s="147">
        <v>314.02</v>
      </c>
      <c r="G7" s="147">
        <v>220.37</v>
      </c>
      <c r="H7" s="147">
        <v>220.35</v>
      </c>
      <c r="I7" s="151">
        <v>248.95</v>
      </c>
      <c r="J7" s="150">
        <v>164.52</v>
      </c>
      <c r="K7" s="152">
        <v>267.46</v>
      </c>
      <c r="L7" s="150">
        <v>233.75</v>
      </c>
      <c r="M7" s="150">
        <v>296.06</v>
      </c>
      <c r="N7" s="150">
        <v>297.07</v>
      </c>
      <c r="O7" s="150">
        <v>219.68</v>
      </c>
      <c r="P7" s="150">
        <v>220.87</v>
      </c>
      <c r="Q7" s="150">
        <v>82.1</v>
      </c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5">
        <v>6.0</v>
      </c>
      <c r="B8" s="153">
        <v>162.2</v>
      </c>
      <c r="C8" s="153">
        <v>186.98</v>
      </c>
      <c r="D8" s="154">
        <v>161.84</v>
      </c>
      <c r="E8" s="154">
        <v>244.25</v>
      </c>
      <c r="F8" s="155">
        <v>333.0</v>
      </c>
      <c r="G8" s="154">
        <v>258.71</v>
      </c>
      <c r="H8" s="154">
        <v>237.73</v>
      </c>
      <c r="I8" s="156">
        <v>264.41</v>
      </c>
      <c r="J8" s="156">
        <v>183.84</v>
      </c>
      <c r="K8" s="156">
        <v>288.7</v>
      </c>
      <c r="L8" s="156">
        <v>246.82</v>
      </c>
      <c r="M8" s="156">
        <v>367.74</v>
      </c>
      <c r="N8" s="156">
        <v>341.72</v>
      </c>
      <c r="O8" s="156">
        <v>256.93</v>
      </c>
      <c r="P8" s="156">
        <v>237.21</v>
      </c>
      <c r="Q8" s="156">
        <v>87.5</v>
      </c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5">
        <v>7.0</v>
      </c>
      <c r="B9" s="157">
        <v>168.58</v>
      </c>
      <c r="C9" s="157">
        <v>194.22</v>
      </c>
      <c r="D9" s="158">
        <v>183.4</v>
      </c>
      <c r="E9" s="158">
        <v>249.68</v>
      </c>
      <c r="F9" s="159">
        <v>371.09</v>
      </c>
      <c r="G9" s="158">
        <v>264.82</v>
      </c>
      <c r="H9" s="158">
        <v>240.24</v>
      </c>
      <c r="I9" s="160">
        <v>271.61</v>
      </c>
      <c r="J9" s="160">
        <v>199.9</v>
      </c>
      <c r="K9" s="160">
        <v>317.62</v>
      </c>
      <c r="L9" s="160">
        <v>285.77</v>
      </c>
      <c r="M9" s="160">
        <v>374.92</v>
      </c>
      <c r="N9" s="160">
        <v>357.84</v>
      </c>
      <c r="O9" s="160">
        <v>260.67</v>
      </c>
      <c r="P9" s="160">
        <v>262.38</v>
      </c>
      <c r="Q9" s="160">
        <v>94.15</v>
      </c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5">
        <v>8.0</v>
      </c>
      <c r="B10" s="157">
        <v>171.88</v>
      </c>
      <c r="C10" s="157">
        <v>200.75</v>
      </c>
      <c r="D10" s="158">
        <v>194.75</v>
      </c>
      <c r="E10" s="158">
        <v>250.23</v>
      </c>
      <c r="F10" s="159">
        <v>374.91</v>
      </c>
      <c r="G10" s="158">
        <v>274.04</v>
      </c>
      <c r="H10" s="158">
        <v>242.34</v>
      </c>
      <c r="I10" s="160">
        <v>288.78</v>
      </c>
      <c r="J10" s="160">
        <v>201.52</v>
      </c>
      <c r="K10" s="160">
        <v>342.71</v>
      </c>
      <c r="L10" s="160">
        <v>289.67</v>
      </c>
      <c r="M10" s="160">
        <v>424.44</v>
      </c>
      <c r="N10" s="160">
        <v>399.84</v>
      </c>
      <c r="O10" s="160">
        <v>300.62</v>
      </c>
      <c r="P10" s="160">
        <v>287.37</v>
      </c>
      <c r="Q10" s="160">
        <v>99.7</v>
      </c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5">
        <v>9.0</v>
      </c>
      <c r="B11" s="157">
        <v>178.1</v>
      </c>
      <c r="C11" s="157">
        <v>214.19</v>
      </c>
      <c r="D11" s="158">
        <v>195.89</v>
      </c>
      <c r="E11" s="158">
        <v>260.61</v>
      </c>
      <c r="F11" s="159">
        <v>419.47</v>
      </c>
      <c r="G11" s="158">
        <v>281.03</v>
      </c>
      <c r="H11" s="158">
        <v>283.73</v>
      </c>
      <c r="I11" s="160">
        <v>305.98</v>
      </c>
      <c r="J11" s="160">
        <v>211.52</v>
      </c>
      <c r="K11" s="160">
        <v>370.55</v>
      </c>
      <c r="L11" s="160">
        <v>326.87</v>
      </c>
      <c r="M11" s="160">
        <v>477.41</v>
      </c>
      <c r="N11" s="160">
        <v>462.75</v>
      </c>
      <c r="O11" s="160">
        <v>313.94</v>
      </c>
      <c r="P11" s="160">
        <v>315.87</v>
      </c>
      <c r="Q11" s="160">
        <v>105.9</v>
      </c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5">
        <v>10.0</v>
      </c>
      <c r="B12" s="157">
        <v>182.13</v>
      </c>
      <c r="C12" s="161">
        <v>219.95</v>
      </c>
      <c r="D12" s="162">
        <v>197.18</v>
      </c>
      <c r="E12" s="162">
        <v>261.74</v>
      </c>
      <c r="F12" s="163">
        <v>423.93</v>
      </c>
      <c r="G12" s="162">
        <v>281.74</v>
      </c>
      <c r="H12" s="162">
        <v>287.88</v>
      </c>
      <c r="I12" s="164">
        <v>307.7</v>
      </c>
      <c r="J12" s="164">
        <v>221.89</v>
      </c>
      <c r="K12" s="164">
        <v>373.34</v>
      </c>
      <c r="L12" s="164">
        <v>330.59</v>
      </c>
      <c r="M12" s="164">
        <v>482.71</v>
      </c>
      <c r="N12" s="164">
        <v>469.05</v>
      </c>
      <c r="O12" s="164">
        <v>324.79</v>
      </c>
      <c r="P12" s="164">
        <v>318.73</v>
      </c>
      <c r="Q12" s="164">
        <v>115.1</v>
      </c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5">
        <v>11.0</v>
      </c>
      <c r="B13" s="143">
        <v>182.54</v>
      </c>
      <c r="C13" s="146">
        <v>222.72</v>
      </c>
      <c r="D13" s="146">
        <v>222.65</v>
      </c>
      <c r="E13" s="146">
        <v>284.19</v>
      </c>
      <c r="F13" s="149">
        <v>424.78</v>
      </c>
      <c r="G13" s="146">
        <v>285.01</v>
      </c>
      <c r="H13" s="146">
        <v>288.48</v>
      </c>
      <c r="I13" s="147">
        <v>312.79</v>
      </c>
      <c r="J13" s="147">
        <v>240.79</v>
      </c>
      <c r="K13" s="147">
        <v>379.77</v>
      </c>
      <c r="L13" s="147">
        <v>334.1</v>
      </c>
      <c r="M13" s="147">
        <v>506.58</v>
      </c>
      <c r="N13" s="147">
        <v>470.04</v>
      </c>
      <c r="O13" s="147">
        <v>325.88</v>
      </c>
      <c r="P13" s="147">
        <v>336.73</v>
      </c>
      <c r="Q13" s="147">
        <v>121.75</v>
      </c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5">
        <v>12.0</v>
      </c>
      <c r="B14" s="146">
        <v>184.28</v>
      </c>
      <c r="C14" s="146">
        <v>227.95</v>
      </c>
      <c r="D14" s="146">
        <v>227.21</v>
      </c>
      <c r="E14" s="146">
        <v>287.2</v>
      </c>
      <c r="F14" s="149">
        <v>439.78</v>
      </c>
      <c r="G14" s="146">
        <v>289.46</v>
      </c>
      <c r="H14" s="146">
        <v>293.47</v>
      </c>
      <c r="I14" s="147">
        <v>316.07</v>
      </c>
      <c r="J14" s="147">
        <v>242.69</v>
      </c>
      <c r="K14" s="147">
        <v>386.58</v>
      </c>
      <c r="L14" s="147">
        <v>338.79</v>
      </c>
      <c r="M14" s="147">
        <v>512.07</v>
      </c>
      <c r="N14" s="147">
        <v>477.29</v>
      </c>
      <c r="O14" s="147">
        <v>330.63</v>
      </c>
      <c r="P14" s="147">
        <v>338.54</v>
      </c>
      <c r="Q14" s="147">
        <v>128.75</v>
      </c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5">
        <v>13.0</v>
      </c>
      <c r="B15" s="146">
        <v>200.23</v>
      </c>
      <c r="C15" s="146">
        <v>262.45</v>
      </c>
      <c r="D15" s="146">
        <v>228.73</v>
      </c>
      <c r="E15" s="146">
        <v>314.86</v>
      </c>
      <c r="F15" s="149">
        <v>479.81</v>
      </c>
      <c r="G15" s="146">
        <v>315.33</v>
      </c>
      <c r="H15" s="146">
        <v>346.41</v>
      </c>
      <c r="I15" s="147">
        <v>354.75</v>
      </c>
      <c r="J15" s="147">
        <v>249.46</v>
      </c>
      <c r="K15" s="147">
        <v>483.07</v>
      </c>
      <c r="L15" s="147">
        <v>371.2</v>
      </c>
      <c r="M15" s="147">
        <v>548.48</v>
      </c>
      <c r="N15" s="147">
        <v>517.63</v>
      </c>
      <c r="O15" s="147">
        <v>383.76</v>
      </c>
      <c r="P15" s="147">
        <v>363.96</v>
      </c>
      <c r="Q15" s="147">
        <v>133.5</v>
      </c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5">
        <v>14.0</v>
      </c>
      <c r="B16" s="146">
        <v>207.09</v>
      </c>
      <c r="C16" s="146">
        <v>270.65</v>
      </c>
      <c r="D16" s="146">
        <v>229.33</v>
      </c>
      <c r="E16" s="146">
        <v>342.12</v>
      </c>
      <c r="F16" s="149">
        <v>555.58</v>
      </c>
      <c r="G16" s="146">
        <v>338.84</v>
      </c>
      <c r="H16" s="146">
        <v>351.71</v>
      </c>
      <c r="I16" s="147">
        <v>400.93</v>
      </c>
      <c r="J16" s="147">
        <v>256.72</v>
      </c>
      <c r="K16" s="147">
        <v>505.52</v>
      </c>
      <c r="L16" s="147">
        <v>409.26</v>
      </c>
      <c r="M16" s="147">
        <v>638.55</v>
      </c>
      <c r="N16" s="147">
        <v>588.91</v>
      </c>
      <c r="O16" s="147">
        <v>421.83</v>
      </c>
      <c r="P16" s="147">
        <v>425.16</v>
      </c>
      <c r="Q16" s="147">
        <v>138.6</v>
      </c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5">
        <v>15.0</v>
      </c>
      <c r="B17" s="150">
        <v>220.09</v>
      </c>
      <c r="C17" s="150">
        <v>284.86</v>
      </c>
      <c r="D17" s="150">
        <v>241.09</v>
      </c>
      <c r="E17" s="150">
        <v>351.13</v>
      </c>
      <c r="F17" s="152">
        <v>613.83</v>
      </c>
      <c r="G17" s="150">
        <v>341.2</v>
      </c>
      <c r="H17" s="150">
        <v>352.42</v>
      </c>
      <c r="I17" s="151">
        <v>422.61</v>
      </c>
      <c r="J17" s="151">
        <v>266.14</v>
      </c>
      <c r="K17" s="151">
        <v>527.04</v>
      </c>
      <c r="L17" s="151">
        <v>413.07</v>
      </c>
      <c r="M17" s="151">
        <v>647.57</v>
      </c>
      <c r="N17" s="151">
        <v>596.04</v>
      </c>
      <c r="O17" s="151">
        <v>437.02</v>
      </c>
      <c r="P17" s="151">
        <v>470.05</v>
      </c>
      <c r="Q17" s="151">
        <v>143.9</v>
      </c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5">
        <v>16.0</v>
      </c>
      <c r="B18" s="153">
        <v>230.4</v>
      </c>
      <c r="C18" s="153">
        <v>291.27</v>
      </c>
      <c r="D18" s="158">
        <v>242.27</v>
      </c>
      <c r="E18" s="158">
        <v>378.74</v>
      </c>
      <c r="F18" s="159">
        <v>619.66</v>
      </c>
      <c r="G18" s="158">
        <v>362.32</v>
      </c>
      <c r="H18" s="158">
        <v>353.13</v>
      </c>
      <c r="I18" s="160">
        <v>424.79</v>
      </c>
      <c r="J18" s="160">
        <v>300.74</v>
      </c>
      <c r="K18" s="160">
        <v>561.11</v>
      </c>
      <c r="L18" s="160">
        <v>461.04</v>
      </c>
      <c r="M18" s="160">
        <v>672.89</v>
      </c>
      <c r="N18" s="160">
        <v>597.85</v>
      </c>
      <c r="O18" s="160">
        <v>445.21</v>
      </c>
      <c r="P18" s="160">
        <v>493.35</v>
      </c>
      <c r="Q18" s="160">
        <v>150.35</v>
      </c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5">
        <v>17.0</v>
      </c>
      <c r="B19" s="157">
        <v>232.2</v>
      </c>
      <c r="C19" s="157">
        <v>292.0</v>
      </c>
      <c r="D19" s="158">
        <v>255.38</v>
      </c>
      <c r="E19" s="158">
        <v>381.51</v>
      </c>
      <c r="F19" s="159">
        <v>622.49</v>
      </c>
      <c r="G19" s="158">
        <v>382.48</v>
      </c>
      <c r="H19" s="158">
        <v>364.42</v>
      </c>
      <c r="I19" s="160">
        <v>444.85</v>
      </c>
      <c r="J19" s="160">
        <v>311.01</v>
      </c>
      <c r="K19" s="160">
        <v>574.63</v>
      </c>
      <c r="L19" s="160">
        <v>480.78</v>
      </c>
      <c r="M19" s="160">
        <v>709.39</v>
      </c>
      <c r="N19" s="160">
        <v>601.92</v>
      </c>
      <c r="O19" s="160">
        <v>460.87</v>
      </c>
      <c r="P19" s="160">
        <v>495.69</v>
      </c>
      <c r="Q19" s="160">
        <v>156.6</v>
      </c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5">
        <v>18.0</v>
      </c>
      <c r="B20" s="157">
        <v>238.32</v>
      </c>
      <c r="C20" s="157">
        <v>299.28</v>
      </c>
      <c r="D20" s="158">
        <v>257.18</v>
      </c>
      <c r="E20" s="158">
        <v>382.3</v>
      </c>
      <c r="F20" s="159">
        <v>679.09</v>
      </c>
      <c r="G20" s="158">
        <v>384.53</v>
      </c>
      <c r="H20" s="158">
        <v>396.12</v>
      </c>
      <c r="I20" s="160">
        <v>462.38</v>
      </c>
      <c r="J20" s="160">
        <v>312.05</v>
      </c>
      <c r="K20" s="160">
        <v>579.2</v>
      </c>
      <c r="L20" s="160">
        <v>494.21</v>
      </c>
      <c r="M20" s="160">
        <v>766.54</v>
      </c>
      <c r="N20" s="160">
        <v>683.05</v>
      </c>
      <c r="O20" s="160">
        <v>468.44</v>
      </c>
      <c r="P20" s="160">
        <v>522.0</v>
      </c>
      <c r="Q20" s="160">
        <v>164.35</v>
      </c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5">
        <v>19.0</v>
      </c>
      <c r="B21" s="157">
        <v>244.36</v>
      </c>
      <c r="C21" s="157">
        <v>306.66</v>
      </c>
      <c r="D21" s="158">
        <v>292.9</v>
      </c>
      <c r="E21" s="158">
        <v>383.58</v>
      </c>
      <c r="F21" s="159">
        <v>690.78</v>
      </c>
      <c r="G21" s="158">
        <v>405.31</v>
      </c>
      <c r="H21" s="158">
        <v>399.3</v>
      </c>
      <c r="I21" s="160">
        <v>464.14</v>
      </c>
      <c r="J21" s="160">
        <v>317.82</v>
      </c>
      <c r="K21" s="160">
        <v>611.48</v>
      </c>
      <c r="L21" s="160">
        <v>521.72</v>
      </c>
      <c r="M21" s="160">
        <v>792.04</v>
      </c>
      <c r="N21" s="160">
        <v>729.9</v>
      </c>
      <c r="O21" s="160">
        <v>470.92</v>
      </c>
      <c r="P21" s="160">
        <v>529.93</v>
      </c>
      <c r="Q21" s="160">
        <v>173.0</v>
      </c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5">
        <v>20.0</v>
      </c>
      <c r="B22" s="161">
        <v>250.44</v>
      </c>
      <c r="C22" s="161">
        <v>313.99</v>
      </c>
      <c r="D22" s="162">
        <v>299.12</v>
      </c>
      <c r="E22" s="162">
        <v>408.91</v>
      </c>
      <c r="F22" s="163">
        <v>768.46</v>
      </c>
      <c r="G22" s="162">
        <v>418.45</v>
      </c>
      <c r="H22" s="162">
        <v>400.23</v>
      </c>
      <c r="I22" s="164">
        <v>465.85</v>
      </c>
      <c r="J22" s="164">
        <v>319.07</v>
      </c>
      <c r="K22" s="164">
        <v>622.22</v>
      </c>
      <c r="L22" s="164">
        <v>524.48</v>
      </c>
      <c r="M22" s="164">
        <v>794.6</v>
      </c>
      <c r="N22" s="164">
        <v>737.99</v>
      </c>
      <c r="O22" s="164">
        <v>520.17</v>
      </c>
      <c r="P22" s="164">
        <v>539.35</v>
      </c>
      <c r="Q22" s="164">
        <v>179.3</v>
      </c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5">
        <v>21.0</v>
      </c>
      <c r="B23" s="143">
        <v>277.45</v>
      </c>
      <c r="C23" s="143">
        <v>350.26</v>
      </c>
      <c r="D23" s="146">
        <v>301.47</v>
      </c>
      <c r="E23" s="146">
        <v>428.6</v>
      </c>
      <c r="F23" s="149">
        <v>825.71</v>
      </c>
      <c r="G23" s="146">
        <v>422.07</v>
      </c>
      <c r="H23" s="146">
        <v>418.68</v>
      </c>
      <c r="I23" s="147">
        <v>473.04</v>
      </c>
      <c r="J23" s="147">
        <v>344.0</v>
      </c>
      <c r="K23" s="147">
        <v>637.26</v>
      </c>
      <c r="L23" s="147">
        <v>548.93</v>
      </c>
      <c r="M23" s="147">
        <v>828.76</v>
      </c>
      <c r="N23" s="147">
        <v>787.37</v>
      </c>
      <c r="O23" s="147">
        <v>534.58</v>
      </c>
      <c r="P23" s="147">
        <v>542.78</v>
      </c>
      <c r="Q23" s="147">
        <v>186.0</v>
      </c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5">
        <v>22.0</v>
      </c>
      <c r="B24" s="146">
        <v>280.16</v>
      </c>
      <c r="C24" s="146">
        <v>353.92</v>
      </c>
      <c r="D24" s="146">
        <v>302.74</v>
      </c>
      <c r="E24" s="146">
        <v>430.57</v>
      </c>
      <c r="F24" s="149">
        <v>842.17</v>
      </c>
      <c r="G24" s="146">
        <v>422.44</v>
      </c>
      <c r="H24" s="146">
        <v>437.93</v>
      </c>
      <c r="I24" s="147">
        <v>473.76</v>
      </c>
      <c r="J24" s="147">
        <v>362.94</v>
      </c>
      <c r="K24" s="147">
        <v>638.77</v>
      </c>
      <c r="L24" s="147">
        <v>551.38</v>
      </c>
      <c r="M24" s="147">
        <v>854.15</v>
      </c>
      <c r="N24" s="147">
        <v>792.31</v>
      </c>
      <c r="O24" s="147">
        <v>536.03</v>
      </c>
      <c r="P24" s="147">
        <v>543.13</v>
      </c>
      <c r="Q24" s="147">
        <v>194.6</v>
      </c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5">
        <v>23.0</v>
      </c>
      <c r="B25" s="146">
        <v>289.89</v>
      </c>
      <c r="C25" s="146">
        <v>354.39</v>
      </c>
      <c r="D25" s="146">
        <v>328.09</v>
      </c>
      <c r="E25" s="146">
        <v>430.84</v>
      </c>
      <c r="F25" s="149">
        <v>843.82</v>
      </c>
      <c r="G25" s="146">
        <v>422.73</v>
      </c>
      <c r="H25" s="146">
        <v>439.86</v>
      </c>
      <c r="I25" s="147">
        <v>474.04</v>
      </c>
      <c r="J25" s="147">
        <v>364.84</v>
      </c>
      <c r="K25" s="147">
        <v>639.05</v>
      </c>
      <c r="L25" s="147">
        <v>551.66</v>
      </c>
      <c r="M25" s="147">
        <v>856.7</v>
      </c>
      <c r="N25" s="147">
        <v>792.81</v>
      </c>
      <c r="O25" s="147">
        <v>536.28</v>
      </c>
      <c r="P25" s="147">
        <v>543.39</v>
      </c>
      <c r="Q25" s="147">
        <v>201.75</v>
      </c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5">
        <v>24.0</v>
      </c>
      <c r="B26" s="146">
        <v>299.51</v>
      </c>
      <c r="C26" s="146">
        <v>354.71</v>
      </c>
      <c r="D26" s="146">
        <v>339.27</v>
      </c>
      <c r="E26" s="146">
        <v>431.22</v>
      </c>
      <c r="F26" s="149">
        <v>844.38</v>
      </c>
      <c r="G26" s="146">
        <v>423.06</v>
      </c>
      <c r="H26" s="146">
        <v>440.17</v>
      </c>
      <c r="I26" s="147">
        <v>474.52</v>
      </c>
      <c r="J26" s="147">
        <v>365.83</v>
      </c>
      <c r="K26" s="147">
        <v>639.64</v>
      </c>
      <c r="L26" s="147">
        <v>552.03</v>
      </c>
      <c r="M26" s="147">
        <v>877.54</v>
      </c>
      <c r="N26" s="147">
        <v>793.15</v>
      </c>
      <c r="O26" s="147">
        <v>536.77</v>
      </c>
      <c r="P26" s="147">
        <v>543.82</v>
      </c>
      <c r="Q26" s="147">
        <v>209.2</v>
      </c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5">
        <v>25.0</v>
      </c>
      <c r="B27" s="150">
        <v>303.31</v>
      </c>
      <c r="C27" s="150">
        <v>359.53</v>
      </c>
      <c r="D27" s="150">
        <v>340.39</v>
      </c>
      <c r="E27" s="150">
        <v>438.7</v>
      </c>
      <c r="F27" s="152">
        <v>853.39</v>
      </c>
      <c r="G27" s="150">
        <v>429.54</v>
      </c>
      <c r="H27" s="150">
        <v>446.17</v>
      </c>
      <c r="I27" s="151">
        <v>484.05</v>
      </c>
      <c r="J27" s="151">
        <v>368.05</v>
      </c>
      <c r="K27" s="151">
        <v>651.32</v>
      </c>
      <c r="L27" s="151">
        <v>559.26</v>
      </c>
      <c r="M27" s="151">
        <v>886.94</v>
      </c>
      <c r="N27" s="151">
        <v>799.88</v>
      </c>
      <c r="O27" s="151">
        <v>546.38</v>
      </c>
      <c r="P27" s="151">
        <v>552.25</v>
      </c>
      <c r="Q27" s="151">
        <v>216.55</v>
      </c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5">
        <v>26.0</v>
      </c>
      <c r="B28" s="153">
        <v>345.88</v>
      </c>
      <c r="C28" s="153">
        <v>411.85</v>
      </c>
      <c r="D28" s="158">
        <v>340.67</v>
      </c>
      <c r="E28" s="158">
        <v>580.95</v>
      </c>
      <c r="F28" s="159">
        <v>993.51</v>
      </c>
      <c r="G28" s="158">
        <v>559.05</v>
      </c>
      <c r="H28" s="158">
        <v>496.95</v>
      </c>
      <c r="I28" s="160">
        <v>674.28</v>
      </c>
      <c r="J28" s="160">
        <v>412.27</v>
      </c>
      <c r="K28" s="160">
        <v>855.94</v>
      </c>
      <c r="L28" s="160">
        <v>662.64</v>
      </c>
      <c r="M28" s="160">
        <v>958.05</v>
      </c>
      <c r="N28" s="160">
        <v>933.58</v>
      </c>
      <c r="O28" s="160">
        <v>729.16</v>
      </c>
      <c r="P28" s="160">
        <v>720.65</v>
      </c>
      <c r="Q28" s="160">
        <v>218.15</v>
      </c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5">
        <v>27.0</v>
      </c>
      <c r="B29" s="157">
        <v>362.6</v>
      </c>
      <c r="C29" s="157">
        <v>431.64</v>
      </c>
      <c r="D29" s="158">
        <v>340.94</v>
      </c>
      <c r="E29" s="158">
        <v>613.24</v>
      </c>
      <c r="F29" s="159">
        <v>1007.53</v>
      </c>
      <c r="G29" s="158">
        <v>588.75</v>
      </c>
      <c r="H29" s="158">
        <v>526.02</v>
      </c>
      <c r="I29" s="160">
        <v>693.58</v>
      </c>
      <c r="J29" s="160">
        <v>421.01</v>
      </c>
      <c r="K29" s="160">
        <v>878.46</v>
      </c>
      <c r="L29" s="160">
        <v>695.3</v>
      </c>
      <c r="M29" s="160">
        <v>965.17</v>
      </c>
      <c r="N29" s="160">
        <v>1049.69</v>
      </c>
      <c r="O29" s="160">
        <v>755.88</v>
      </c>
      <c r="P29" s="160">
        <v>776.24</v>
      </c>
      <c r="Q29" s="160">
        <v>225.05</v>
      </c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5">
        <v>28.0</v>
      </c>
      <c r="B30" s="157">
        <v>376.19</v>
      </c>
      <c r="C30" s="157">
        <v>434.82</v>
      </c>
      <c r="D30" s="158">
        <v>342.44</v>
      </c>
      <c r="E30" s="158">
        <v>616.49</v>
      </c>
      <c r="F30" s="159">
        <v>1032.41</v>
      </c>
      <c r="G30" s="158">
        <v>591.72</v>
      </c>
      <c r="H30" s="159">
        <v>528.94</v>
      </c>
      <c r="I30" s="160">
        <v>711.32</v>
      </c>
      <c r="J30" s="160">
        <v>422.28</v>
      </c>
      <c r="K30" s="160">
        <v>880.72</v>
      </c>
      <c r="L30" s="160">
        <v>775.55</v>
      </c>
      <c r="M30" s="160">
        <v>971.11</v>
      </c>
      <c r="N30" s="160">
        <v>1061.31</v>
      </c>
      <c r="O30" s="160">
        <v>760.68</v>
      </c>
      <c r="P30" s="160">
        <v>791.56</v>
      </c>
      <c r="Q30" s="160">
        <v>232.2</v>
      </c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5">
        <v>29.0</v>
      </c>
      <c r="B31" s="157">
        <v>381.91</v>
      </c>
      <c r="C31" s="157">
        <v>436.21</v>
      </c>
      <c r="D31" s="158">
        <v>371.98</v>
      </c>
      <c r="E31" s="158">
        <v>616.86</v>
      </c>
      <c r="F31" s="159">
        <v>1037.73</v>
      </c>
      <c r="G31" s="158">
        <v>592.34</v>
      </c>
      <c r="H31" s="159">
        <v>573.12</v>
      </c>
      <c r="I31" s="160">
        <v>713.34</v>
      </c>
      <c r="J31" s="160">
        <v>447.39</v>
      </c>
      <c r="K31" s="160">
        <v>884.43</v>
      </c>
      <c r="L31" s="160">
        <v>783.58</v>
      </c>
      <c r="M31" s="160">
        <v>1020.65</v>
      </c>
      <c r="N31" s="160">
        <v>1062.49</v>
      </c>
      <c r="O31" s="160">
        <v>802.99</v>
      </c>
      <c r="P31" s="160">
        <v>793.1</v>
      </c>
      <c r="Q31" s="160">
        <v>238.5</v>
      </c>
      <c r="R31" s="138"/>
      <c r="S31" s="138"/>
      <c r="T31" s="138"/>
      <c r="U31" s="138"/>
      <c r="V31" s="138"/>
      <c r="W31" s="138"/>
      <c r="X31" s="138"/>
      <c r="Y31" s="138"/>
      <c r="Z31" s="138"/>
    </row>
    <row r="32" ht="12.75" customHeight="1">
      <c r="A32" s="5">
        <v>30.0</v>
      </c>
      <c r="B32" s="161">
        <v>382.55</v>
      </c>
      <c r="C32" s="161">
        <v>452.62</v>
      </c>
      <c r="D32" s="162">
        <v>374.94</v>
      </c>
      <c r="E32" s="162">
        <v>617.66</v>
      </c>
      <c r="F32" s="163">
        <v>1038.27</v>
      </c>
      <c r="G32" s="162">
        <v>592.63</v>
      </c>
      <c r="H32" s="163">
        <v>608.92</v>
      </c>
      <c r="I32" s="164">
        <v>731.09</v>
      </c>
      <c r="J32" s="164">
        <v>449.91</v>
      </c>
      <c r="K32" s="164">
        <v>884.81</v>
      </c>
      <c r="L32" s="164">
        <v>784.41</v>
      </c>
      <c r="M32" s="164">
        <v>1025.62</v>
      </c>
      <c r="N32" s="164">
        <v>1062.77</v>
      </c>
      <c r="O32" s="164">
        <v>807.23</v>
      </c>
      <c r="P32" s="164">
        <v>793.75</v>
      </c>
      <c r="Q32" s="164">
        <v>245.5</v>
      </c>
      <c r="R32" s="138"/>
      <c r="S32" s="138"/>
      <c r="T32" s="138"/>
      <c r="U32" s="138"/>
      <c r="V32" s="138"/>
      <c r="W32" s="138"/>
      <c r="X32" s="138"/>
      <c r="Y32" s="138"/>
      <c r="Z32" s="138"/>
    </row>
    <row r="33" ht="12.75" customHeight="1">
      <c r="A33" s="5">
        <v>31.0</v>
      </c>
      <c r="B33" s="143">
        <v>385.33</v>
      </c>
      <c r="C33" s="143">
        <v>454.31</v>
      </c>
      <c r="D33" s="146">
        <v>375.25</v>
      </c>
      <c r="E33" s="146">
        <v>628.86</v>
      </c>
      <c r="F33" s="149">
        <v>1043.31</v>
      </c>
      <c r="G33" s="146">
        <v>594.37</v>
      </c>
      <c r="H33" s="149">
        <v>621.12</v>
      </c>
      <c r="I33" s="147">
        <v>733.05</v>
      </c>
      <c r="J33" s="147">
        <v>450.32</v>
      </c>
      <c r="K33" s="147">
        <v>885.1</v>
      </c>
      <c r="L33" s="147">
        <v>800.88</v>
      </c>
      <c r="M33" s="147">
        <v>1114.45</v>
      </c>
      <c r="N33" s="147">
        <v>1063.04</v>
      </c>
      <c r="O33" s="147">
        <v>807.66</v>
      </c>
      <c r="P33" s="147">
        <v>794.01</v>
      </c>
      <c r="Q33" s="147">
        <v>252.3</v>
      </c>
      <c r="R33" s="138"/>
      <c r="S33" s="138"/>
      <c r="T33" s="138"/>
      <c r="U33" s="138"/>
      <c r="V33" s="138"/>
      <c r="W33" s="138"/>
      <c r="X33" s="138"/>
      <c r="Y33" s="138"/>
      <c r="Z33" s="138"/>
    </row>
    <row r="34" ht="12.75" customHeight="1">
      <c r="A34" s="5">
        <v>32.0</v>
      </c>
      <c r="B34" s="146">
        <v>385.62</v>
      </c>
      <c r="C34" s="146">
        <v>454.58</v>
      </c>
      <c r="D34" s="146">
        <v>375.58</v>
      </c>
      <c r="E34" s="146">
        <v>629.99</v>
      </c>
      <c r="F34" s="149">
        <v>1143.0</v>
      </c>
      <c r="G34" s="146">
        <v>629.08</v>
      </c>
      <c r="H34" s="149">
        <v>661.34</v>
      </c>
      <c r="I34" s="147">
        <v>737.03</v>
      </c>
      <c r="J34" s="147">
        <v>458.31</v>
      </c>
      <c r="K34" s="147">
        <v>885.37</v>
      </c>
      <c r="L34" s="147">
        <v>802.54</v>
      </c>
      <c r="M34" s="147">
        <v>1123.35</v>
      </c>
      <c r="N34" s="147">
        <v>1063.44</v>
      </c>
      <c r="O34" s="147">
        <v>811.58</v>
      </c>
      <c r="P34" s="147">
        <v>796.44</v>
      </c>
      <c r="Q34" s="147">
        <v>259.65</v>
      </c>
      <c r="R34" s="138"/>
      <c r="S34" s="138"/>
      <c r="T34" s="138"/>
      <c r="U34" s="138"/>
      <c r="V34" s="138"/>
      <c r="W34" s="138"/>
      <c r="X34" s="138"/>
      <c r="Y34" s="138"/>
      <c r="Z34" s="138"/>
    </row>
    <row r="35" ht="12.75" customHeight="1">
      <c r="A35" s="5">
        <v>33.0</v>
      </c>
      <c r="B35" s="146">
        <v>385.9</v>
      </c>
      <c r="C35" s="146">
        <v>454.87</v>
      </c>
      <c r="D35" s="146">
        <v>375.94</v>
      </c>
      <c r="E35" s="146">
        <v>633.68</v>
      </c>
      <c r="F35" s="149">
        <v>1152.97</v>
      </c>
      <c r="G35" s="146">
        <v>687.26</v>
      </c>
      <c r="H35" s="149">
        <v>665.38</v>
      </c>
      <c r="I35" s="147">
        <v>757.7</v>
      </c>
      <c r="J35" s="147">
        <v>472.82</v>
      </c>
      <c r="K35" s="147">
        <v>885.66</v>
      </c>
      <c r="L35" s="147">
        <v>802.88</v>
      </c>
      <c r="M35" s="147">
        <v>1133.37</v>
      </c>
      <c r="N35" s="147">
        <v>1063.86</v>
      </c>
      <c r="O35" s="147">
        <v>889.66</v>
      </c>
      <c r="P35" s="147">
        <v>843.66</v>
      </c>
      <c r="Q35" s="147">
        <v>266.7</v>
      </c>
      <c r="R35" s="34"/>
      <c r="S35" s="34"/>
      <c r="T35" s="34"/>
      <c r="U35" s="34"/>
      <c r="V35" s="34"/>
      <c r="W35" s="34"/>
      <c r="X35" s="34"/>
      <c r="Y35" s="34"/>
      <c r="Z35" s="34"/>
    </row>
    <row r="36" ht="12.75" customHeight="1">
      <c r="A36" s="5">
        <v>34.0</v>
      </c>
      <c r="B36" s="146">
        <v>386.19</v>
      </c>
      <c r="C36" s="146">
        <v>455.15</v>
      </c>
      <c r="D36" s="146">
        <v>376.21</v>
      </c>
      <c r="E36" s="146">
        <v>634.09</v>
      </c>
      <c r="F36" s="149">
        <v>1153.98</v>
      </c>
      <c r="G36" s="146">
        <v>693.1</v>
      </c>
      <c r="H36" s="149">
        <v>666.02</v>
      </c>
      <c r="I36" s="147">
        <v>759.77</v>
      </c>
      <c r="J36" s="147">
        <v>474.29</v>
      </c>
      <c r="K36" s="147">
        <v>887.49</v>
      </c>
      <c r="L36" s="147">
        <v>803.29</v>
      </c>
      <c r="M36" s="147">
        <v>1134.42</v>
      </c>
      <c r="N36" s="147">
        <v>1064.12</v>
      </c>
      <c r="O36" s="147">
        <v>897.48</v>
      </c>
      <c r="P36" s="147">
        <v>873.57</v>
      </c>
      <c r="Q36" s="147">
        <v>273.65</v>
      </c>
      <c r="R36" s="138"/>
      <c r="S36" s="138"/>
      <c r="T36" s="138"/>
      <c r="U36" s="138"/>
      <c r="V36" s="138"/>
      <c r="W36" s="138"/>
      <c r="X36" s="138"/>
      <c r="Y36" s="138"/>
      <c r="Z36" s="138"/>
    </row>
    <row r="37" ht="12.75" customHeight="1">
      <c r="A37" s="5">
        <v>35.0</v>
      </c>
      <c r="B37" s="150">
        <v>389.23</v>
      </c>
      <c r="C37" s="150">
        <v>457.21</v>
      </c>
      <c r="D37" s="150">
        <v>376.52</v>
      </c>
      <c r="E37" s="150">
        <v>634.4</v>
      </c>
      <c r="F37" s="152">
        <v>1154.24</v>
      </c>
      <c r="G37" s="150">
        <v>697.81</v>
      </c>
      <c r="H37" s="152">
        <v>668.83</v>
      </c>
      <c r="I37" s="151">
        <v>772.93</v>
      </c>
      <c r="J37" s="151">
        <v>476.19</v>
      </c>
      <c r="K37" s="151">
        <v>923.99</v>
      </c>
      <c r="L37" s="151">
        <v>807.11</v>
      </c>
      <c r="M37" s="151">
        <v>1134.73</v>
      </c>
      <c r="N37" s="151">
        <v>1064.48</v>
      </c>
      <c r="O37" s="151">
        <v>900.54</v>
      </c>
      <c r="P37" s="151">
        <v>879.32</v>
      </c>
      <c r="Q37" s="151">
        <v>281.0</v>
      </c>
      <c r="R37" s="138"/>
      <c r="S37" s="138"/>
      <c r="T37" s="138"/>
      <c r="U37" s="138"/>
      <c r="V37" s="138"/>
      <c r="W37" s="138"/>
      <c r="X37" s="138"/>
      <c r="Y37" s="138"/>
      <c r="Z37" s="138"/>
    </row>
    <row r="38" ht="12.75" customHeight="1">
      <c r="A38" s="5">
        <v>36.0</v>
      </c>
      <c r="B38" s="141">
        <v>433.26</v>
      </c>
      <c r="C38" s="141">
        <v>498.32</v>
      </c>
      <c r="D38" s="141">
        <v>382.69</v>
      </c>
      <c r="E38" s="141">
        <v>634.77</v>
      </c>
      <c r="F38" s="141">
        <v>1154.5</v>
      </c>
      <c r="G38" s="141">
        <v>698.29</v>
      </c>
      <c r="H38" s="141">
        <v>724.79</v>
      </c>
      <c r="I38" s="142">
        <v>802.23</v>
      </c>
      <c r="J38" s="141">
        <v>476.45</v>
      </c>
      <c r="K38" s="141">
        <v>1100.48</v>
      </c>
      <c r="L38" s="141">
        <v>830.66</v>
      </c>
      <c r="M38" s="141">
        <v>1136.77</v>
      </c>
      <c r="N38" s="141">
        <v>1064.82</v>
      </c>
      <c r="O38" s="141">
        <v>961.61</v>
      </c>
      <c r="P38" s="141">
        <v>880.02</v>
      </c>
      <c r="Q38" s="141">
        <v>293.3</v>
      </c>
      <c r="R38" s="138"/>
      <c r="S38" s="138"/>
      <c r="T38" s="138"/>
      <c r="U38" s="138"/>
      <c r="V38" s="138"/>
      <c r="W38" s="138"/>
      <c r="X38" s="138"/>
      <c r="Y38" s="138"/>
      <c r="Z38" s="138"/>
    </row>
    <row r="39" ht="12.75" customHeight="1">
      <c r="A39" s="5">
        <v>37.0</v>
      </c>
      <c r="B39" s="143">
        <v>437.67</v>
      </c>
      <c r="C39" s="143">
        <v>507.79</v>
      </c>
      <c r="D39" s="144">
        <v>383.85</v>
      </c>
      <c r="E39" s="144">
        <v>637.3</v>
      </c>
      <c r="F39" s="144">
        <v>1154.76</v>
      </c>
      <c r="G39" s="144">
        <v>698.64</v>
      </c>
      <c r="H39" s="144">
        <v>730.41</v>
      </c>
      <c r="I39" s="144">
        <v>806.12</v>
      </c>
      <c r="J39" s="144">
        <v>477.18</v>
      </c>
      <c r="K39" s="144">
        <v>1118.14</v>
      </c>
      <c r="L39" s="144">
        <v>833.03</v>
      </c>
      <c r="M39" s="144">
        <v>1138.91</v>
      </c>
      <c r="N39" s="144">
        <v>1068.71</v>
      </c>
      <c r="O39" s="144">
        <v>967.83</v>
      </c>
      <c r="P39" s="144">
        <v>893.86</v>
      </c>
      <c r="Q39" s="144">
        <v>300.7</v>
      </c>
      <c r="R39" s="138"/>
      <c r="S39" s="138"/>
      <c r="T39" s="138"/>
      <c r="U39" s="138"/>
      <c r="V39" s="138"/>
      <c r="W39" s="138"/>
      <c r="X39" s="138"/>
      <c r="Y39" s="138"/>
      <c r="Z39" s="138"/>
    </row>
    <row r="40" ht="12.75" customHeight="1">
      <c r="A40" s="5">
        <v>38.0</v>
      </c>
      <c r="B40" s="146">
        <v>450.21</v>
      </c>
      <c r="C40" s="146">
        <v>517.21</v>
      </c>
      <c r="D40" s="147">
        <v>388.12</v>
      </c>
      <c r="E40" s="147">
        <v>650.04</v>
      </c>
      <c r="F40" s="147">
        <v>1155.2</v>
      </c>
      <c r="G40" s="147">
        <v>699.06</v>
      </c>
      <c r="H40" s="146">
        <v>743.03</v>
      </c>
      <c r="I40" s="148">
        <v>807.82</v>
      </c>
      <c r="J40" s="146">
        <v>477.45</v>
      </c>
      <c r="K40" s="146">
        <v>1155.04</v>
      </c>
      <c r="L40" s="146">
        <v>852.72</v>
      </c>
      <c r="M40" s="146">
        <v>1181.52</v>
      </c>
      <c r="N40" s="146">
        <v>1091.76</v>
      </c>
      <c r="O40" s="146">
        <v>968.46</v>
      </c>
      <c r="P40" s="146">
        <v>906.71</v>
      </c>
      <c r="Q40" s="146">
        <v>307.8</v>
      </c>
      <c r="R40" s="138"/>
      <c r="S40" s="138"/>
      <c r="T40" s="138"/>
      <c r="U40" s="138"/>
      <c r="V40" s="138"/>
      <c r="W40" s="138"/>
      <c r="X40" s="138"/>
      <c r="Y40" s="138"/>
      <c r="Z40" s="138"/>
    </row>
    <row r="41" ht="12.75" customHeight="1">
      <c r="A41" s="5">
        <v>39.0</v>
      </c>
      <c r="B41" s="146">
        <v>458.68</v>
      </c>
      <c r="C41" s="146">
        <v>526.63</v>
      </c>
      <c r="D41" s="147">
        <v>390.72</v>
      </c>
      <c r="E41" s="146">
        <v>717.57</v>
      </c>
      <c r="F41" s="148">
        <v>1163.85</v>
      </c>
      <c r="G41" s="147">
        <v>699.34</v>
      </c>
      <c r="H41" s="147">
        <v>753.28</v>
      </c>
      <c r="I41" s="147">
        <v>841.0</v>
      </c>
      <c r="J41" s="147">
        <v>479.69</v>
      </c>
      <c r="K41" s="147">
        <v>1187.48</v>
      </c>
      <c r="L41" s="147">
        <v>931.69</v>
      </c>
      <c r="M41" s="147">
        <v>1301.36</v>
      </c>
      <c r="N41" s="147">
        <v>1121.9</v>
      </c>
      <c r="O41" s="147">
        <v>968.77</v>
      </c>
      <c r="P41" s="147">
        <v>946.77</v>
      </c>
      <c r="Q41" s="147">
        <v>314.95</v>
      </c>
      <c r="R41" s="138"/>
      <c r="S41" s="138"/>
      <c r="T41" s="138"/>
      <c r="U41" s="138"/>
      <c r="V41" s="138"/>
      <c r="W41" s="138"/>
      <c r="X41" s="138"/>
      <c r="Y41" s="138"/>
      <c r="Z41" s="138"/>
    </row>
    <row r="42" ht="12.75" customHeight="1">
      <c r="A42" s="5">
        <v>40.0</v>
      </c>
      <c r="B42" s="150">
        <v>467.17</v>
      </c>
      <c r="C42" s="150">
        <v>540.9</v>
      </c>
      <c r="D42" s="151">
        <v>391.04</v>
      </c>
      <c r="E42" s="147">
        <v>724.33</v>
      </c>
      <c r="F42" s="147">
        <v>1335.6</v>
      </c>
      <c r="G42" s="147">
        <v>700.26</v>
      </c>
      <c r="H42" s="147">
        <v>755.91</v>
      </c>
      <c r="I42" s="151">
        <v>879.83</v>
      </c>
      <c r="J42" s="147">
        <v>524.39</v>
      </c>
      <c r="K42" s="147">
        <v>1191.78</v>
      </c>
      <c r="L42" s="147">
        <v>939.59</v>
      </c>
      <c r="M42" s="147">
        <v>1313.35</v>
      </c>
      <c r="N42" s="147">
        <v>1218.65</v>
      </c>
      <c r="O42" s="147">
        <v>973.11</v>
      </c>
      <c r="P42" s="147">
        <v>990.24</v>
      </c>
      <c r="Q42" s="147">
        <v>321.35</v>
      </c>
      <c r="R42" s="138"/>
      <c r="S42" s="138"/>
      <c r="T42" s="138"/>
      <c r="U42" s="138"/>
      <c r="V42" s="138"/>
      <c r="W42" s="138"/>
      <c r="X42" s="138"/>
      <c r="Y42" s="138"/>
      <c r="Z42" s="138"/>
    </row>
    <row r="43" ht="12.75" customHeight="1">
      <c r="A43" s="5">
        <v>41.0</v>
      </c>
      <c r="B43" s="153">
        <v>475.68</v>
      </c>
      <c r="C43" s="153">
        <v>542.36</v>
      </c>
      <c r="D43" s="154">
        <v>395.19</v>
      </c>
      <c r="E43" s="154">
        <v>730.45</v>
      </c>
      <c r="F43" s="155">
        <v>1374.49</v>
      </c>
      <c r="G43" s="154">
        <v>718.54</v>
      </c>
      <c r="H43" s="154">
        <v>769.92</v>
      </c>
      <c r="I43" s="156">
        <v>896.45</v>
      </c>
      <c r="J43" s="154">
        <v>531.27</v>
      </c>
      <c r="K43" s="154">
        <v>1222.01</v>
      </c>
      <c r="L43" s="154">
        <v>940.55</v>
      </c>
      <c r="M43" s="154">
        <v>1314.58</v>
      </c>
      <c r="N43" s="154">
        <v>1228.33</v>
      </c>
      <c r="O43" s="154">
        <v>1056.97</v>
      </c>
      <c r="P43" s="154">
        <v>997.25</v>
      </c>
      <c r="Q43" s="154">
        <v>328.2</v>
      </c>
      <c r="R43" s="138"/>
      <c r="S43" s="138"/>
      <c r="T43" s="138"/>
      <c r="U43" s="138"/>
      <c r="V43" s="138"/>
      <c r="W43" s="138"/>
      <c r="X43" s="138"/>
      <c r="Y43" s="138"/>
      <c r="Z43" s="138"/>
    </row>
    <row r="44" ht="12.75" customHeight="1">
      <c r="A44" s="5">
        <v>42.0</v>
      </c>
      <c r="B44" s="157">
        <v>484.22</v>
      </c>
      <c r="C44" s="157">
        <v>550.21</v>
      </c>
      <c r="D44" s="158">
        <v>395.61</v>
      </c>
      <c r="E44" s="158">
        <v>753.96</v>
      </c>
      <c r="F44" s="159">
        <v>1378.38</v>
      </c>
      <c r="G44" s="158">
        <v>779.45</v>
      </c>
      <c r="H44" s="158">
        <v>771.33</v>
      </c>
      <c r="I44" s="160">
        <v>899.29</v>
      </c>
      <c r="J44" s="158">
        <v>536.63</v>
      </c>
      <c r="K44" s="158">
        <v>1225.05</v>
      </c>
      <c r="L44" s="158">
        <v>943.71</v>
      </c>
      <c r="M44" s="158">
        <v>1315.13</v>
      </c>
      <c r="N44" s="158">
        <v>1294.4</v>
      </c>
      <c r="O44" s="158">
        <v>1068.69</v>
      </c>
      <c r="P44" s="158">
        <v>998.06</v>
      </c>
      <c r="Q44" s="158">
        <v>335.75</v>
      </c>
      <c r="R44" s="138"/>
      <c r="S44" s="138"/>
      <c r="T44" s="138"/>
      <c r="U44" s="138"/>
      <c r="V44" s="138"/>
      <c r="W44" s="138"/>
      <c r="X44" s="138"/>
      <c r="Y44" s="138"/>
      <c r="Z44" s="138"/>
    </row>
    <row r="45" ht="12.75" customHeight="1">
      <c r="A45" s="5">
        <v>43.0</v>
      </c>
      <c r="B45" s="157">
        <v>492.72</v>
      </c>
      <c r="C45" s="157">
        <v>560.41</v>
      </c>
      <c r="D45" s="158">
        <v>396.78</v>
      </c>
      <c r="E45" s="158">
        <v>756.33</v>
      </c>
      <c r="F45" s="159">
        <v>1416.08</v>
      </c>
      <c r="G45" s="158">
        <v>787.04</v>
      </c>
      <c r="H45" s="158">
        <v>771.96</v>
      </c>
      <c r="I45" s="160">
        <v>942.9</v>
      </c>
      <c r="J45" s="158">
        <v>544.04</v>
      </c>
      <c r="K45" s="158">
        <v>1264.88</v>
      </c>
      <c r="L45" s="158">
        <v>1006.59</v>
      </c>
      <c r="M45" s="158">
        <v>1315.44</v>
      </c>
      <c r="N45" s="158">
        <v>1397.19</v>
      </c>
      <c r="O45" s="158">
        <v>1071.44</v>
      </c>
      <c r="P45" s="158">
        <v>998.32</v>
      </c>
      <c r="Q45" s="158">
        <v>342.35</v>
      </c>
      <c r="R45" s="138"/>
      <c r="S45" s="138"/>
      <c r="T45" s="138"/>
      <c r="U45" s="138"/>
      <c r="V45" s="138"/>
      <c r="W45" s="138"/>
      <c r="X45" s="138"/>
      <c r="Y45" s="138"/>
      <c r="Z45" s="138"/>
    </row>
    <row r="46" ht="12.75" customHeight="1">
      <c r="A46" s="5">
        <v>44.0</v>
      </c>
      <c r="B46" s="157">
        <v>501.29</v>
      </c>
      <c r="C46" s="157">
        <v>568.24</v>
      </c>
      <c r="D46" s="158">
        <v>420.18</v>
      </c>
      <c r="E46" s="158">
        <v>756.63</v>
      </c>
      <c r="F46" s="159">
        <v>1419.88</v>
      </c>
      <c r="G46" s="158">
        <v>787.81</v>
      </c>
      <c r="H46" s="158">
        <v>777.92</v>
      </c>
      <c r="I46" s="160">
        <v>962.68</v>
      </c>
      <c r="J46" s="158">
        <v>550.89</v>
      </c>
      <c r="K46" s="158">
        <v>1282.21</v>
      </c>
      <c r="L46" s="158">
        <v>1012.88</v>
      </c>
      <c r="M46" s="158">
        <v>1315.77</v>
      </c>
      <c r="N46" s="158">
        <v>1445.81</v>
      </c>
      <c r="O46" s="158">
        <v>1075.05</v>
      </c>
      <c r="P46" s="158">
        <v>998.58</v>
      </c>
      <c r="Q46" s="158">
        <v>348.75</v>
      </c>
      <c r="R46" s="138"/>
      <c r="S46" s="138"/>
      <c r="T46" s="138"/>
      <c r="U46" s="138"/>
      <c r="V46" s="138"/>
      <c r="W46" s="138"/>
      <c r="X46" s="138"/>
      <c r="Y46" s="138"/>
      <c r="Z46" s="138"/>
    </row>
    <row r="47" ht="12.75" customHeight="1">
      <c r="A47" s="5">
        <v>45.0</v>
      </c>
      <c r="B47" s="157">
        <v>509.84</v>
      </c>
      <c r="C47" s="161">
        <v>576.13</v>
      </c>
      <c r="D47" s="162">
        <v>422.53</v>
      </c>
      <c r="E47" s="162">
        <v>759.64</v>
      </c>
      <c r="F47" s="163">
        <v>1420.26</v>
      </c>
      <c r="G47" s="162">
        <v>788.31</v>
      </c>
      <c r="H47" s="162">
        <v>826.02</v>
      </c>
      <c r="I47" s="164">
        <v>1003.42</v>
      </c>
      <c r="J47" s="162">
        <v>557.72</v>
      </c>
      <c r="K47" s="162">
        <v>1307.12</v>
      </c>
      <c r="L47" s="162">
        <v>1013.52</v>
      </c>
      <c r="M47" s="162">
        <v>1319.67</v>
      </c>
      <c r="N47" s="162">
        <v>1450.68</v>
      </c>
      <c r="O47" s="162">
        <v>1147.18</v>
      </c>
      <c r="P47" s="162">
        <v>998.91</v>
      </c>
      <c r="Q47" s="162">
        <v>354.05</v>
      </c>
      <c r="R47" s="138"/>
      <c r="S47" s="138"/>
      <c r="T47" s="138"/>
      <c r="U47" s="138"/>
      <c r="V47" s="138"/>
      <c r="W47" s="138"/>
      <c r="X47" s="138"/>
      <c r="Y47" s="138"/>
      <c r="Z47" s="138"/>
    </row>
    <row r="48" ht="12.75" customHeight="1">
      <c r="A48" s="5">
        <v>46.0</v>
      </c>
      <c r="B48" s="143">
        <v>518.34</v>
      </c>
      <c r="C48" s="146">
        <v>583.24</v>
      </c>
      <c r="D48" s="146">
        <v>422.8</v>
      </c>
      <c r="E48" s="146">
        <v>763.28</v>
      </c>
      <c r="F48" s="149">
        <v>1425.79</v>
      </c>
      <c r="G48" s="146">
        <v>798.05</v>
      </c>
      <c r="H48" s="146">
        <v>837.54</v>
      </c>
      <c r="I48" s="147">
        <v>1007.5</v>
      </c>
      <c r="J48" s="146">
        <v>565.72</v>
      </c>
      <c r="K48" s="146">
        <v>1309.64</v>
      </c>
      <c r="L48" s="146">
        <v>1013.84</v>
      </c>
      <c r="M48" s="146">
        <v>1320.06</v>
      </c>
      <c r="N48" s="146">
        <v>1451.18</v>
      </c>
      <c r="O48" s="146">
        <v>1154.48</v>
      </c>
      <c r="P48" s="146">
        <v>1002.45</v>
      </c>
      <c r="Q48" s="146">
        <v>362.6</v>
      </c>
      <c r="R48" s="138"/>
      <c r="S48" s="138"/>
      <c r="T48" s="138"/>
      <c r="U48" s="138"/>
      <c r="V48" s="138"/>
      <c r="W48" s="138"/>
      <c r="X48" s="138"/>
      <c r="Y48" s="138"/>
      <c r="Z48" s="138"/>
    </row>
    <row r="49" ht="12.75" customHeight="1">
      <c r="A49" s="5">
        <v>47.0</v>
      </c>
      <c r="B49" s="146">
        <v>532.5</v>
      </c>
      <c r="C49" s="146">
        <v>591.84</v>
      </c>
      <c r="D49" s="146">
        <v>423.07</v>
      </c>
      <c r="E49" s="146">
        <v>763.65</v>
      </c>
      <c r="F49" s="149">
        <v>1508.93</v>
      </c>
      <c r="G49" s="146">
        <v>799.03</v>
      </c>
      <c r="H49" s="146">
        <v>838.7</v>
      </c>
      <c r="I49" s="147">
        <v>1008.14</v>
      </c>
      <c r="J49" s="146">
        <v>586.45</v>
      </c>
      <c r="K49" s="146">
        <v>1310.54</v>
      </c>
      <c r="L49" s="146">
        <v>1016.47</v>
      </c>
      <c r="M49" s="146">
        <v>1327.04</v>
      </c>
      <c r="N49" s="146">
        <v>1451.61</v>
      </c>
      <c r="O49" s="146">
        <v>1155.94</v>
      </c>
      <c r="P49" s="146">
        <v>1072.91</v>
      </c>
      <c r="Q49" s="146">
        <v>369.45</v>
      </c>
      <c r="R49" s="138"/>
      <c r="S49" s="138"/>
      <c r="T49" s="138"/>
      <c r="U49" s="138"/>
      <c r="V49" s="138"/>
      <c r="W49" s="138"/>
      <c r="X49" s="138"/>
      <c r="Y49" s="138"/>
      <c r="Z49" s="138"/>
    </row>
    <row r="50" ht="12.75" customHeight="1">
      <c r="A50" s="5">
        <v>48.0</v>
      </c>
      <c r="B50" s="146">
        <v>533.92</v>
      </c>
      <c r="C50" s="146">
        <v>605.46</v>
      </c>
      <c r="D50" s="146">
        <v>423.59</v>
      </c>
      <c r="E50" s="146">
        <v>763.97</v>
      </c>
      <c r="F50" s="149">
        <v>1517.25</v>
      </c>
      <c r="G50" s="146">
        <v>801.0</v>
      </c>
      <c r="H50" s="146">
        <v>838.97</v>
      </c>
      <c r="I50" s="147">
        <v>1020.94</v>
      </c>
      <c r="J50" s="146">
        <v>631.7</v>
      </c>
      <c r="K50" s="146">
        <v>1327.5</v>
      </c>
      <c r="L50" s="146">
        <v>1036.73</v>
      </c>
      <c r="M50" s="146">
        <v>1346.51</v>
      </c>
      <c r="N50" s="146">
        <v>1460.14</v>
      </c>
      <c r="O50" s="146">
        <v>1156.52</v>
      </c>
      <c r="P50" s="146">
        <v>1079.96</v>
      </c>
      <c r="Q50" s="146">
        <v>375.85</v>
      </c>
      <c r="R50" s="138"/>
      <c r="S50" s="138"/>
      <c r="T50" s="138"/>
      <c r="U50" s="138"/>
      <c r="V50" s="138"/>
      <c r="W50" s="138"/>
      <c r="X50" s="138"/>
      <c r="Y50" s="138"/>
      <c r="Z50" s="138"/>
    </row>
    <row r="51" ht="12.75" customHeight="1">
      <c r="A51" s="5">
        <v>49.0</v>
      </c>
      <c r="B51" s="146">
        <v>540.16</v>
      </c>
      <c r="C51" s="146">
        <v>606.85</v>
      </c>
      <c r="D51" s="146">
        <v>423.85</v>
      </c>
      <c r="E51" s="146">
        <v>764.29</v>
      </c>
      <c r="F51" s="149">
        <v>1523.0</v>
      </c>
      <c r="G51" s="146">
        <v>840.22</v>
      </c>
      <c r="H51" s="146">
        <v>839.77</v>
      </c>
      <c r="I51" s="147">
        <v>1051.91</v>
      </c>
      <c r="J51" s="146">
        <v>636.23</v>
      </c>
      <c r="K51" s="146">
        <v>1367.88</v>
      </c>
      <c r="L51" s="146">
        <v>1069.18</v>
      </c>
      <c r="M51" s="146">
        <v>1469.3</v>
      </c>
      <c r="N51" s="146">
        <v>1512.36</v>
      </c>
      <c r="O51" s="146">
        <v>1167.05</v>
      </c>
      <c r="P51" s="146">
        <v>1081.62</v>
      </c>
      <c r="Q51" s="146">
        <v>382.95</v>
      </c>
      <c r="R51" s="138"/>
      <c r="S51" s="138"/>
      <c r="T51" s="138"/>
      <c r="U51" s="138"/>
      <c r="V51" s="138"/>
      <c r="W51" s="138"/>
      <c r="X51" s="138"/>
      <c r="Y51" s="138"/>
      <c r="Z51" s="138"/>
    </row>
    <row r="52" ht="12.75" customHeight="1">
      <c r="A52" s="5">
        <v>50.0</v>
      </c>
      <c r="B52" s="150">
        <v>549.8</v>
      </c>
      <c r="C52" s="150">
        <v>617.63</v>
      </c>
      <c r="D52" s="150">
        <v>425.71</v>
      </c>
      <c r="E52" s="150">
        <v>767.53</v>
      </c>
      <c r="F52" s="152">
        <v>1637.9</v>
      </c>
      <c r="G52" s="150">
        <v>847.02</v>
      </c>
      <c r="H52" s="150">
        <v>844.64</v>
      </c>
      <c r="I52" s="151">
        <v>1059.56</v>
      </c>
      <c r="J52" s="150">
        <v>639.08</v>
      </c>
      <c r="K52" s="150">
        <v>1377.09</v>
      </c>
      <c r="L52" s="150">
        <v>1076.46</v>
      </c>
      <c r="M52" s="150">
        <v>1488.61</v>
      </c>
      <c r="N52" s="150">
        <v>1533.57</v>
      </c>
      <c r="O52" s="150">
        <v>1171.25</v>
      </c>
      <c r="P52" s="150">
        <v>1114.69</v>
      </c>
      <c r="Q52" s="150">
        <v>383.05</v>
      </c>
      <c r="R52" s="138"/>
      <c r="S52" s="138"/>
      <c r="T52" s="138"/>
      <c r="U52" s="138"/>
      <c r="V52" s="138"/>
      <c r="W52" s="138"/>
      <c r="X52" s="138"/>
      <c r="Y52" s="138"/>
      <c r="Z52" s="138"/>
    </row>
    <row r="53" ht="12.75" customHeight="1">
      <c r="A53" s="5">
        <v>51.0</v>
      </c>
      <c r="B53" s="153">
        <v>570.41</v>
      </c>
      <c r="C53" s="153">
        <v>637.71</v>
      </c>
      <c r="D53" s="158">
        <v>430.82</v>
      </c>
      <c r="E53" s="158">
        <v>767.9</v>
      </c>
      <c r="F53" s="159">
        <v>1649.39</v>
      </c>
      <c r="G53" s="158">
        <v>847.71</v>
      </c>
      <c r="H53" s="158">
        <v>873.45</v>
      </c>
      <c r="I53" s="160">
        <v>1060.33</v>
      </c>
      <c r="J53" s="158">
        <v>639.4</v>
      </c>
      <c r="K53" s="158">
        <v>1393.11</v>
      </c>
      <c r="L53" s="158">
        <v>1088.5</v>
      </c>
      <c r="M53" s="158">
        <v>1490.57</v>
      </c>
      <c r="N53" s="158">
        <v>1535.7</v>
      </c>
      <c r="O53" s="158">
        <v>1171.68</v>
      </c>
      <c r="P53" s="158">
        <v>1118.0</v>
      </c>
      <c r="Q53" s="158">
        <v>395.95</v>
      </c>
      <c r="R53" s="138"/>
      <c r="S53" s="138"/>
      <c r="T53" s="138"/>
      <c r="U53" s="138"/>
      <c r="V53" s="138"/>
      <c r="W53" s="138"/>
      <c r="X53" s="138"/>
      <c r="Y53" s="138"/>
      <c r="Z53" s="138"/>
    </row>
    <row r="54" ht="12.75" customHeight="1">
      <c r="A54" s="5">
        <v>52.0</v>
      </c>
      <c r="B54" s="157">
        <v>574.57</v>
      </c>
      <c r="C54" s="157">
        <v>639.75</v>
      </c>
      <c r="D54" s="158">
        <v>441.79</v>
      </c>
      <c r="E54" s="158">
        <v>768.64</v>
      </c>
      <c r="F54" s="159">
        <v>1700.48</v>
      </c>
      <c r="G54" s="158">
        <v>848.02</v>
      </c>
      <c r="H54" s="158">
        <v>876.34</v>
      </c>
      <c r="I54" s="160">
        <v>1064.17</v>
      </c>
      <c r="J54" s="158">
        <v>639.71</v>
      </c>
      <c r="K54" s="158">
        <v>1409.03</v>
      </c>
      <c r="L54" s="158">
        <v>1090.94</v>
      </c>
      <c r="M54" s="158">
        <v>1529.72</v>
      </c>
      <c r="N54" s="158">
        <v>1535.99</v>
      </c>
      <c r="O54" s="158">
        <v>1172.03</v>
      </c>
      <c r="P54" s="158">
        <v>1121.68</v>
      </c>
      <c r="Q54" s="158">
        <v>396.8</v>
      </c>
      <c r="R54" s="138"/>
      <c r="S54" s="138"/>
      <c r="T54" s="138"/>
      <c r="U54" s="138"/>
      <c r="V54" s="138"/>
      <c r="W54" s="138"/>
      <c r="X54" s="138"/>
      <c r="Y54" s="138"/>
      <c r="Z54" s="138"/>
    </row>
    <row r="55" ht="12.75" customHeight="1">
      <c r="A55" s="5">
        <v>53.0</v>
      </c>
      <c r="B55" s="157">
        <v>575.26</v>
      </c>
      <c r="C55" s="157">
        <v>641.26</v>
      </c>
      <c r="D55" s="158">
        <v>450.87</v>
      </c>
      <c r="E55" s="158">
        <v>769.4</v>
      </c>
      <c r="F55" s="159">
        <v>1720.28</v>
      </c>
      <c r="G55" s="158">
        <v>850.28</v>
      </c>
      <c r="H55" s="158">
        <v>877.52</v>
      </c>
      <c r="I55" s="160">
        <v>1101.01</v>
      </c>
      <c r="J55" s="158">
        <v>639.97</v>
      </c>
      <c r="K55" s="158">
        <v>1424.83</v>
      </c>
      <c r="L55" s="158">
        <v>1139.67</v>
      </c>
      <c r="M55" s="158">
        <v>1533.64</v>
      </c>
      <c r="N55" s="158">
        <v>1536.26</v>
      </c>
      <c r="O55" s="158">
        <v>1178.82</v>
      </c>
      <c r="P55" s="158">
        <v>1162.9</v>
      </c>
      <c r="Q55" s="158">
        <v>402.7</v>
      </c>
      <c r="R55" s="138"/>
      <c r="S55" s="138"/>
      <c r="T55" s="138"/>
      <c r="U55" s="138"/>
      <c r="V55" s="138"/>
      <c r="W55" s="138"/>
      <c r="X55" s="138"/>
      <c r="Y55" s="138"/>
      <c r="Z55" s="138"/>
    </row>
    <row r="56" ht="12.75" customHeight="1">
      <c r="A56" s="5">
        <v>54.0</v>
      </c>
      <c r="B56" s="157">
        <v>579.8</v>
      </c>
      <c r="C56" s="157">
        <v>647.49</v>
      </c>
      <c r="D56" s="158">
        <v>452.78</v>
      </c>
      <c r="E56" s="158">
        <v>784.56</v>
      </c>
      <c r="F56" s="159">
        <v>1722.26</v>
      </c>
      <c r="G56" s="158">
        <v>895.25</v>
      </c>
      <c r="H56" s="158">
        <v>900.8</v>
      </c>
      <c r="I56" s="160">
        <v>1104.81</v>
      </c>
      <c r="J56" s="158">
        <v>640.33</v>
      </c>
      <c r="K56" s="158">
        <v>1438.22</v>
      </c>
      <c r="L56" s="158">
        <v>1184.95</v>
      </c>
      <c r="M56" s="158">
        <v>1534.04</v>
      </c>
      <c r="N56" s="158">
        <v>1536.54</v>
      </c>
      <c r="O56" s="158">
        <v>1195.54</v>
      </c>
      <c r="P56" s="158">
        <v>1167.03</v>
      </c>
      <c r="Q56" s="158">
        <v>407.7</v>
      </c>
      <c r="R56" s="138"/>
      <c r="S56" s="138"/>
      <c r="T56" s="138"/>
      <c r="U56" s="138"/>
      <c r="V56" s="138"/>
      <c r="W56" s="138"/>
      <c r="X56" s="138"/>
      <c r="Y56" s="138"/>
      <c r="Z56" s="138"/>
    </row>
    <row r="57" ht="12.75" customHeight="1">
      <c r="A57" s="5">
        <v>55.0</v>
      </c>
      <c r="B57" s="161">
        <v>585.46</v>
      </c>
      <c r="C57" s="161">
        <v>654.77</v>
      </c>
      <c r="D57" s="162">
        <v>453.11</v>
      </c>
      <c r="E57" s="162">
        <v>813.46</v>
      </c>
      <c r="F57" s="163">
        <v>1722.89</v>
      </c>
      <c r="G57" s="162">
        <v>901.76</v>
      </c>
      <c r="H57" s="162">
        <v>912.26</v>
      </c>
      <c r="I57" s="164">
        <v>1105.2</v>
      </c>
      <c r="J57" s="162">
        <v>642.86</v>
      </c>
      <c r="K57" s="162">
        <v>1456.87</v>
      </c>
      <c r="L57" s="162">
        <v>1200.27</v>
      </c>
      <c r="M57" s="162">
        <v>1534.42</v>
      </c>
      <c r="N57" s="162">
        <v>1536.9</v>
      </c>
      <c r="O57" s="162">
        <v>1197.22</v>
      </c>
      <c r="P57" s="162">
        <v>1171.73</v>
      </c>
      <c r="Q57" s="162">
        <v>420.05</v>
      </c>
      <c r="R57" s="138"/>
      <c r="S57" s="138"/>
      <c r="T57" s="138"/>
      <c r="U57" s="138"/>
      <c r="V57" s="138"/>
      <c r="W57" s="138"/>
      <c r="X57" s="138"/>
      <c r="Y57" s="138"/>
      <c r="Z57" s="138"/>
    </row>
    <row r="58" ht="12.75" customHeight="1">
      <c r="A58" s="5">
        <v>56.0</v>
      </c>
      <c r="B58" s="143">
        <v>591.13</v>
      </c>
      <c r="C58" s="143">
        <v>662.05</v>
      </c>
      <c r="D58" s="146">
        <v>453.44</v>
      </c>
      <c r="E58" s="146">
        <v>842.37</v>
      </c>
      <c r="F58" s="149">
        <v>1723.51</v>
      </c>
      <c r="G58" s="146">
        <v>908.27</v>
      </c>
      <c r="H58" s="146">
        <v>923.72</v>
      </c>
      <c r="I58" s="147">
        <v>1105.59</v>
      </c>
      <c r="J58" s="146">
        <v>645.39</v>
      </c>
      <c r="K58" s="146">
        <v>1475.53</v>
      </c>
      <c r="L58" s="146">
        <v>1215.59</v>
      </c>
      <c r="M58" s="146">
        <v>1534.8</v>
      </c>
      <c r="N58" s="146">
        <v>1537.26</v>
      </c>
      <c r="O58" s="146">
        <v>1197.47</v>
      </c>
      <c r="P58" s="146">
        <v>1176.43</v>
      </c>
      <c r="Q58" s="146">
        <v>421.2</v>
      </c>
      <c r="R58" s="138"/>
      <c r="S58" s="138"/>
      <c r="T58" s="138"/>
      <c r="U58" s="138"/>
      <c r="V58" s="138"/>
      <c r="W58" s="138"/>
      <c r="X58" s="138"/>
      <c r="Y58" s="138"/>
      <c r="Z58" s="138"/>
    </row>
    <row r="59" ht="12.75" customHeight="1">
      <c r="A59" s="5">
        <v>57.0</v>
      </c>
      <c r="B59" s="146">
        <v>596.79</v>
      </c>
      <c r="C59" s="146">
        <v>669.33</v>
      </c>
      <c r="D59" s="146">
        <v>453.77</v>
      </c>
      <c r="E59" s="146">
        <v>871.27</v>
      </c>
      <c r="F59" s="149">
        <v>1724.14</v>
      </c>
      <c r="G59" s="146">
        <v>914.78</v>
      </c>
      <c r="H59" s="146">
        <v>935.18</v>
      </c>
      <c r="I59" s="147">
        <v>1105.97</v>
      </c>
      <c r="J59" s="146">
        <v>647.93</v>
      </c>
      <c r="K59" s="146">
        <v>1494.18</v>
      </c>
      <c r="L59" s="146">
        <v>1230.91</v>
      </c>
      <c r="M59" s="146">
        <v>1535.18</v>
      </c>
      <c r="N59" s="146">
        <v>1537.62</v>
      </c>
      <c r="O59" s="146">
        <v>1197.72</v>
      </c>
      <c r="P59" s="146">
        <v>1181.12</v>
      </c>
      <c r="Q59" s="146">
        <v>428.85</v>
      </c>
      <c r="R59" s="138"/>
      <c r="S59" s="138"/>
      <c r="T59" s="138"/>
      <c r="U59" s="138"/>
      <c r="V59" s="138"/>
      <c r="W59" s="138"/>
      <c r="X59" s="138"/>
      <c r="Y59" s="138"/>
      <c r="Z59" s="138"/>
    </row>
    <row r="60" ht="12.75" customHeight="1">
      <c r="A60" s="5">
        <v>58.0</v>
      </c>
      <c r="B60" s="146">
        <v>602.45</v>
      </c>
      <c r="C60" s="146">
        <v>676.61</v>
      </c>
      <c r="D60" s="146">
        <v>454.11</v>
      </c>
      <c r="E60" s="146">
        <v>900.18</v>
      </c>
      <c r="F60" s="149">
        <v>1724.76</v>
      </c>
      <c r="G60" s="146">
        <v>921.28</v>
      </c>
      <c r="H60" s="146">
        <v>946.64</v>
      </c>
      <c r="I60" s="147">
        <v>1106.35</v>
      </c>
      <c r="J60" s="146">
        <v>650.46</v>
      </c>
      <c r="K60" s="146">
        <v>1512.83</v>
      </c>
      <c r="L60" s="146">
        <v>1246.22</v>
      </c>
      <c r="M60" s="146">
        <v>1535.56</v>
      </c>
      <c r="N60" s="146">
        <v>1537.98</v>
      </c>
      <c r="O60" s="146">
        <v>1197.97</v>
      </c>
      <c r="P60" s="146">
        <v>1185.82</v>
      </c>
      <c r="Q60" s="146">
        <v>436.05</v>
      </c>
      <c r="R60" s="138"/>
      <c r="S60" s="138"/>
      <c r="T60" s="138"/>
      <c r="U60" s="138"/>
      <c r="V60" s="138"/>
      <c r="W60" s="138"/>
      <c r="X60" s="138"/>
      <c r="Y60" s="138"/>
      <c r="Z60" s="138"/>
    </row>
    <row r="61" ht="12.75" customHeight="1">
      <c r="A61" s="5">
        <v>59.0</v>
      </c>
      <c r="B61" s="146">
        <v>605.84</v>
      </c>
      <c r="C61" s="146">
        <v>677.38</v>
      </c>
      <c r="D61" s="146">
        <v>454.38</v>
      </c>
      <c r="E61" s="146">
        <v>903.12</v>
      </c>
      <c r="F61" s="149">
        <v>1727.33</v>
      </c>
      <c r="G61" s="146">
        <v>921.94</v>
      </c>
      <c r="H61" s="146">
        <v>967.63</v>
      </c>
      <c r="I61" s="147">
        <v>1106.61</v>
      </c>
      <c r="J61" s="146">
        <v>656.44</v>
      </c>
      <c r="K61" s="146">
        <v>1514.76</v>
      </c>
      <c r="L61" s="146">
        <v>1247.76</v>
      </c>
      <c r="M61" s="146">
        <v>1535.98</v>
      </c>
      <c r="N61" s="146">
        <v>1538.25</v>
      </c>
      <c r="O61" s="146">
        <v>1198.22</v>
      </c>
      <c r="P61" s="146">
        <v>1187.59</v>
      </c>
      <c r="Q61" s="146">
        <v>441.95</v>
      </c>
      <c r="R61" s="138"/>
      <c r="S61" s="138"/>
      <c r="T61" s="138"/>
      <c r="U61" s="138"/>
      <c r="V61" s="138"/>
      <c r="W61" s="138"/>
      <c r="X61" s="138"/>
      <c r="Y61" s="138"/>
      <c r="Z61" s="138"/>
    </row>
    <row r="62" ht="12.75" customHeight="1">
      <c r="A62" s="5">
        <v>60.0</v>
      </c>
      <c r="B62" s="150">
        <v>606.88</v>
      </c>
      <c r="C62" s="150">
        <v>679.0</v>
      </c>
      <c r="D62" s="150">
        <v>454.69</v>
      </c>
      <c r="E62" s="150">
        <v>903.45</v>
      </c>
      <c r="F62" s="152">
        <v>1778.63</v>
      </c>
      <c r="G62" s="150">
        <v>922.21</v>
      </c>
      <c r="H62" s="150">
        <v>974.71</v>
      </c>
      <c r="I62" s="151">
        <v>1106.88</v>
      </c>
      <c r="J62" s="150">
        <v>662.51</v>
      </c>
      <c r="K62" s="150">
        <v>1515.97</v>
      </c>
      <c r="L62" s="150">
        <v>1248.06</v>
      </c>
      <c r="M62" s="150">
        <v>1536.63</v>
      </c>
      <c r="N62" s="150">
        <v>1538.54</v>
      </c>
      <c r="O62" s="150">
        <v>1198.47</v>
      </c>
      <c r="P62" s="150">
        <v>1187.88</v>
      </c>
      <c r="Q62" s="150">
        <v>447.3</v>
      </c>
      <c r="R62" s="138"/>
      <c r="S62" s="138"/>
      <c r="T62" s="138"/>
      <c r="U62" s="138"/>
      <c r="V62" s="138"/>
      <c r="W62" s="138"/>
      <c r="X62" s="138"/>
      <c r="Y62" s="138"/>
      <c r="Z62" s="138"/>
    </row>
    <row r="63" ht="12.75" customHeight="1">
      <c r="A63" s="5">
        <v>61.0</v>
      </c>
      <c r="B63" s="153">
        <v>627.39</v>
      </c>
      <c r="C63" s="153">
        <v>711.29</v>
      </c>
      <c r="D63" s="158">
        <v>460.11</v>
      </c>
      <c r="E63" s="158">
        <v>903.88</v>
      </c>
      <c r="F63" s="159">
        <v>1798.63</v>
      </c>
      <c r="G63" s="158">
        <v>922.48</v>
      </c>
      <c r="H63" s="158">
        <v>982.14</v>
      </c>
      <c r="I63" s="160">
        <v>1109.9</v>
      </c>
      <c r="J63" s="154">
        <v>669.66</v>
      </c>
      <c r="K63" s="154">
        <v>1540.07</v>
      </c>
      <c r="L63" s="154">
        <v>1248.33</v>
      </c>
      <c r="M63" s="154">
        <v>1549.33</v>
      </c>
      <c r="N63" s="154">
        <v>1541.25</v>
      </c>
      <c r="O63" s="154">
        <v>1198.72</v>
      </c>
      <c r="P63" s="154">
        <v>1190.96</v>
      </c>
      <c r="Q63" s="154">
        <v>455.3</v>
      </c>
      <c r="R63" s="138"/>
      <c r="S63" s="138"/>
      <c r="T63" s="138"/>
      <c r="U63" s="138"/>
      <c r="V63" s="138"/>
      <c r="W63" s="138"/>
      <c r="X63" s="138"/>
      <c r="Y63" s="138"/>
      <c r="Z63" s="138"/>
    </row>
    <row r="64" ht="12.75" customHeight="1">
      <c r="A64" s="5">
        <v>62.0</v>
      </c>
      <c r="B64" s="157">
        <v>634.41</v>
      </c>
      <c r="C64" s="157">
        <v>722.28</v>
      </c>
      <c r="D64" s="158">
        <v>472.65</v>
      </c>
      <c r="E64" s="158">
        <v>904.2</v>
      </c>
      <c r="F64" s="159">
        <v>1838.42</v>
      </c>
      <c r="G64" s="158">
        <v>922.83</v>
      </c>
      <c r="H64" s="158">
        <v>982.9</v>
      </c>
      <c r="I64" s="160">
        <v>1112.65</v>
      </c>
      <c r="J64" s="158">
        <v>676.83</v>
      </c>
      <c r="K64" s="158">
        <v>1542.5</v>
      </c>
      <c r="L64" s="158">
        <v>1248.84</v>
      </c>
      <c r="M64" s="158">
        <v>1550.62</v>
      </c>
      <c r="N64" s="158">
        <v>1595.18</v>
      </c>
      <c r="O64" s="158">
        <v>1198.97</v>
      </c>
      <c r="P64" s="158">
        <v>1252.32</v>
      </c>
      <c r="Q64" s="158">
        <v>470.15</v>
      </c>
      <c r="R64" s="138"/>
      <c r="S64" s="138"/>
      <c r="T64" s="138"/>
      <c r="U64" s="138"/>
      <c r="V64" s="138"/>
      <c r="W64" s="138"/>
      <c r="X64" s="138"/>
      <c r="Y64" s="138"/>
      <c r="Z64" s="138"/>
    </row>
    <row r="65" ht="12.75" customHeight="1">
      <c r="A65" s="5">
        <v>63.0</v>
      </c>
      <c r="B65" s="157">
        <v>653.56</v>
      </c>
      <c r="C65" s="157">
        <v>729.04</v>
      </c>
      <c r="D65" s="158">
        <v>481.03</v>
      </c>
      <c r="E65" s="158">
        <v>904.52</v>
      </c>
      <c r="F65" s="159">
        <v>1842.4</v>
      </c>
      <c r="G65" s="158">
        <v>923.12</v>
      </c>
      <c r="H65" s="159">
        <v>983.22</v>
      </c>
      <c r="I65" s="160">
        <v>1167.05</v>
      </c>
      <c r="J65" s="158">
        <v>688.85</v>
      </c>
      <c r="K65" s="158">
        <v>1547.65</v>
      </c>
      <c r="L65" s="158">
        <v>1249.15</v>
      </c>
      <c r="M65" s="158">
        <v>1550.93</v>
      </c>
      <c r="N65" s="158">
        <v>1600.58</v>
      </c>
      <c r="O65" s="158">
        <v>1199.22</v>
      </c>
      <c r="P65" s="158">
        <v>1258.46</v>
      </c>
      <c r="Q65" s="158">
        <v>478.1</v>
      </c>
      <c r="R65" s="138"/>
      <c r="S65" s="138"/>
      <c r="T65" s="138"/>
      <c r="U65" s="138"/>
      <c r="V65" s="138"/>
      <c r="W65" s="138"/>
      <c r="X65" s="138"/>
      <c r="Y65" s="138"/>
      <c r="Z65" s="138"/>
    </row>
    <row r="66" ht="12.75" customHeight="1">
      <c r="A66" s="5">
        <v>64.0</v>
      </c>
      <c r="B66" s="157">
        <v>660.78</v>
      </c>
      <c r="C66" s="157">
        <v>729.74</v>
      </c>
      <c r="D66" s="158">
        <v>481.88</v>
      </c>
      <c r="E66" s="158">
        <v>904.85</v>
      </c>
      <c r="F66" s="159">
        <v>1842.8</v>
      </c>
      <c r="G66" s="158">
        <v>926.59</v>
      </c>
      <c r="H66" s="159">
        <v>984.61</v>
      </c>
      <c r="I66" s="160">
        <v>1172.5</v>
      </c>
      <c r="J66" s="158">
        <v>698.5</v>
      </c>
      <c r="K66" s="158">
        <v>1552.98</v>
      </c>
      <c r="L66" s="158">
        <v>1249.42</v>
      </c>
      <c r="M66" s="158">
        <v>1552.18</v>
      </c>
      <c r="N66" s="158">
        <v>1601.14</v>
      </c>
      <c r="O66" s="158">
        <v>1199.47</v>
      </c>
      <c r="P66" s="158">
        <v>1272.81</v>
      </c>
      <c r="Q66" s="158">
        <v>478.45</v>
      </c>
      <c r="R66" s="138"/>
      <c r="S66" s="138"/>
      <c r="T66" s="138"/>
      <c r="U66" s="138"/>
      <c r="V66" s="138"/>
      <c r="W66" s="138"/>
      <c r="X66" s="138"/>
      <c r="Y66" s="138"/>
      <c r="Z66" s="138"/>
    </row>
    <row r="67" ht="12.75" customHeight="1">
      <c r="A67" s="5">
        <v>65.0</v>
      </c>
      <c r="B67" s="161">
        <v>667.87</v>
      </c>
      <c r="C67" s="161">
        <v>730.53</v>
      </c>
      <c r="D67" s="162">
        <v>482.46</v>
      </c>
      <c r="E67" s="162">
        <v>905.37</v>
      </c>
      <c r="F67" s="163">
        <v>1843.05</v>
      </c>
      <c r="G67" s="162">
        <v>995.91</v>
      </c>
      <c r="H67" s="163">
        <v>1012.06</v>
      </c>
      <c r="I67" s="164">
        <v>1181.49</v>
      </c>
      <c r="J67" s="162">
        <v>699.47</v>
      </c>
      <c r="K67" s="162">
        <v>1558.36</v>
      </c>
      <c r="L67" s="162">
        <v>1249.77</v>
      </c>
      <c r="M67" s="162">
        <v>1575.52</v>
      </c>
      <c r="N67" s="162">
        <v>1604.84</v>
      </c>
      <c r="O67" s="162">
        <v>1199.72</v>
      </c>
      <c r="P67" s="162">
        <v>1274.25</v>
      </c>
      <c r="Q67" s="162">
        <v>486.8</v>
      </c>
      <c r="R67" s="138"/>
      <c r="S67" s="138"/>
      <c r="T67" s="138"/>
      <c r="U67" s="138"/>
      <c r="V67" s="138"/>
      <c r="W67" s="138"/>
      <c r="X67" s="138"/>
      <c r="Y67" s="138"/>
      <c r="Z67" s="138"/>
    </row>
    <row r="68" ht="12.75" customHeight="1">
      <c r="A68" s="5">
        <v>66.0</v>
      </c>
      <c r="B68" s="143">
        <v>668.8</v>
      </c>
      <c r="C68" s="143">
        <v>736.85</v>
      </c>
      <c r="D68" s="146">
        <v>494.0</v>
      </c>
      <c r="E68" s="146">
        <v>905.71</v>
      </c>
      <c r="F68" s="149">
        <v>1843.3</v>
      </c>
      <c r="G68" s="146">
        <v>1002.86</v>
      </c>
      <c r="H68" s="149">
        <v>1019.53</v>
      </c>
      <c r="I68" s="147">
        <v>1212.49</v>
      </c>
      <c r="J68" s="146">
        <v>711.95</v>
      </c>
      <c r="K68" s="146">
        <v>1563.73</v>
      </c>
      <c r="L68" s="146">
        <v>1251.76</v>
      </c>
      <c r="M68" s="146">
        <v>1583.43</v>
      </c>
      <c r="N68" s="146">
        <v>1678.81</v>
      </c>
      <c r="O68" s="146">
        <v>1199.97</v>
      </c>
      <c r="P68" s="146">
        <v>1275.76</v>
      </c>
      <c r="Q68" s="146">
        <v>494.95</v>
      </c>
      <c r="R68" s="138"/>
      <c r="S68" s="138"/>
      <c r="T68" s="138"/>
      <c r="U68" s="138"/>
      <c r="V68" s="138"/>
      <c r="W68" s="138"/>
      <c r="X68" s="138"/>
      <c r="Y68" s="138"/>
      <c r="Z68" s="138"/>
    </row>
    <row r="69" ht="12.75" customHeight="1">
      <c r="A69" s="5">
        <v>67.0</v>
      </c>
      <c r="B69" s="146">
        <v>669.17</v>
      </c>
      <c r="C69" s="146">
        <v>749.04</v>
      </c>
      <c r="D69" s="146">
        <v>496.28</v>
      </c>
      <c r="E69" s="146">
        <v>907.58</v>
      </c>
      <c r="F69" s="149">
        <v>1843.55</v>
      </c>
      <c r="G69" s="146">
        <v>1003.56</v>
      </c>
      <c r="H69" s="149">
        <v>1026.99</v>
      </c>
      <c r="I69" s="147">
        <v>1215.6</v>
      </c>
      <c r="J69" s="146">
        <v>713.2</v>
      </c>
      <c r="K69" s="146">
        <v>1569.13</v>
      </c>
      <c r="L69" s="146">
        <v>1291.36</v>
      </c>
      <c r="M69" s="146">
        <v>1587.55</v>
      </c>
      <c r="N69" s="146">
        <v>1686.21</v>
      </c>
      <c r="O69" s="146">
        <v>1200.22</v>
      </c>
      <c r="P69" s="146">
        <v>1276.22</v>
      </c>
      <c r="Q69" s="146">
        <v>496.85</v>
      </c>
      <c r="R69" s="138"/>
      <c r="S69" s="138"/>
      <c r="T69" s="138"/>
      <c r="U69" s="138"/>
      <c r="V69" s="138"/>
      <c r="W69" s="138"/>
      <c r="X69" s="138"/>
      <c r="Y69" s="138"/>
      <c r="Z69" s="138"/>
    </row>
    <row r="70" ht="12.75" customHeight="1">
      <c r="A70" s="5">
        <v>68.0</v>
      </c>
      <c r="B70" s="146">
        <v>676.34</v>
      </c>
      <c r="C70" s="146">
        <v>750.29</v>
      </c>
      <c r="D70" s="146">
        <v>497.64</v>
      </c>
      <c r="E70" s="146">
        <v>944.01</v>
      </c>
      <c r="F70" s="149">
        <v>1843.8</v>
      </c>
      <c r="G70" s="146">
        <v>1012.19</v>
      </c>
      <c r="H70" s="149">
        <v>1034.43</v>
      </c>
      <c r="I70" s="147">
        <v>1215.92</v>
      </c>
      <c r="J70" s="146">
        <v>726.29</v>
      </c>
      <c r="K70" s="146">
        <v>1574.53</v>
      </c>
      <c r="L70" s="146">
        <v>1295.33</v>
      </c>
      <c r="M70" s="146">
        <v>1656.96</v>
      </c>
      <c r="N70" s="146">
        <v>1686.96</v>
      </c>
      <c r="O70" s="146">
        <v>1200.47</v>
      </c>
      <c r="P70" s="146">
        <v>1278.17</v>
      </c>
      <c r="Q70" s="146">
        <v>509.8</v>
      </c>
      <c r="R70" s="138"/>
      <c r="S70" s="138"/>
      <c r="T70" s="138"/>
      <c r="U70" s="138"/>
      <c r="V70" s="138"/>
      <c r="W70" s="138"/>
      <c r="X70" s="138"/>
      <c r="Y70" s="138"/>
      <c r="Z70" s="138"/>
    </row>
    <row r="71" ht="12.75" customHeight="1">
      <c r="A71" s="5">
        <v>69.0</v>
      </c>
      <c r="B71" s="146">
        <v>677.06</v>
      </c>
      <c r="C71" s="146">
        <v>760.16</v>
      </c>
      <c r="D71" s="146">
        <v>497.91</v>
      </c>
      <c r="E71" s="146">
        <v>947.67</v>
      </c>
      <c r="F71" s="149">
        <v>1844.05</v>
      </c>
      <c r="G71" s="146">
        <v>1013.06</v>
      </c>
      <c r="H71" s="149">
        <v>1041.94</v>
      </c>
      <c r="I71" s="147">
        <v>1216.17</v>
      </c>
      <c r="J71" s="146">
        <v>727.61</v>
      </c>
      <c r="K71" s="146">
        <v>1579.89</v>
      </c>
      <c r="L71" s="146">
        <v>1304.93</v>
      </c>
      <c r="M71" s="146">
        <v>1663.91</v>
      </c>
      <c r="N71" s="146">
        <v>1687.23</v>
      </c>
      <c r="O71" s="146">
        <v>1200.72</v>
      </c>
      <c r="P71" s="146">
        <v>1317.14</v>
      </c>
      <c r="Q71" s="146">
        <v>517.25</v>
      </c>
      <c r="R71" s="138"/>
      <c r="S71" s="138"/>
      <c r="T71" s="138"/>
      <c r="U71" s="138"/>
      <c r="V71" s="138"/>
      <c r="W71" s="138"/>
      <c r="X71" s="138"/>
      <c r="Y71" s="138"/>
      <c r="Z71" s="138"/>
    </row>
    <row r="72" ht="12.75" customHeight="1">
      <c r="A72" s="5">
        <v>70.0</v>
      </c>
      <c r="B72" s="150">
        <v>678.51</v>
      </c>
      <c r="C72" s="150">
        <v>761.15</v>
      </c>
      <c r="D72" s="150">
        <v>498.62</v>
      </c>
      <c r="E72" s="150">
        <v>966.51</v>
      </c>
      <c r="F72" s="152">
        <v>1844.3</v>
      </c>
      <c r="G72" s="150">
        <v>1014.26</v>
      </c>
      <c r="H72" s="152">
        <v>1049.41</v>
      </c>
      <c r="I72" s="151">
        <v>1216.42</v>
      </c>
      <c r="J72" s="150">
        <v>734.77</v>
      </c>
      <c r="K72" s="150">
        <v>1581.83</v>
      </c>
      <c r="L72" s="150">
        <v>1305.89</v>
      </c>
      <c r="M72" s="150">
        <v>1664.61</v>
      </c>
      <c r="N72" s="150">
        <v>1688.43</v>
      </c>
      <c r="O72" s="150">
        <v>1200.97</v>
      </c>
      <c r="P72" s="150">
        <v>1378.78</v>
      </c>
      <c r="Q72" s="150">
        <v>523.55</v>
      </c>
      <c r="R72" s="138"/>
      <c r="S72" s="138"/>
      <c r="T72" s="138"/>
      <c r="U72" s="138"/>
      <c r="V72" s="138"/>
      <c r="W72" s="138"/>
      <c r="X72" s="138"/>
      <c r="Y72" s="138"/>
      <c r="Z72" s="138"/>
    </row>
    <row r="73" ht="12.75" customHeight="1">
      <c r="A73" s="5">
        <v>71.0</v>
      </c>
      <c r="B73" s="141">
        <v>686.7</v>
      </c>
      <c r="C73" s="141">
        <v>761.46</v>
      </c>
      <c r="D73" s="141">
        <v>508.82</v>
      </c>
      <c r="E73" s="141">
        <v>968.4</v>
      </c>
      <c r="F73" s="141">
        <v>1845.03</v>
      </c>
      <c r="G73" s="141">
        <v>1038.07</v>
      </c>
      <c r="H73" s="141">
        <v>1053.84</v>
      </c>
      <c r="I73" s="142">
        <v>1216.93</v>
      </c>
      <c r="J73" s="141">
        <v>736.26</v>
      </c>
      <c r="K73" s="141">
        <v>1582.51</v>
      </c>
      <c r="L73" s="141">
        <v>1306.47</v>
      </c>
      <c r="M73" s="141">
        <v>1665.27</v>
      </c>
      <c r="N73" s="141">
        <v>1697.89</v>
      </c>
      <c r="O73" s="141">
        <v>1201.5</v>
      </c>
      <c r="P73" s="141">
        <v>1384.95</v>
      </c>
      <c r="Q73" s="141">
        <v>524.95</v>
      </c>
      <c r="R73" s="138"/>
      <c r="S73" s="138"/>
      <c r="T73" s="138"/>
      <c r="U73" s="138"/>
      <c r="V73" s="138"/>
      <c r="W73" s="138"/>
      <c r="X73" s="138"/>
      <c r="Y73" s="138"/>
      <c r="Z73" s="138"/>
    </row>
    <row r="74" ht="12.75" customHeight="1">
      <c r="A74" s="5">
        <v>72.0</v>
      </c>
      <c r="B74" s="143">
        <v>693.2</v>
      </c>
      <c r="C74" s="143">
        <v>767.63</v>
      </c>
      <c r="D74" s="144">
        <v>514.19</v>
      </c>
      <c r="E74" s="144">
        <v>976.53</v>
      </c>
      <c r="F74" s="144">
        <v>1859.58</v>
      </c>
      <c r="G74" s="144">
        <v>1052.09</v>
      </c>
      <c r="H74" s="144">
        <v>1064.34</v>
      </c>
      <c r="I74" s="144">
        <v>1227.08</v>
      </c>
      <c r="J74" s="144">
        <v>765.82</v>
      </c>
      <c r="K74" s="144">
        <v>1596.05</v>
      </c>
      <c r="L74" s="144">
        <v>1317.97</v>
      </c>
      <c r="M74" s="144">
        <v>1678.43</v>
      </c>
      <c r="N74" s="144">
        <v>1713.42</v>
      </c>
      <c r="O74" s="144">
        <v>1212.05</v>
      </c>
      <c r="P74" s="144">
        <v>1396.37</v>
      </c>
      <c r="Q74" s="144">
        <v>526.15</v>
      </c>
      <c r="R74" s="138"/>
      <c r="S74" s="138"/>
      <c r="T74" s="138"/>
      <c r="U74" s="138"/>
      <c r="V74" s="138"/>
      <c r="W74" s="138"/>
      <c r="X74" s="138"/>
      <c r="Y74" s="138"/>
      <c r="Z74" s="138"/>
    </row>
    <row r="75" ht="12.75" customHeight="1">
      <c r="A75" s="5">
        <v>73.0</v>
      </c>
      <c r="B75" s="146">
        <v>711.45</v>
      </c>
      <c r="C75" s="146">
        <v>768.25</v>
      </c>
      <c r="D75" s="147">
        <v>514.73</v>
      </c>
      <c r="E75" s="147">
        <v>1023.2</v>
      </c>
      <c r="F75" s="147">
        <v>1861.04</v>
      </c>
      <c r="G75" s="147">
        <v>1055.31</v>
      </c>
      <c r="H75" s="146">
        <v>1071.82</v>
      </c>
      <c r="I75" s="148">
        <v>1262.42</v>
      </c>
      <c r="J75" s="146">
        <v>768.78</v>
      </c>
      <c r="K75" s="146">
        <v>1601.42</v>
      </c>
      <c r="L75" s="146">
        <v>1319.13</v>
      </c>
      <c r="M75" s="146">
        <v>1679.75</v>
      </c>
      <c r="N75" s="146">
        <v>1714.98</v>
      </c>
      <c r="O75" s="146">
        <v>1213.11</v>
      </c>
      <c r="P75" s="146">
        <v>1397.52</v>
      </c>
      <c r="Q75" s="146">
        <v>531.7</v>
      </c>
      <c r="R75" s="34"/>
      <c r="S75" s="34"/>
      <c r="T75" s="34"/>
      <c r="U75" s="34"/>
      <c r="V75" s="34"/>
      <c r="W75" s="34"/>
      <c r="X75" s="34"/>
      <c r="Y75" s="34"/>
      <c r="Z75" s="34"/>
    </row>
    <row r="76" ht="12.75" customHeight="1">
      <c r="A76" s="5">
        <v>74.0</v>
      </c>
      <c r="B76" s="146">
        <v>713.28</v>
      </c>
      <c r="C76" s="146">
        <v>768.5</v>
      </c>
      <c r="D76" s="147">
        <v>515.3</v>
      </c>
      <c r="E76" s="146">
        <v>1027.87</v>
      </c>
      <c r="F76" s="148">
        <v>1861.44</v>
      </c>
      <c r="G76" s="147">
        <v>1119.49</v>
      </c>
      <c r="H76" s="147">
        <v>1079.26</v>
      </c>
      <c r="I76" s="147">
        <v>1265.96</v>
      </c>
      <c r="J76" s="147">
        <v>769.09</v>
      </c>
      <c r="K76" s="147">
        <v>1606.8</v>
      </c>
      <c r="L76" s="147">
        <v>1319.4</v>
      </c>
      <c r="M76" s="147">
        <v>1680.11</v>
      </c>
      <c r="N76" s="147">
        <v>1715.27</v>
      </c>
      <c r="O76" s="147">
        <v>1213.41</v>
      </c>
      <c r="P76" s="147">
        <v>1403.24</v>
      </c>
      <c r="Q76" s="147">
        <v>569.25</v>
      </c>
      <c r="R76" s="138"/>
      <c r="S76" s="138"/>
      <c r="T76" s="138"/>
      <c r="U76" s="138"/>
      <c r="V76" s="138"/>
      <c r="W76" s="138"/>
      <c r="X76" s="138"/>
      <c r="Y76" s="138"/>
      <c r="Z76" s="138"/>
    </row>
    <row r="77" ht="12.75" customHeight="1">
      <c r="A77" s="5">
        <v>75.0</v>
      </c>
      <c r="B77" s="150">
        <v>729.54</v>
      </c>
      <c r="C77" s="150">
        <v>768.75</v>
      </c>
      <c r="D77" s="151">
        <v>526.44</v>
      </c>
      <c r="E77" s="147">
        <v>1028.34</v>
      </c>
      <c r="F77" s="147">
        <v>1869.44</v>
      </c>
      <c r="G77" s="147">
        <v>1125.93</v>
      </c>
      <c r="H77" s="147">
        <v>1080.02</v>
      </c>
      <c r="I77" s="151">
        <v>1266.32</v>
      </c>
      <c r="J77" s="147">
        <v>770.42</v>
      </c>
      <c r="K77" s="147">
        <v>1612.2</v>
      </c>
      <c r="L77" s="147">
        <v>1321.62</v>
      </c>
      <c r="M77" s="147">
        <v>1680.46</v>
      </c>
      <c r="N77" s="147">
        <v>1715.53</v>
      </c>
      <c r="O77" s="147">
        <v>1213.72</v>
      </c>
      <c r="P77" s="147">
        <v>1472.1</v>
      </c>
      <c r="Q77" s="147">
        <v>569.3</v>
      </c>
      <c r="R77" s="138"/>
      <c r="S77" s="138"/>
      <c r="T77" s="138"/>
      <c r="U77" s="138"/>
      <c r="V77" s="138"/>
      <c r="W77" s="138"/>
      <c r="X77" s="138"/>
      <c r="Y77" s="138"/>
      <c r="Z77" s="138"/>
    </row>
    <row r="78" ht="12.75" customHeight="1">
      <c r="A78" s="5">
        <v>76.0</v>
      </c>
      <c r="B78" s="153">
        <v>736.28</v>
      </c>
      <c r="C78" s="153">
        <v>769.0</v>
      </c>
      <c r="D78" s="154">
        <v>539.37</v>
      </c>
      <c r="E78" s="154">
        <v>1028.67</v>
      </c>
      <c r="F78" s="155">
        <v>1870.3</v>
      </c>
      <c r="G78" s="154">
        <v>1137.66</v>
      </c>
      <c r="H78" s="154">
        <v>1094.23</v>
      </c>
      <c r="I78" s="156">
        <v>1266.62</v>
      </c>
      <c r="J78" s="154">
        <v>796.18</v>
      </c>
      <c r="K78" s="154">
        <v>1617.57</v>
      </c>
      <c r="L78" s="154">
        <v>1365.23</v>
      </c>
      <c r="M78" s="154">
        <v>1680.77</v>
      </c>
      <c r="N78" s="154">
        <v>1715.8</v>
      </c>
      <c r="O78" s="154">
        <v>1214.02</v>
      </c>
      <c r="P78" s="154">
        <v>1478.99</v>
      </c>
      <c r="Q78" s="154">
        <v>569.4</v>
      </c>
      <c r="R78" s="138"/>
      <c r="S78" s="138"/>
      <c r="T78" s="138"/>
      <c r="U78" s="138"/>
      <c r="V78" s="138"/>
      <c r="W78" s="138"/>
      <c r="X78" s="138"/>
      <c r="Y78" s="138"/>
      <c r="Z78" s="138"/>
    </row>
    <row r="79" ht="12.75" customHeight="1">
      <c r="A79" s="5">
        <v>77.0</v>
      </c>
      <c r="B79" s="157">
        <v>736.96</v>
      </c>
      <c r="C79" s="157">
        <v>769.25</v>
      </c>
      <c r="D79" s="158">
        <v>540.67</v>
      </c>
      <c r="E79" s="158">
        <v>1029.44</v>
      </c>
      <c r="F79" s="159">
        <v>1870.57</v>
      </c>
      <c r="G79" s="158">
        <v>1146.7</v>
      </c>
      <c r="H79" s="158">
        <v>1101.66</v>
      </c>
      <c r="I79" s="160">
        <v>1266.9</v>
      </c>
      <c r="J79" s="158">
        <v>798.76</v>
      </c>
      <c r="K79" s="158">
        <v>1622.96</v>
      </c>
      <c r="L79" s="158">
        <v>1369.6</v>
      </c>
      <c r="M79" s="158">
        <v>1681.09</v>
      </c>
      <c r="N79" s="158">
        <v>1716.09</v>
      </c>
      <c r="O79" s="158">
        <v>1214.33</v>
      </c>
      <c r="P79" s="158">
        <v>1479.68</v>
      </c>
      <c r="Q79" s="158">
        <v>569.45</v>
      </c>
      <c r="R79" s="138"/>
      <c r="S79" s="138"/>
      <c r="T79" s="138"/>
      <c r="U79" s="138"/>
      <c r="V79" s="138"/>
      <c r="W79" s="138"/>
      <c r="X79" s="138"/>
      <c r="Y79" s="138"/>
      <c r="Z79" s="138"/>
    </row>
    <row r="80" ht="12.75" customHeight="1">
      <c r="A80" s="5">
        <v>78.0</v>
      </c>
      <c r="B80" s="157">
        <v>737.23</v>
      </c>
      <c r="C80" s="157">
        <v>769.5</v>
      </c>
      <c r="D80" s="158">
        <v>545.6</v>
      </c>
      <c r="E80" s="158">
        <v>1029.77</v>
      </c>
      <c r="F80" s="159">
        <v>1870.83</v>
      </c>
      <c r="G80" s="158">
        <v>1155.78</v>
      </c>
      <c r="H80" s="158">
        <v>1109.14</v>
      </c>
      <c r="I80" s="160">
        <v>1267.18</v>
      </c>
      <c r="J80" s="158">
        <v>801.86</v>
      </c>
      <c r="K80" s="158">
        <v>1627.29</v>
      </c>
      <c r="L80" s="158">
        <v>1370.04</v>
      </c>
      <c r="M80" s="158">
        <v>1685.53</v>
      </c>
      <c r="N80" s="158">
        <v>1716.43</v>
      </c>
      <c r="O80" s="158">
        <v>1214.61</v>
      </c>
      <c r="P80" s="158">
        <v>1479.95</v>
      </c>
      <c r="Q80" s="158">
        <v>569.5</v>
      </c>
      <c r="R80" s="138"/>
      <c r="S80" s="138"/>
      <c r="T80" s="138"/>
      <c r="U80" s="138"/>
      <c r="V80" s="138"/>
      <c r="W80" s="138"/>
      <c r="X80" s="138"/>
      <c r="Y80" s="138"/>
      <c r="Z80" s="138"/>
    </row>
    <row r="81" ht="12.75" customHeight="1">
      <c r="A81" s="5">
        <v>79.0</v>
      </c>
      <c r="B81" s="157">
        <v>737.49</v>
      </c>
      <c r="C81" s="157">
        <v>769.75</v>
      </c>
      <c r="D81" s="158">
        <v>553.57</v>
      </c>
      <c r="E81" s="158">
        <v>1030.1</v>
      </c>
      <c r="F81" s="159">
        <v>1871.1</v>
      </c>
      <c r="G81" s="158">
        <v>1158.96</v>
      </c>
      <c r="H81" s="158">
        <v>1116.61</v>
      </c>
      <c r="I81" s="160">
        <v>1267.45</v>
      </c>
      <c r="J81" s="158">
        <v>802.17</v>
      </c>
      <c r="K81" s="158">
        <v>1627.74</v>
      </c>
      <c r="L81" s="158">
        <v>1370.35</v>
      </c>
      <c r="M81" s="158">
        <v>1774.06</v>
      </c>
      <c r="N81" s="158">
        <v>1723.17</v>
      </c>
      <c r="O81" s="158">
        <v>1214.91</v>
      </c>
      <c r="P81" s="158">
        <v>1480.21</v>
      </c>
      <c r="Q81" s="158">
        <v>588.25</v>
      </c>
      <c r="R81" s="138"/>
      <c r="S81" s="138"/>
      <c r="T81" s="138"/>
      <c r="U81" s="138"/>
      <c r="V81" s="138"/>
      <c r="W81" s="138"/>
      <c r="X81" s="138"/>
      <c r="Y81" s="138"/>
      <c r="Z81" s="138"/>
    </row>
    <row r="82" ht="12.75" customHeight="1">
      <c r="A82" s="5">
        <v>80.0</v>
      </c>
      <c r="B82" s="157">
        <v>737.76</v>
      </c>
      <c r="C82" s="161">
        <v>770.0</v>
      </c>
      <c r="D82" s="162">
        <v>554.37</v>
      </c>
      <c r="E82" s="162">
        <v>1030.43</v>
      </c>
      <c r="F82" s="163">
        <v>1871.36</v>
      </c>
      <c r="G82" s="162">
        <v>1159.28</v>
      </c>
      <c r="H82" s="162">
        <v>1117.37</v>
      </c>
      <c r="I82" s="164">
        <v>1267.74</v>
      </c>
      <c r="J82" s="162">
        <v>802.49</v>
      </c>
      <c r="K82" s="162">
        <v>1628.03</v>
      </c>
      <c r="L82" s="162">
        <v>1370.68</v>
      </c>
      <c r="M82" s="162">
        <v>1782.93</v>
      </c>
      <c r="N82" s="162">
        <v>1857.88</v>
      </c>
      <c r="O82" s="162">
        <v>1215.22</v>
      </c>
      <c r="P82" s="162">
        <v>1480.48</v>
      </c>
      <c r="Q82" s="162">
        <v>588.35</v>
      </c>
      <c r="R82" s="138"/>
      <c r="S82" s="138"/>
      <c r="T82" s="138"/>
      <c r="U82" s="138"/>
      <c r="V82" s="138"/>
      <c r="W82" s="138"/>
      <c r="X82" s="138"/>
      <c r="Y82" s="138"/>
      <c r="Z82" s="138"/>
    </row>
    <row r="83" ht="12.75" customHeight="1">
      <c r="A83" s="5">
        <v>81.0</v>
      </c>
      <c r="B83" s="143">
        <v>738.02</v>
      </c>
      <c r="C83" s="146">
        <v>770.25</v>
      </c>
      <c r="D83" s="146">
        <v>554.64</v>
      </c>
      <c r="E83" s="146">
        <v>1031.18</v>
      </c>
      <c r="F83" s="149">
        <v>1871.63</v>
      </c>
      <c r="G83" s="146">
        <v>1159.61</v>
      </c>
      <c r="H83" s="146">
        <v>1124.44</v>
      </c>
      <c r="I83" s="147">
        <v>1268.03</v>
      </c>
      <c r="J83" s="146">
        <v>808.35</v>
      </c>
      <c r="K83" s="146">
        <v>1628.31</v>
      </c>
      <c r="L83" s="146">
        <v>1371.0</v>
      </c>
      <c r="M83" s="146">
        <v>1783.84</v>
      </c>
      <c r="N83" s="146">
        <v>1871.98</v>
      </c>
      <c r="O83" s="146">
        <v>1215.52</v>
      </c>
      <c r="P83" s="146">
        <v>1480.74</v>
      </c>
      <c r="Q83" s="146">
        <v>589.25</v>
      </c>
      <c r="R83" s="138"/>
      <c r="S83" s="138"/>
      <c r="T83" s="138"/>
      <c r="U83" s="138"/>
      <c r="V83" s="138"/>
      <c r="W83" s="138"/>
      <c r="X83" s="138"/>
      <c r="Y83" s="138"/>
      <c r="Z83" s="138"/>
    </row>
    <row r="84" ht="12.75" customHeight="1">
      <c r="A84" s="5">
        <v>82.0</v>
      </c>
      <c r="B84" s="146">
        <v>738.29</v>
      </c>
      <c r="C84" s="146">
        <v>770.5</v>
      </c>
      <c r="D84" s="146">
        <v>555.12</v>
      </c>
      <c r="E84" s="146">
        <v>1046.18</v>
      </c>
      <c r="F84" s="149">
        <v>1871.89</v>
      </c>
      <c r="G84" s="146">
        <v>1159.88</v>
      </c>
      <c r="H84" s="146">
        <v>1125.17</v>
      </c>
      <c r="I84" s="147">
        <v>1268.31</v>
      </c>
      <c r="J84" s="146">
        <v>823.71</v>
      </c>
      <c r="K84" s="146">
        <v>1628.6</v>
      </c>
      <c r="L84" s="146">
        <v>1371.31</v>
      </c>
      <c r="M84" s="146">
        <v>1784.38</v>
      </c>
      <c r="N84" s="146">
        <v>1873.39</v>
      </c>
      <c r="O84" s="146">
        <v>1215.83</v>
      </c>
      <c r="P84" s="146">
        <v>1481.01</v>
      </c>
      <c r="Q84" s="146">
        <v>615.2</v>
      </c>
      <c r="R84" s="138"/>
      <c r="S84" s="138"/>
      <c r="T84" s="138"/>
      <c r="U84" s="138"/>
      <c r="V84" s="138"/>
      <c r="W84" s="138"/>
      <c r="X84" s="138"/>
      <c r="Y84" s="138"/>
      <c r="Z84" s="138"/>
    </row>
    <row r="85" ht="12.75" customHeight="1">
      <c r="A85" s="5">
        <v>83.0</v>
      </c>
      <c r="B85" s="146">
        <v>738.55</v>
      </c>
      <c r="C85" s="146">
        <v>770.75</v>
      </c>
      <c r="D85" s="146">
        <v>564.64</v>
      </c>
      <c r="E85" s="146">
        <v>1047.7</v>
      </c>
      <c r="F85" s="149">
        <v>1872.28</v>
      </c>
      <c r="G85" s="146">
        <v>1160.15</v>
      </c>
      <c r="H85" s="146">
        <v>1126.55</v>
      </c>
      <c r="I85" s="147">
        <v>1268.59</v>
      </c>
      <c r="J85" s="146">
        <v>825.25</v>
      </c>
      <c r="K85" s="146">
        <v>1628.87</v>
      </c>
      <c r="L85" s="146">
        <v>1371.58</v>
      </c>
      <c r="M85" s="146">
        <v>1784.73</v>
      </c>
      <c r="N85" s="146">
        <v>1873.66</v>
      </c>
      <c r="O85" s="146">
        <v>1216.13</v>
      </c>
      <c r="P85" s="146">
        <v>1481.27</v>
      </c>
      <c r="Q85" s="146">
        <v>619.8</v>
      </c>
      <c r="R85" s="138"/>
      <c r="S85" s="138"/>
      <c r="T85" s="138"/>
      <c r="U85" s="138"/>
      <c r="V85" s="138"/>
      <c r="W85" s="138"/>
      <c r="X85" s="138"/>
      <c r="Y85" s="138"/>
      <c r="Z85" s="138"/>
    </row>
    <row r="86" ht="12.75" customHeight="1">
      <c r="A86" s="5">
        <v>84.0</v>
      </c>
      <c r="B86" s="146">
        <v>738.8</v>
      </c>
      <c r="C86" s="146">
        <v>771.0</v>
      </c>
      <c r="D86" s="146">
        <v>565.6</v>
      </c>
      <c r="E86" s="146">
        <v>1049.29</v>
      </c>
      <c r="F86" s="149">
        <v>1872.56</v>
      </c>
      <c r="G86" s="146">
        <v>1160.42</v>
      </c>
      <c r="H86" s="146">
        <v>1153.96</v>
      </c>
      <c r="I86" s="147">
        <v>1268.86</v>
      </c>
      <c r="J86" s="146">
        <v>825.79</v>
      </c>
      <c r="K86" s="146">
        <v>1629.16</v>
      </c>
      <c r="L86" s="146">
        <v>1371.96</v>
      </c>
      <c r="M86" s="146">
        <v>1785.07</v>
      </c>
      <c r="N86" s="146">
        <v>1874.01</v>
      </c>
      <c r="O86" s="146">
        <v>1216.44</v>
      </c>
      <c r="P86" s="146">
        <v>1481.54</v>
      </c>
      <c r="Q86" s="146">
        <v>619.95</v>
      </c>
      <c r="R86" s="138"/>
      <c r="S86" s="138"/>
      <c r="T86" s="138"/>
      <c r="U86" s="138"/>
      <c r="V86" s="138"/>
      <c r="W86" s="138"/>
      <c r="X86" s="138"/>
      <c r="Y86" s="138"/>
      <c r="Z86" s="138"/>
    </row>
    <row r="87" ht="12.75" customHeight="1">
      <c r="A87" s="5">
        <v>85.0</v>
      </c>
      <c r="B87" s="150">
        <v>739.05</v>
      </c>
      <c r="C87" s="150">
        <v>771.25</v>
      </c>
      <c r="D87" s="150">
        <v>580.74</v>
      </c>
      <c r="E87" s="150">
        <v>1058.63</v>
      </c>
      <c r="F87" s="152">
        <v>1872.85</v>
      </c>
      <c r="G87" s="150">
        <v>1160.91</v>
      </c>
      <c r="H87" s="150">
        <v>1161.43</v>
      </c>
      <c r="I87" s="151">
        <v>1269.15</v>
      </c>
      <c r="J87" s="150">
        <v>836.41</v>
      </c>
      <c r="K87" s="150">
        <v>1629.45</v>
      </c>
      <c r="L87" s="150">
        <v>1372.27</v>
      </c>
      <c r="M87" s="150">
        <v>1785.43</v>
      </c>
      <c r="N87" s="150">
        <v>1874.32</v>
      </c>
      <c r="O87" s="150">
        <v>1216.74</v>
      </c>
      <c r="P87" s="150">
        <v>1484.08</v>
      </c>
      <c r="Q87" s="150">
        <v>621.65</v>
      </c>
      <c r="R87" s="138"/>
      <c r="S87" s="138"/>
      <c r="T87" s="138"/>
      <c r="U87" s="138"/>
      <c r="V87" s="138"/>
      <c r="W87" s="138"/>
      <c r="X87" s="138"/>
      <c r="Y87" s="138"/>
      <c r="Z87" s="138"/>
    </row>
    <row r="88" ht="13.5" customHeight="1">
      <c r="A88" s="5">
        <v>86.0</v>
      </c>
      <c r="B88" s="138">
        <v>739.35</v>
      </c>
      <c r="C88" s="138">
        <v>771.5</v>
      </c>
      <c r="D88" s="138">
        <v>586.68</v>
      </c>
      <c r="E88" s="138">
        <v>1059.57</v>
      </c>
      <c r="F88" s="138">
        <v>1873.29</v>
      </c>
      <c r="G88" s="138">
        <v>1170.7</v>
      </c>
      <c r="H88" s="138">
        <v>1168.87</v>
      </c>
      <c r="I88" s="138">
        <v>1269.44</v>
      </c>
      <c r="J88" s="138">
        <v>837.48</v>
      </c>
      <c r="K88" s="138">
        <v>1629.73</v>
      </c>
      <c r="L88" s="138">
        <v>1372.59</v>
      </c>
      <c r="M88" s="138">
        <v>1785.7</v>
      </c>
      <c r="N88" s="138">
        <v>1878.65</v>
      </c>
      <c r="O88" s="138">
        <v>1217.04</v>
      </c>
      <c r="P88" s="138">
        <v>1534.32</v>
      </c>
      <c r="Q88" s="138">
        <v>621.8</v>
      </c>
      <c r="R88" s="138"/>
      <c r="S88" s="138"/>
      <c r="T88" s="138"/>
      <c r="U88" s="138"/>
      <c r="V88" s="138"/>
      <c r="W88" s="138"/>
      <c r="X88" s="138"/>
      <c r="Y88" s="138"/>
      <c r="Z88" s="138"/>
    </row>
    <row r="89" ht="12.75" customHeight="1">
      <c r="A89" s="5">
        <v>87.0</v>
      </c>
      <c r="B89" s="138">
        <v>739.61</v>
      </c>
      <c r="C89" s="138">
        <v>771.75</v>
      </c>
      <c r="D89" s="138">
        <v>599.48</v>
      </c>
      <c r="E89" s="138">
        <v>1062.15</v>
      </c>
      <c r="F89" s="138">
        <v>1882.08</v>
      </c>
      <c r="G89" s="138">
        <v>1174.58</v>
      </c>
      <c r="H89" s="138">
        <v>1172.22</v>
      </c>
      <c r="I89" s="138">
        <v>1269.72</v>
      </c>
      <c r="J89" s="138">
        <v>838.04</v>
      </c>
      <c r="K89" s="138">
        <v>1630.02</v>
      </c>
      <c r="L89" s="138">
        <v>1372.91</v>
      </c>
      <c r="M89" s="138">
        <v>1785.97</v>
      </c>
      <c r="N89" s="138">
        <v>1965.1</v>
      </c>
      <c r="O89" s="138">
        <v>1217.34</v>
      </c>
      <c r="P89" s="138">
        <v>1539.35</v>
      </c>
      <c r="Q89" s="138">
        <v>632.1</v>
      </c>
      <c r="R89" s="138"/>
      <c r="S89" s="138"/>
      <c r="T89" s="138"/>
      <c r="U89" s="138"/>
      <c r="V89" s="138"/>
      <c r="W89" s="138"/>
      <c r="X89" s="138"/>
      <c r="Y89" s="138"/>
      <c r="Z89" s="138"/>
    </row>
    <row r="90" ht="12.75" customHeight="1">
      <c r="A90" s="5">
        <v>88.0</v>
      </c>
      <c r="B90" s="138">
        <v>739.88</v>
      </c>
      <c r="C90" s="138">
        <v>772.0</v>
      </c>
      <c r="D90" s="138">
        <v>600.77</v>
      </c>
      <c r="E90" s="138">
        <v>1062.42</v>
      </c>
      <c r="F90" s="138">
        <v>1999.96</v>
      </c>
      <c r="G90" s="138">
        <v>1175.15</v>
      </c>
      <c r="H90" s="138">
        <v>1172.56</v>
      </c>
      <c r="I90" s="138">
        <v>1270.0</v>
      </c>
      <c r="J90" s="138">
        <v>849.14</v>
      </c>
      <c r="K90" s="138">
        <v>1630.31</v>
      </c>
      <c r="L90" s="138">
        <v>1373.61</v>
      </c>
      <c r="M90" s="138">
        <v>1786.42</v>
      </c>
      <c r="N90" s="138">
        <v>1973.75</v>
      </c>
      <c r="O90" s="138">
        <v>1219.37</v>
      </c>
      <c r="P90" s="138">
        <v>1539.86</v>
      </c>
      <c r="Q90" s="138">
        <v>640.05</v>
      </c>
      <c r="R90" s="138"/>
      <c r="S90" s="138"/>
      <c r="T90" s="138"/>
      <c r="U90" s="138"/>
      <c r="V90" s="138"/>
      <c r="W90" s="138"/>
      <c r="X90" s="138"/>
      <c r="Y90" s="138"/>
      <c r="Z90" s="138"/>
    </row>
    <row r="91" ht="12.75" customHeight="1">
      <c r="A91" s="5">
        <v>89.0</v>
      </c>
      <c r="B91" s="138">
        <v>740.14</v>
      </c>
      <c r="C91" s="138">
        <v>772.25</v>
      </c>
      <c r="D91" s="138">
        <v>601.05</v>
      </c>
      <c r="E91" s="138">
        <v>1062.88</v>
      </c>
      <c r="F91" s="138">
        <v>2115.49</v>
      </c>
      <c r="G91" s="138">
        <v>1175.41</v>
      </c>
      <c r="H91" s="138">
        <v>1172.89</v>
      </c>
      <c r="I91" s="138">
        <v>1270.29</v>
      </c>
      <c r="J91" s="138">
        <v>868.0</v>
      </c>
      <c r="K91" s="138">
        <v>1630.58</v>
      </c>
      <c r="L91" s="138">
        <v>1387.14</v>
      </c>
      <c r="M91" s="138">
        <v>1786.74</v>
      </c>
      <c r="N91" s="138">
        <v>1974.62</v>
      </c>
      <c r="O91" s="138">
        <v>1252.14</v>
      </c>
      <c r="P91" s="138">
        <v>1540.12</v>
      </c>
      <c r="Q91" s="138">
        <v>640.6</v>
      </c>
      <c r="R91" s="138"/>
      <c r="S91" s="138"/>
      <c r="T91" s="138"/>
      <c r="U91" s="138"/>
      <c r="V91" s="138"/>
      <c r="W91" s="138"/>
      <c r="X91" s="138"/>
      <c r="Y91" s="138"/>
      <c r="Z91" s="138"/>
    </row>
    <row r="92" ht="12.75" customHeight="1">
      <c r="A92" s="5">
        <v>90.0</v>
      </c>
      <c r="B92" s="138">
        <v>740.41</v>
      </c>
      <c r="C92" s="138">
        <v>772.5</v>
      </c>
      <c r="D92" s="138">
        <v>601.34</v>
      </c>
      <c r="E92" s="138">
        <v>1071.85</v>
      </c>
      <c r="F92" s="138">
        <v>2127.05</v>
      </c>
      <c r="G92" s="138">
        <v>1175.68</v>
      </c>
      <c r="H92" s="138">
        <v>1173.75</v>
      </c>
      <c r="I92" s="138">
        <v>1270.56</v>
      </c>
      <c r="J92" s="138">
        <v>869.9</v>
      </c>
      <c r="K92" s="138">
        <v>1630.87</v>
      </c>
      <c r="L92" s="138">
        <v>1392.86</v>
      </c>
      <c r="M92" s="138">
        <v>1787.16</v>
      </c>
      <c r="N92" s="138">
        <v>1979.81</v>
      </c>
      <c r="O92" s="138">
        <v>1255.42</v>
      </c>
      <c r="P92" s="138">
        <v>1540.39</v>
      </c>
      <c r="Q92" s="138">
        <v>650.15</v>
      </c>
      <c r="R92" s="138"/>
      <c r="S92" s="138"/>
      <c r="T92" s="138"/>
      <c r="U92" s="138"/>
      <c r="V92" s="138"/>
      <c r="W92" s="138"/>
      <c r="X92" s="138"/>
      <c r="Y92" s="138"/>
      <c r="Z92" s="138"/>
    </row>
    <row r="93" ht="12.75" customHeight="1">
      <c r="A93" s="5">
        <v>91.0</v>
      </c>
      <c r="B93" s="138">
        <v>740.67</v>
      </c>
      <c r="C93" s="138">
        <v>772.75</v>
      </c>
      <c r="D93" s="138">
        <v>601.6</v>
      </c>
      <c r="E93" s="138">
        <v>1072.75</v>
      </c>
      <c r="F93" s="138">
        <v>2128.22</v>
      </c>
      <c r="G93" s="138">
        <v>1175.95</v>
      </c>
      <c r="H93" s="138">
        <v>1190.18</v>
      </c>
      <c r="I93" s="138">
        <v>1270.85</v>
      </c>
      <c r="J93" s="138">
        <v>871.42</v>
      </c>
      <c r="K93" s="138">
        <v>1631.15</v>
      </c>
      <c r="L93" s="138">
        <v>1395.48</v>
      </c>
      <c r="M93" s="138">
        <v>1787.5</v>
      </c>
      <c r="N93" s="138">
        <v>1985.47</v>
      </c>
      <c r="O93" s="138">
        <v>1255.75</v>
      </c>
      <c r="P93" s="138">
        <v>1540.65</v>
      </c>
      <c r="Q93" s="138">
        <v>650.7</v>
      </c>
      <c r="R93" s="138"/>
      <c r="S93" s="138"/>
      <c r="T93" s="138"/>
      <c r="U93" s="138"/>
      <c r="V93" s="138"/>
      <c r="W93" s="138"/>
      <c r="X93" s="138"/>
      <c r="Y93" s="138"/>
      <c r="Z93" s="138"/>
    </row>
    <row r="94" ht="12.75" customHeight="1">
      <c r="A94" s="5">
        <v>92.0</v>
      </c>
      <c r="B94" s="138">
        <v>740.94</v>
      </c>
      <c r="C94" s="138">
        <v>773.0</v>
      </c>
      <c r="D94" s="138">
        <v>601.99</v>
      </c>
      <c r="E94" s="138">
        <v>1073.0</v>
      </c>
      <c r="F94" s="138">
        <v>2128.49</v>
      </c>
      <c r="G94" s="138">
        <v>1176.22</v>
      </c>
      <c r="H94" s="138">
        <v>1191.83</v>
      </c>
      <c r="I94" s="138">
        <v>1271.14</v>
      </c>
      <c r="J94" s="138">
        <v>880.01</v>
      </c>
      <c r="K94" s="138">
        <v>1631.44</v>
      </c>
      <c r="L94" s="138">
        <v>1397.99</v>
      </c>
      <c r="M94" s="138">
        <v>1787.78</v>
      </c>
      <c r="N94" s="138">
        <v>2098.6</v>
      </c>
      <c r="O94" s="138">
        <v>1256.0</v>
      </c>
      <c r="P94" s="138">
        <v>1540.92</v>
      </c>
      <c r="Q94" s="138">
        <v>656.5</v>
      </c>
      <c r="R94" s="138"/>
      <c r="S94" s="138"/>
      <c r="T94" s="138"/>
      <c r="U94" s="138"/>
      <c r="V94" s="138"/>
      <c r="W94" s="138"/>
      <c r="X94" s="138"/>
      <c r="Y94" s="138"/>
      <c r="Z94" s="138"/>
    </row>
    <row r="95" ht="12.75" customHeight="1">
      <c r="A95" s="5">
        <v>93.0</v>
      </c>
      <c r="B95" s="138">
        <v>741.2</v>
      </c>
      <c r="C95" s="138">
        <v>773.25</v>
      </c>
      <c r="D95" s="138">
        <v>602.39</v>
      </c>
      <c r="E95" s="138">
        <v>1073.25</v>
      </c>
      <c r="F95" s="138">
        <v>2128.75</v>
      </c>
      <c r="G95" s="138">
        <v>1176.48</v>
      </c>
      <c r="H95" s="138">
        <v>1192.15</v>
      </c>
      <c r="I95" s="138">
        <v>1271.41</v>
      </c>
      <c r="J95" s="138">
        <v>880.88</v>
      </c>
      <c r="K95" s="138">
        <v>1631.73</v>
      </c>
      <c r="L95" s="138">
        <v>1448.19</v>
      </c>
      <c r="M95" s="138">
        <v>1788.2</v>
      </c>
      <c r="N95" s="138">
        <v>2110.47</v>
      </c>
      <c r="O95" s="138">
        <v>1256.25</v>
      </c>
      <c r="P95" s="138">
        <v>1541.18</v>
      </c>
      <c r="Q95" s="138">
        <v>656.7</v>
      </c>
      <c r="R95" s="138"/>
      <c r="S95" s="138"/>
      <c r="T95" s="138"/>
      <c r="U95" s="138"/>
      <c r="V95" s="138"/>
      <c r="W95" s="138"/>
      <c r="X95" s="138"/>
      <c r="Y95" s="138"/>
      <c r="Z95" s="138"/>
    </row>
    <row r="96" ht="12.75" customHeight="1">
      <c r="A96" s="5">
        <v>94.0</v>
      </c>
      <c r="B96" s="138">
        <v>741.47</v>
      </c>
      <c r="C96" s="138">
        <v>773.5</v>
      </c>
      <c r="D96" s="138">
        <v>604.46</v>
      </c>
      <c r="E96" s="138">
        <v>1073.5</v>
      </c>
      <c r="F96" s="138">
        <v>2129.01</v>
      </c>
      <c r="G96" s="138">
        <v>1176.75</v>
      </c>
      <c r="H96" s="138">
        <v>1192.44</v>
      </c>
      <c r="I96" s="138">
        <v>1271.7</v>
      </c>
      <c r="J96" s="138">
        <v>898.21</v>
      </c>
      <c r="K96" s="138">
        <v>1632.01</v>
      </c>
      <c r="L96" s="138">
        <v>1453.21</v>
      </c>
      <c r="M96" s="138">
        <v>1788.55</v>
      </c>
      <c r="N96" s="138">
        <v>2111.66</v>
      </c>
      <c r="O96" s="138">
        <v>1256.5</v>
      </c>
      <c r="P96" s="138">
        <v>1541.44</v>
      </c>
      <c r="Q96" s="138">
        <v>678.9</v>
      </c>
      <c r="R96" s="138"/>
      <c r="S96" s="138"/>
      <c r="T96" s="138"/>
      <c r="U96" s="138"/>
      <c r="V96" s="138"/>
      <c r="W96" s="138"/>
      <c r="X96" s="138"/>
      <c r="Y96" s="138"/>
      <c r="Z96" s="138"/>
    </row>
    <row r="97" ht="12.75" customHeight="1">
      <c r="A97" s="5">
        <v>95.0</v>
      </c>
      <c r="B97" s="138">
        <v>741.73</v>
      </c>
      <c r="C97" s="138">
        <v>773.75</v>
      </c>
      <c r="D97" s="138">
        <v>645.76</v>
      </c>
      <c r="E97" s="138">
        <v>1073.75</v>
      </c>
      <c r="F97" s="138">
        <v>2131.71</v>
      </c>
      <c r="G97" s="138">
        <v>1177.03</v>
      </c>
      <c r="H97" s="138">
        <v>1192.75</v>
      </c>
      <c r="I97" s="138">
        <v>1271.97</v>
      </c>
      <c r="J97" s="138">
        <v>900.05</v>
      </c>
      <c r="K97" s="138">
        <v>1632.29</v>
      </c>
      <c r="L97" s="138">
        <v>1453.73</v>
      </c>
      <c r="M97" s="138">
        <v>1788.89</v>
      </c>
      <c r="N97" s="138">
        <v>2111.98</v>
      </c>
      <c r="O97" s="138">
        <v>1256.75</v>
      </c>
      <c r="P97" s="138">
        <v>1543.6</v>
      </c>
      <c r="Q97" s="138">
        <v>679.1</v>
      </c>
      <c r="R97" s="138"/>
      <c r="S97" s="138"/>
      <c r="T97" s="138"/>
      <c r="U97" s="138"/>
      <c r="V97" s="138"/>
      <c r="W97" s="138"/>
      <c r="X97" s="138"/>
      <c r="Y97" s="138"/>
      <c r="Z97" s="138"/>
    </row>
    <row r="98" ht="12.75" customHeight="1">
      <c r="A98" s="5">
        <v>96.0</v>
      </c>
      <c r="B98" s="138">
        <v>741.99</v>
      </c>
      <c r="C98" s="138">
        <v>774.0</v>
      </c>
      <c r="D98" s="138">
        <v>649.9</v>
      </c>
      <c r="E98" s="138">
        <v>1074.0</v>
      </c>
      <c r="F98" s="138">
        <v>2185.55</v>
      </c>
      <c r="G98" s="138">
        <v>1182.57</v>
      </c>
      <c r="H98" s="138">
        <v>1193.05</v>
      </c>
      <c r="I98" s="138">
        <v>1272.26</v>
      </c>
      <c r="J98" s="138">
        <v>907.95</v>
      </c>
      <c r="K98" s="138">
        <v>1632.57</v>
      </c>
      <c r="L98" s="138">
        <v>1454.05</v>
      </c>
      <c r="M98" s="138">
        <v>1789.2</v>
      </c>
      <c r="N98" s="138">
        <v>2112.26</v>
      </c>
      <c r="O98" s="138">
        <v>1257.0</v>
      </c>
      <c r="P98" s="138">
        <v>1586.63</v>
      </c>
      <c r="Q98" s="138">
        <v>682.25</v>
      </c>
      <c r="R98" s="138"/>
      <c r="S98" s="138"/>
      <c r="T98" s="138"/>
      <c r="U98" s="138"/>
      <c r="V98" s="138"/>
      <c r="W98" s="138"/>
      <c r="X98" s="138"/>
      <c r="Y98" s="138"/>
      <c r="Z98" s="138"/>
    </row>
    <row r="99" ht="12.75" customHeight="1">
      <c r="A99" s="5">
        <v>97.0</v>
      </c>
      <c r="B99" s="138">
        <v>742.25</v>
      </c>
      <c r="C99" s="138">
        <v>774.25</v>
      </c>
      <c r="D99" s="138">
        <v>650.37</v>
      </c>
      <c r="E99" s="138">
        <v>1074.25</v>
      </c>
      <c r="F99" s="138">
        <v>2190.94</v>
      </c>
      <c r="G99" s="138">
        <v>1214.5</v>
      </c>
      <c r="H99" s="138">
        <v>1193.36</v>
      </c>
      <c r="I99" s="138">
        <v>1272.53</v>
      </c>
      <c r="J99" s="138">
        <v>908.75</v>
      </c>
      <c r="K99" s="138">
        <v>1632.84</v>
      </c>
      <c r="L99" s="138">
        <v>1454.36</v>
      </c>
      <c r="M99" s="138">
        <v>1789.47</v>
      </c>
      <c r="N99" s="138">
        <v>2112.59</v>
      </c>
      <c r="O99" s="138">
        <v>1257.25</v>
      </c>
      <c r="P99" s="138">
        <v>1591.74</v>
      </c>
      <c r="Q99" s="138">
        <v>682.85</v>
      </c>
      <c r="R99" s="138"/>
      <c r="S99" s="138"/>
      <c r="T99" s="138"/>
      <c r="U99" s="138"/>
      <c r="V99" s="138"/>
      <c r="W99" s="138"/>
      <c r="X99" s="138"/>
      <c r="Y99" s="138"/>
      <c r="Z99" s="138"/>
    </row>
    <row r="100" ht="12.75" customHeight="1">
      <c r="A100" s="5">
        <v>98.0</v>
      </c>
      <c r="B100" s="138">
        <v>742.5</v>
      </c>
      <c r="C100" s="138">
        <v>774.5</v>
      </c>
      <c r="D100" s="138">
        <v>650.64</v>
      </c>
      <c r="E100" s="138">
        <v>1074.5</v>
      </c>
      <c r="F100" s="138">
        <v>2191.48</v>
      </c>
      <c r="G100" s="138">
        <v>1217.7</v>
      </c>
      <c r="H100" s="138">
        <v>1193.67</v>
      </c>
      <c r="I100" s="138">
        <v>1272.79</v>
      </c>
      <c r="J100" s="138">
        <v>909.14</v>
      </c>
      <c r="K100" s="138">
        <v>1633.11</v>
      </c>
      <c r="L100" s="138">
        <v>1454.69</v>
      </c>
      <c r="M100" s="138">
        <v>1790.02</v>
      </c>
      <c r="N100" s="138">
        <v>2118.98</v>
      </c>
      <c r="O100" s="138">
        <v>1257.5</v>
      </c>
      <c r="P100" s="138">
        <v>1595.27</v>
      </c>
      <c r="Q100" s="138">
        <v>683.05</v>
      </c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ht="12.75" customHeight="1">
      <c r="A101" s="5">
        <v>99.0</v>
      </c>
      <c r="B101" s="138">
        <v>742.75</v>
      </c>
      <c r="C101" s="138">
        <v>774.75</v>
      </c>
      <c r="D101" s="138">
        <v>654.82</v>
      </c>
      <c r="E101" s="138">
        <v>1074.75</v>
      </c>
      <c r="F101" s="138">
        <v>2193.28</v>
      </c>
      <c r="G101" s="138">
        <v>1219.73</v>
      </c>
      <c r="H101" s="138">
        <v>1194.67</v>
      </c>
      <c r="I101" s="138">
        <v>1273.06</v>
      </c>
      <c r="J101" s="138">
        <v>916.72</v>
      </c>
      <c r="K101" s="138">
        <v>1633.43</v>
      </c>
      <c r="L101" s="138">
        <v>1457.69</v>
      </c>
      <c r="M101" s="138">
        <v>1800.99</v>
      </c>
      <c r="N101" s="138">
        <v>2119.62</v>
      </c>
      <c r="O101" s="138">
        <v>1257.75</v>
      </c>
      <c r="P101" s="138">
        <v>1618.03</v>
      </c>
      <c r="Q101" s="138">
        <v>683.6</v>
      </c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ht="12.75" customHeight="1">
      <c r="A102" s="138">
        <v>100.0</v>
      </c>
      <c r="B102" s="138">
        <v>743.0</v>
      </c>
      <c r="C102" s="138">
        <v>775.0</v>
      </c>
      <c r="D102" s="138">
        <v>714.0</v>
      </c>
      <c r="E102" s="138">
        <v>1075.0</v>
      </c>
      <c r="F102" s="138">
        <v>2229.0</v>
      </c>
      <c r="G102" s="138">
        <v>1259.0</v>
      </c>
      <c r="H102" s="138">
        <v>1204.0</v>
      </c>
      <c r="I102" s="138">
        <v>1277.0</v>
      </c>
      <c r="J102" s="138">
        <v>1061.0</v>
      </c>
      <c r="K102" s="138">
        <v>1639.0</v>
      </c>
      <c r="L102" s="138">
        <v>1494.0</v>
      </c>
      <c r="M102" s="138">
        <v>1979.0</v>
      </c>
      <c r="N102" s="138">
        <v>2129.0</v>
      </c>
      <c r="O102" s="138">
        <v>1258.0</v>
      </c>
      <c r="P102" s="138">
        <v>1633.0</v>
      </c>
      <c r="Q102" s="138">
        <v>739.0</v>
      </c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ht="12.75" customHeight="1">
      <c r="A103" s="138" t="s">
        <v>63</v>
      </c>
      <c r="B103" s="138">
        <v>7.43</v>
      </c>
      <c r="C103" s="138">
        <v>7.75</v>
      </c>
      <c r="D103" s="138">
        <v>7.14</v>
      </c>
      <c r="E103" s="138">
        <v>10.75</v>
      </c>
      <c r="F103" s="138">
        <v>22.29</v>
      </c>
      <c r="G103" s="138">
        <v>12.59</v>
      </c>
      <c r="H103" s="138">
        <v>12.04</v>
      </c>
      <c r="I103" s="138">
        <v>12.77</v>
      </c>
      <c r="J103" s="138">
        <v>10.61</v>
      </c>
      <c r="K103" s="138">
        <v>16.39</v>
      </c>
      <c r="L103" s="138">
        <v>14.94</v>
      </c>
      <c r="M103" s="138">
        <v>19.79</v>
      </c>
      <c r="N103" s="138">
        <v>21.29</v>
      </c>
      <c r="O103" s="138">
        <v>12.58</v>
      </c>
      <c r="P103" s="138">
        <v>16.33</v>
      </c>
      <c r="Q103" s="138">
        <v>7.39</v>
      </c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ht="12.75" customHeight="1">
      <c r="A104" s="138" t="s">
        <v>64</v>
      </c>
      <c r="B104" s="165">
        <v>91.53999999999999</v>
      </c>
      <c r="C104" s="165">
        <v>98.34</v>
      </c>
      <c r="D104" s="165">
        <v>81.05000000000001</v>
      </c>
      <c r="E104" s="165">
        <v>106.32</v>
      </c>
      <c r="F104" s="165">
        <v>107.13</v>
      </c>
      <c r="G104" s="165">
        <v>105.63</v>
      </c>
      <c r="H104" s="165">
        <v>98.61000000000001</v>
      </c>
      <c r="I104" s="165">
        <v>104.44</v>
      </c>
      <c r="J104" s="165">
        <v>83.3</v>
      </c>
      <c r="K104" s="165">
        <v>122.13</v>
      </c>
      <c r="L104" s="165">
        <v>108.47</v>
      </c>
      <c r="M104" s="165">
        <v>149.79000000000002</v>
      </c>
      <c r="N104" s="165">
        <v>104.73</v>
      </c>
      <c r="O104" s="165">
        <v>112.63999999999999</v>
      </c>
      <c r="P104" s="165">
        <v>113.81</v>
      </c>
      <c r="Q104" s="165">
        <v>53.4</v>
      </c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ht="12.75" customHeight="1">
      <c r="A105" s="138" t="s">
        <v>30</v>
      </c>
      <c r="B105" s="166">
        <f t="shared" ref="B105:Q105" si="1">B3-B104</f>
        <v>20.69</v>
      </c>
      <c r="C105" s="166">
        <f t="shared" si="1"/>
        <v>22.24</v>
      </c>
      <c r="D105" s="166">
        <f t="shared" si="1"/>
        <v>19.41</v>
      </c>
      <c r="E105" s="166">
        <f t="shared" si="1"/>
        <v>24.91</v>
      </c>
      <c r="F105" s="166">
        <f t="shared" si="1"/>
        <v>25.5</v>
      </c>
      <c r="G105" s="166">
        <f t="shared" si="1"/>
        <v>24.74</v>
      </c>
      <c r="H105" s="166">
        <f t="shared" si="1"/>
        <v>23.1</v>
      </c>
      <c r="I105" s="166">
        <f t="shared" si="1"/>
        <v>23.67</v>
      </c>
      <c r="J105" s="166">
        <f t="shared" si="1"/>
        <v>19.67</v>
      </c>
      <c r="K105" s="166">
        <f t="shared" si="1"/>
        <v>29.46</v>
      </c>
      <c r="L105" s="166">
        <f t="shared" si="1"/>
        <v>25.49</v>
      </c>
      <c r="M105" s="166">
        <f t="shared" si="1"/>
        <v>33.51</v>
      </c>
      <c r="N105" s="166">
        <f t="shared" si="1"/>
        <v>24.34</v>
      </c>
      <c r="O105" s="166">
        <f t="shared" si="1"/>
        <v>26.55</v>
      </c>
      <c r="P105" s="166">
        <f t="shared" si="1"/>
        <v>25.67</v>
      </c>
      <c r="Q105" s="166">
        <f t="shared" si="1"/>
        <v>3.3</v>
      </c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ht="12.75" customHeight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ht="12.75" customHeight="1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ht="12.75" customHeight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ht="12.75" customHeight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ht="12.75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ht="12.75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ht="12.75" customHeight="1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ht="12.75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</row>
    <row r="114" ht="12.75" customHeight="1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</row>
    <row r="115" ht="12.75" customHeigh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ht="12.7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ht="12.7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ht="12.75" customHeight="1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</row>
    <row r="119" ht="12.75" customHeight="1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</row>
    <row r="120" ht="12.75" customHeight="1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</row>
    <row r="121" ht="12.7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</row>
    <row r="122" ht="12.75" customHeight="1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</row>
    <row r="123" ht="12.7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</row>
    <row r="124" ht="12.75" customHeight="1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ht="12.7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ht="12.75" customHeight="1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</row>
    <row r="127" ht="12.75" customHeight="1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</row>
    <row r="128" ht="12.75" customHeight="1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</row>
    <row r="129" ht="12.75" customHeight="1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</row>
    <row r="130" ht="12.75" customHeight="1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</row>
    <row r="131" ht="12.75" customHeight="1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</row>
    <row r="132" ht="12.75" customHeight="1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</row>
    <row r="133" ht="12.75" customHeight="1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</row>
    <row r="134" ht="12.75" customHeigh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</row>
    <row r="135" ht="12.75" customHeight="1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</row>
    <row r="136" ht="12.75" customHeight="1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</row>
    <row r="137" ht="12.75" customHeight="1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</row>
    <row r="138" ht="12.75" customHeight="1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</row>
    <row r="139" ht="12.75" customHeight="1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</row>
    <row r="140" ht="12.75" customHeight="1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</row>
    <row r="141" ht="12.75" customHeight="1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</row>
    <row r="142" ht="12.75" customHeight="1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</row>
    <row r="143" ht="12.75" customHeight="1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</row>
    <row r="144" ht="12.75" customHeigh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</row>
    <row r="145" ht="12.75" customHeight="1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</row>
    <row r="146" ht="12.75" customHeight="1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</row>
    <row r="147" ht="12.75" customHeight="1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</row>
    <row r="148" ht="12.75" customHeight="1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</row>
    <row r="149" ht="12.75" customHeight="1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</row>
    <row r="150" ht="12.7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</row>
    <row r="151" ht="12.75" customHeight="1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</row>
    <row r="152" ht="12.7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</row>
    <row r="153" ht="12.75" customHeight="1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</row>
    <row r="154" ht="12.75" customHeight="1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</row>
    <row r="155" ht="12.75" customHeight="1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</row>
    <row r="156" ht="12.75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</row>
    <row r="157" ht="12.75" customHeight="1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</row>
    <row r="158" ht="12.75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</row>
    <row r="159" ht="12.75" customHeight="1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</row>
    <row r="160" ht="12.75" customHeigh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</row>
    <row r="161" ht="12.75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</row>
    <row r="162" ht="12.75" customHeight="1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</row>
    <row r="163" ht="12.75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</row>
    <row r="164" ht="12.75" customHeight="1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</row>
    <row r="165" ht="12.75" customHeight="1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</row>
    <row r="166" ht="12.75" customHeight="1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</row>
    <row r="167" ht="12.75" customHeight="1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</row>
    <row r="168" ht="12.75" customHeight="1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</row>
    <row r="169" ht="12.75" customHeight="1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</row>
    <row r="170" ht="12.7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</row>
    <row r="171" ht="12.75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</row>
    <row r="172" ht="12.75" customHeight="1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</row>
    <row r="173" ht="12.75" customHeight="1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</row>
    <row r="174" ht="12.75" customHeight="1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</row>
    <row r="175" ht="12.7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</row>
    <row r="176" ht="12.75" customHeight="1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</row>
    <row r="177" ht="12.7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</row>
    <row r="178" ht="12.75" customHeigh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</row>
    <row r="179" ht="12.75" customHeight="1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</row>
    <row r="180" ht="12.75" customHeight="1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</row>
    <row r="181" ht="12.75" customHeight="1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</row>
    <row r="182" ht="12.75" customHeight="1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</row>
    <row r="183" ht="12.7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</row>
    <row r="184" ht="12.75" customHeight="1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</row>
    <row r="185" ht="12.75" customHeight="1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</row>
    <row r="186" ht="12.75" customHeight="1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</row>
    <row r="187" ht="12.75" customHeight="1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</row>
    <row r="188" ht="12.7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</row>
    <row r="189" ht="12.75" customHeight="1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</row>
    <row r="190" ht="12.75" customHeight="1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</row>
    <row r="191" ht="12.75" customHeight="1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</row>
    <row r="192" ht="12.7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</row>
    <row r="193" ht="12.75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</row>
    <row r="194" ht="12.75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</row>
    <row r="195" ht="12.7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</row>
    <row r="196" ht="12.7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</row>
    <row r="197" ht="12.7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</row>
    <row r="198" ht="12.7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</row>
    <row r="199" ht="12.75" customHeight="1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</row>
    <row r="200" ht="12.75" customHeight="1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</row>
    <row r="201" ht="12.75" customHeight="1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</row>
    <row r="202" ht="12.75" customHeight="1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</row>
    <row r="203" ht="12.75" customHeight="1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</row>
    <row r="204" ht="12.75" customHeight="1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</row>
    <row r="205" ht="12.75" customHeight="1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</row>
    <row r="206" ht="12.75" customHeight="1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</row>
    <row r="207" ht="12.75" customHeight="1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</row>
    <row r="208" ht="12.7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</row>
    <row r="209" ht="12.75" customHeight="1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</row>
    <row r="210" ht="12.75" customHeight="1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</row>
    <row r="211" ht="12.75" customHeight="1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</row>
    <row r="212" ht="12.75" customHeight="1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</row>
    <row r="213" ht="12.75" customHeight="1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</row>
    <row r="214" ht="12.75" customHeight="1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</row>
    <row r="215" ht="12.75" customHeight="1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</row>
    <row r="216" ht="12.75" customHeight="1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</row>
    <row r="217" ht="12.75" customHeight="1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</row>
    <row r="218" ht="12.75" customHeight="1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</row>
    <row r="219" ht="12.75" customHeight="1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</row>
    <row r="220" ht="12.75" customHeight="1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</row>
    <row r="221" ht="12.75" customHeight="1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</row>
    <row r="222" ht="12.75" customHeight="1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</row>
    <row r="223" ht="12.75" customHeight="1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</row>
    <row r="224" ht="12.75" customHeight="1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</row>
    <row r="225" ht="12.75" customHeight="1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</row>
    <row r="226" ht="12.75" customHeight="1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</row>
    <row r="227" ht="12.75" customHeight="1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</row>
    <row r="228" ht="12.75" customHeight="1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</row>
    <row r="229" ht="12.75" customHeight="1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</row>
    <row r="230" ht="12.75" customHeight="1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</row>
    <row r="231" ht="12.75" customHeight="1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</row>
    <row r="232" ht="12.75" customHeight="1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</row>
    <row r="233" ht="12.75" customHeight="1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</row>
    <row r="234" ht="12.75" customHeight="1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</row>
    <row r="235" ht="12.75" customHeight="1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</row>
    <row r="236" ht="12.75" customHeight="1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</row>
    <row r="237" ht="12.75" customHeight="1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</row>
    <row r="238" ht="12.75" customHeight="1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</row>
    <row r="239" ht="12.75" customHeight="1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</row>
    <row r="240" ht="12.75" customHeight="1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</row>
    <row r="241" ht="12.75" customHeight="1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</row>
    <row r="242" ht="12.75" customHeight="1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</row>
    <row r="243" ht="12.75" customHeight="1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</row>
    <row r="244" ht="12.75" customHeight="1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</row>
    <row r="245" ht="12.75" customHeight="1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</row>
    <row r="246" ht="12.75" customHeight="1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</row>
    <row r="247" ht="12.75" customHeight="1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</row>
    <row r="248" ht="12.75" customHeight="1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</row>
    <row r="249" ht="12.75" customHeight="1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</row>
    <row r="250" ht="12.75" customHeight="1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</row>
    <row r="251" ht="12.75" customHeight="1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</row>
    <row r="252" ht="12.75" customHeight="1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</row>
    <row r="253" ht="12.75" customHeight="1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</row>
    <row r="254" ht="12.75" customHeight="1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</row>
    <row r="255" ht="12.75" customHeight="1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</row>
    <row r="256" ht="12.75" customHeight="1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</row>
    <row r="257" ht="12.75" customHeight="1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</row>
    <row r="258" ht="12.75" customHeight="1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</row>
    <row r="259" ht="12.75" customHeight="1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</row>
    <row r="260" ht="12.75" customHeight="1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</row>
    <row r="261" ht="12.75" customHeight="1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</row>
    <row r="262" ht="12.75" customHeight="1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</row>
    <row r="263" ht="12.75" customHeight="1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</row>
    <row r="264" ht="12.75" customHeight="1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</row>
    <row r="265" ht="12.75" customHeight="1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</row>
    <row r="266" ht="12.75" customHeight="1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</row>
    <row r="267" ht="12.75" customHeight="1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</row>
    <row r="268" ht="12.75" customHeight="1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</row>
    <row r="269" ht="12.75" customHeight="1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</row>
    <row r="270" ht="12.75" customHeight="1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</row>
    <row r="271" ht="12.75" customHeight="1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</row>
    <row r="272" ht="12.75" customHeight="1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</row>
    <row r="273" ht="12.75" customHeight="1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</row>
    <row r="274" ht="12.75" customHeight="1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</row>
    <row r="275" ht="12.75" customHeight="1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</row>
    <row r="276" ht="12.75" customHeight="1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</row>
    <row r="277" ht="12.75" customHeight="1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</row>
    <row r="278" ht="12.75" customHeight="1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</row>
    <row r="279" ht="12.75" customHeight="1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</row>
    <row r="280" ht="12.75" customHeight="1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</row>
    <row r="281" ht="12.75" customHeight="1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</row>
    <row r="282" ht="12.75" customHeight="1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</row>
    <row r="283" ht="12.75" customHeight="1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</row>
    <row r="284" ht="12.75" customHeight="1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</row>
    <row r="285" ht="12.75" customHeight="1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</row>
    <row r="286" ht="12.75" customHeight="1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</row>
    <row r="287" ht="12.75" customHeight="1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</row>
    <row r="288" ht="12.75" customHeight="1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</row>
    <row r="289" ht="12.75" customHeight="1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</row>
    <row r="290" ht="12.75" customHeight="1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</row>
    <row r="291" ht="12.75" customHeight="1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</row>
    <row r="292" ht="12.75" customHeight="1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</row>
    <row r="293" ht="12.75" customHeight="1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</row>
    <row r="294" ht="12.75" customHeight="1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</row>
    <row r="295" ht="12.75" customHeight="1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</row>
    <row r="296" ht="12.75" customHeight="1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</row>
    <row r="297" ht="12.75" customHeight="1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</row>
    <row r="298" ht="12.75" customHeight="1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</row>
    <row r="299" ht="12.75" customHeight="1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</row>
    <row r="300" ht="12.75" customHeight="1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</row>
    <row r="301" ht="12.75" customHeight="1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</row>
    <row r="302" ht="12.75" customHeight="1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</row>
    <row r="303" ht="12.75" customHeight="1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</row>
    <row r="304" ht="12.75" customHeight="1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</row>
    <row r="305" ht="12.75" customHeight="1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</row>
    <row r="306" ht="12.75" customHeight="1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</row>
    <row r="307" ht="12.75" customHeight="1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</row>
    <row r="308" ht="12.75" customHeight="1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</row>
    <row r="309" ht="12.75" customHeight="1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</row>
    <row r="310" ht="12.75" customHeight="1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</row>
    <row r="311" ht="12.75" customHeight="1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</row>
    <row r="312" ht="12.75" customHeight="1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</row>
    <row r="313" ht="12.75" customHeight="1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</row>
    <row r="314" ht="12.75" customHeight="1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</row>
    <row r="315" ht="12.75" customHeight="1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</row>
    <row r="316" ht="12.75" customHeight="1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</row>
    <row r="317" ht="12.75" customHeight="1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</row>
    <row r="318" ht="12.75" customHeight="1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</row>
    <row r="319" ht="12.75" customHeight="1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</row>
    <row r="320" ht="12.75" customHeight="1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</row>
    <row r="321" ht="12.75" customHeight="1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</row>
    <row r="322" ht="12.75" customHeight="1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</row>
    <row r="323" ht="12.75" customHeight="1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</row>
    <row r="324" ht="12.75" customHeight="1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</row>
    <row r="325" ht="12.75" customHeight="1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</row>
    <row r="326" ht="12.75" customHeight="1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</row>
    <row r="327" ht="12.75" customHeight="1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</row>
    <row r="328" ht="12.75" customHeight="1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</row>
    <row r="329" ht="12.75" customHeight="1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</row>
    <row r="330" ht="12.75" customHeight="1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</row>
    <row r="331" ht="12.75" customHeight="1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</row>
    <row r="332" ht="12.75" customHeight="1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</row>
    <row r="333" ht="12.75" customHeight="1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</row>
    <row r="334" ht="12.75" customHeight="1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</row>
    <row r="335" ht="12.75" customHeight="1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</row>
    <row r="336" ht="12.75" customHeight="1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</row>
    <row r="337" ht="12.75" customHeight="1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</row>
    <row r="338" ht="12.75" customHeight="1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</row>
    <row r="339" ht="12.75" customHeight="1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</row>
    <row r="340" ht="12.75" customHeight="1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</row>
    <row r="341" ht="12.75" customHeight="1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</row>
    <row r="342" ht="12.75" customHeight="1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</row>
    <row r="343" ht="12.75" customHeight="1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</row>
    <row r="344" ht="12.75" customHeight="1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</row>
    <row r="345" ht="12.75" customHeight="1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</row>
    <row r="346" ht="12.75" customHeight="1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</row>
    <row r="347" ht="12.75" customHeight="1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</row>
    <row r="348" ht="12.75" customHeight="1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</row>
    <row r="349" ht="12.75" customHeight="1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</row>
    <row r="350" ht="12.75" customHeight="1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</row>
    <row r="351" ht="12.75" customHeight="1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</row>
    <row r="352" ht="12.75" customHeight="1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</row>
    <row r="353" ht="12.75" customHeight="1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</row>
    <row r="354" ht="12.75" customHeight="1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</row>
    <row r="355" ht="12.75" customHeight="1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</row>
    <row r="356" ht="12.75" customHeight="1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</row>
    <row r="357" ht="12.75" customHeight="1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</row>
    <row r="358" ht="12.75" customHeight="1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</row>
    <row r="359" ht="12.75" customHeight="1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</row>
    <row r="360" ht="12.75" customHeight="1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</row>
    <row r="361" ht="12.75" customHeight="1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</row>
    <row r="362" ht="12.75" customHeight="1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</row>
    <row r="363" ht="12.75" customHeight="1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</row>
    <row r="364" ht="12.75" customHeight="1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</row>
    <row r="365" ht="12.75" customHeight="1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</row>
    <row r="366" ht="12.75" customHeight="1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</row>
    <row r="367" ht="12.75" customHeight="1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</row>
    <row r="368" ht="12.75" customHeight="1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</row>
    <row r="369" ht="12.75" customHeight="1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</row>
    <row r="370" ht="12.75" customHeight="1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</row>
    <row r="371" ht="12.75" customHeight="1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</row>
    <row r="372" ht="12.75" customHeight="1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</row>
    <row r="373" ht="12.75" customHeight="1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</row>
    <row r="374" ht="12.75" customHeight="1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</row>
    <row r="375" ht="12.75" customHeight="1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</row>
    <row r="376" ht="12.75" customHeight="1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</row>
    <row r="377" ht="12.75" customHeight="1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</row>
    <row r="378" ht="12.75" customHeight="1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</row>
    <row r="379" ht="12.75" customHeight="1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</row>
    <row r="380" ht="12.75" customHeight="1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</row>
    <row r="381" ht="12.75" customHeight="1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</row>
    <row r="382" ht="12.75" customHeight="1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</row>
    <row r="383" ht="12.75" customHeight="1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</row>
    <row r="384" ht="12.75" customHeight="1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</row>
    <row r="385" ht="12.75" customHeight="1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</row>
    <row r="386" ht="12.75" customHeight="1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</row>
    <row r="387" ht="12.75" customHeight="1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</row>
    <row r="388" ht="12.75" customHeight="1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</row>
    <row r="389" ht="12.75" customHeight="1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</row>
    <row r="390" ht="12.75" customHeight="1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</row>
    <row r="391" ht="12.75" customHeight="1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</row>
    <row r="392" ht="12.75" customHeight="1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</row>
    <row r="393" ht="12.75" customHeight="1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</row>
    <row r="394" ht="12.75" customHeight="1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</row>
    <row r="395" ht="12.75" customHeight="1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</row>
    <row r="396" ht="12.75" customHeight="1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</row>
    <row r="397" ht="12.75" customHeight="1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</row>
    <row r="398" ht="12.75" customHeight="1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</row>
    <row r="399" ht="12.75" customHeight="1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</row>
    <row r="400" ht="12.75" customHeight="1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</row>
    <row r="401" ht="12.75" customHeight="1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</row>
    <row r="402" ht="12.75" customHeight="1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</row>
    <row r="403" ht="12.75" customHeight="1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</row>
    <row r="404" ht="12.75" customHeight="1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</row>
    <row r="405" ht="12.75" customHeight="1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</row>
    <row r="406" ht="12.75" customHeight="1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</row>
    <row r="407" ht="12.75" customHeight="1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</row>
    <row r="408" ht="12.75" customHeight="1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</row>
    <row r="409" ht="12.75" customHeight="1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</row>
    <row r="410" ht="12.75" customHeight="1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</row>
    <row r="411" ht="12.75" customHeight="1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</row>
    <row r="412" ht="12.75" customHeight="1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</row>
    <row r="413" ht="12.75" customHeight="1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</row>
    <row r="414" ht="12.75" customHeight="1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</row>
    <row r="415" ht="12.75" customHeight="1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</row>
    <row r="416" ht="12.75" customHeight="1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</row>
    <row r="417" ht="12.75" customHeight="1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</row>
    <row r="418" ht="12.75" customHeight="1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</row>
    <row r="419" ht="12.75" customHeight="1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</row>
    <row r="420" ht="12.75" customHeight="1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</row>
    <row r="421" ht="12.75" customHeight="1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</row>
    <row r="422" ht="12.75" customHeight="1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</row>
    <row r="423" ht="12.75" customHeight="1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</row>
    <row r="424" ht="12.75" customHeight="1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</row>
    <row r="425" ht="12.75" customHeight="1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</row>
    <row r="426" ht="12.75" customHeight="1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</row>
    <row r="427" ht="12.75" customHeight="1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</row>
    <row r="428" ht="12.75" customHeight="1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</row>
    <row r="429" ht="12.75" customHeight="1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</row>
    <row r="430" ht="12.75" customHeight="1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</row>
    <row r="431" ht="12.75" customHeight="1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</row>
    <row r="432" ht="12.75" customHeight="1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</row>
    <row r="433" ht="12.75" customHeight="1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</row>
    <row r="434" ht="12.75" customHeight="1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</row>
    <row r="435" ht="12.75" customHeight="1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</row>
    <row r="436" ht="12.75" customHeight="1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</row>
    <row r="437" ht="12.75" customHeight="1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</row>
    <row r="438" ht="12.75" customHeight="1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</row>
    <row r="439" ht="12.75" customHeight="1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</row>
    <row r="440" ht="12.75" customHeight="1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</row>
    <row r="441" ht="12.75" customHeight="1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</row>
    <row r="442" ht="12.75" customHeight="1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</row>
    <row r="443" ht="12.75" customHeight="1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</row>
    <row r="444" ht="12.75" customHeight="1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</row>
    <row r="445" ht="12.75" customHeight="1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</row>
    <row r="446" ht="12.75" customHeight="1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</row>
    <row r="447" ht="12.75" customHeight="1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</row>
    <row r="448" ht="12.75" customHeight="1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</row>
    <row r="449" ht="12.75" customHeight="1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</row>
    <row r="450" ht="12.75" customHeight="1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</row>
    <row r="451" ht="12.75" customHeight="1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</row>
    <row r="452" ht="12.75" customHeight="1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</row>
    <row r="453" ht="12.75" customHeight="1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</row>
    <row r="454" ht="12.75" customHeight="1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</row>
    <row r="455" ht="12.75" customHeight="1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</row>
    <row r="456" ht="12.75" customHeight="1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</row>
    <row r="457" ht="12.75" customHeight="1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</row>
    <row r="458" ht="12.75" customHeight="1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</row>
    <row r="459" ht="12.75" customHeight="1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</row>
    <row r="460" ht="12.75" customHeight="1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</row>
    <row r="461" ht="12.75" customHeight="1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</row>
    <row r="462" ht="12.75" customHeight="1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</row>
    <row r="463" ht="12.75" customHeight="1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</row>
    <row r="464" ht="12.75" customHeight="1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</row>
    <row r="465" ht="12.75" customHeight="1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</row>
    <row r="466" ht="12.75" customHeight="1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</row>
    <row r="467" ht="12.75" customHeight="1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</row>
    <row r="468" ht="12.75" customHeight="1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</row>
    <row r="469" ht="12.75" customHeight="1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</row>
    <row r="470" ht="12.75" customHeight="1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</row>
    <row r="471" ht="12.75" customHeight="1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</row>
    <row r="472" ht="12.75" customHeight="1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</row>
    <row r="473" ht="12.75" customHeight="1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</row>
    <row r="474" ht="12.75" customHeight="1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</row>
    <row r="475" ht="12.75" customHeight="1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</row>
    <row r="476" ht="12.75" customHeight="1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</row>
    <row r="477" ht="12.75" customHeight="1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</row>
    <row r="478" ht="12.75" customHeight="1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</row>
    <row r="479" ht="12.75" customHeight="1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</row>
    <row r="480" ht="12.75" customHeight="1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</row>
    <row r="481" ht="12.75" customHeight="1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</row>
    <row r="482" ht="12.75" customHeight="1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</row>
    <row r="483" ht="12.75" customHeight="1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</row>
    <row r="484" ht="12.75" customHeight="1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</row>
    <row r="485" ht="12.75" customHeight="1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</row>
    <row r="486" ht="12.75" customHeight="1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</row>
    <row r="487" ht="12.75" customHeight="1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</row>
    <row r="488" ht="12.75" customHeight="1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</row>
    <row r="489" ht="12.75" customHeight="1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</row>
    <row r="490" ht="12.75" customHeight="1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</row>
    <row r="491" ht="12.75" customHeight="1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</row>
    <row r="492" ht="12.75" customHeight="1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</row>
    <row r="493" ht="12.75" customHeight="1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</row>
    <row r="494" ht="12.75" customHeight="1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</row>
    <row r="495" ht="12.75" customHeight="1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</row>
    <row r="496" ht="12.75" customHeight="1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</row>
    <row r="497" ht="12.75" customHeight="1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</row>
    <row r="498" ht="12.75" customHeight="1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</row>
    <row r="499" ht="12.75" customHeight="1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</row>
    <row r="500" ht="12.75" customHeight="1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</row>
    <row r="501" ht="12.75" customHeight="1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</row>
    <row r="502" ht="12.75" customHeight="1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</row>
    <row r="503" ht="12.75" customHeight="1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</row>
    <row r="504" ht="12.75" customHeight="1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</row>
    <row r="505" ht="12.75" customHeight="1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</row>
    <row r="506" ht="12.75" customHeight="1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</row>
    <row r="507" ht="12.75" customHeight="1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</row>
    <row r="508" ht="12.75" customHeight="1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</row>
    <row r="509" ht="12.75" customHeight="1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</row>
    <row r="510" ht="12.75" customHeight="1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</row>
    <row r="511" ht="12.75" customHeight="1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</row>
    <row r="512" ht="12.75" customHeight="1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</row>
    <row r="513" ht="12.75" customHeight="1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</row>
    <row r="514" ht="12.75" customHeight="1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</row>
    <row r="515" ht="12.75" customHeight="1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</row>
    <row r="516" ht="12.75" customHeight="1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</row>
    <row r="517" ht="12.75" customHeight="1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</row>
    <row r="518" ht="12.75" customHeight="1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</row>
    <row r="519" ht="12.75" customHeight="1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</row>
    <row r="520" ht="12.75" customHeight="1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</row>
    <row r="521" ht="12.75" customHeight="1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</row>
    <row r="522" ht="12.75" customHeight="1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</row>
    <row r="523" ht="12.75" customHeight="1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</row>
    <row r="524" ht="12.75" customHeight="1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</row>
    <row r="525" ht="12.75" customHeight="1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</row>
    <row r="526" ht="12.75" customHeight="1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</row>
    <row r="527" ht="12.75" customHeight="1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</row>
    <row r="528" ht="12.75" customHeight="1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</row>
    <row r="529" ht="12.75" customHeight="1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</row>
    <row r="530" ht="12.75" customHeight="1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</row>
    <row r="531" ht="12.75" customHeight="1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</row>
    <row r="532" ht="12.75" customHeight="1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</row>
    <row r="533" ht="12.75" customHeight="1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</row>
    <row r="534" ht="12.75" customHeight="1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</row>
    <row r="535" ht="12.75" customHeight="1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</row>
    <row r="536" ht="12.75" customHeight="1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</row>
    <row r="537" ht="12.75" customHeight="1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</row>
    <row r="538" ht="12.75" customHeight="1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</row>
    <row r="539" ht="12.75" customHeight="1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</row>
    <row r="540" ht="12.75" customHeight="1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</row>
    <row r="541" ht="12.75" customHeight="1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</row>
    <row r="542" ht="12.75" customHeight="1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</row>
    <row r="543" ht="12.75" customHeight="1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</row>
    <row r="544" ht="12.75" customHeight="1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</row>
    <row r="545" ht="12.75" customHeight="1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</row>
    <row r="546" ht="12.75" customHeight="1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</row>
    <row r="547" ht="12.75" customHeight="1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</row>
    <row r="548" ht="12.75" customHeight="1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</row>
    <row r="549" ht="12.75" customHeight="1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</row>
    <row r="550" ht="12.75" customHeight="1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</row>
    <row r="551" ht="12.75" customHeight="1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</row>
    <row r="552" ht="12.75" customHeight="1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</row>
    <row r="553" ht="12.75" customHeight="1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</row>
    <row r="554" ht="12.75" customHeight="1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</row>
    <row r="555" ht="12.75" customHeight="1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</row>
    <row r="556" ht="12.75" customHeight="1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</row>
    <row r="557" ht="12.75" customHeight="1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</row>
    <row r="558" ht="12.75" customHeight="1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</row>
    <row r="559" ht="12.75" customHeight="1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</row>
    <row r="560" ht="12.75" customHeight="1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</row>
    <row r="561" ht="12.75" customHeight="1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</row>
    <row r="562" ht="12.75" customHeight="1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</row>
    <row r="563" ht="12.75" customHeight="1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</row>
    <row r="564" ht="12.75" customHeight="1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</row>
    <row r="565" ht="12.75" customHeight="1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</row>
    <row r="566" ht="12.75" customHeight="1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</row>
    <row r="567" ht="12.75" customHeight="1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</row>
    <row r="568" ht="12.75" customHeight="1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</row>
    <row r="569" ht="12.75" customHeight="1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</row>
    <row r="570" ht="12.75" customHeight="1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</row>
    <row r="571" ht="12.75" customHeight="1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</row>
    <row r="572" ht="12.75" customHeight="1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</row>
    <row r="573" ht="12.75" customHeight="1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</row>
    <row r="574" ht="12.75" customHeight="1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</row>
    <row r="575" ht="12.75" customHeight="1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</row>
    <row r="576" ht="12.75" customHeight="1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</row>
    <row r="577" ht="12.75" customHeight="1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</row>
    <row r="578" ht="12.75" customHeight="1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</row>
    <row r="579" ht="12.75" customHeight="1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</row>
    <row r="580" ht="12.75" customHeight="1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</row>
    <row r="581" ht="12.75" customHeight="1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</row>
    <row r="582" ht="12.75" customHeight="1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</row>
    <row r="583" ht="12.75" customHeight="1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</row>
    <row r="584" ht="12.75" customHeight="1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</row>
    <row r="585" ht="12.75" customHeight="1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</row>
    <row r="586" ht="12.75" customHeight="1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</row>
    <row r="587" ht="12.75" customHeight="1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</row>
    <row r="588" ht="12.75" customHeight="1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</row>
    <row r="589" ht="12.75" customHeight="1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</row>
    <row r="590" ht="12.75" customHeight="1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</row>
    <row r="591" ht="12.75" customHeight="1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</row>
    <row r="592" ht="12.75" customHeight="1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</row>
    <row r="593" ht="12.75" customHeight="1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</row>
    <row r="594" ht="12.75" customHeight="1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</row>
    <row r="595" ht="12.75" customHeight="1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</row>
    <row r="596" ht="12.75" customHeight="1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</row>
    <row r="597" ht="12.75" customHeight="1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</row>
    <row r="598" ht="12.75" customHeight="1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</row>
    <row r="599" ht="12.75" customHeight="1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</row>
    <row r="600" ht="12.75" customHeight="1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</row>
    <row r="601" ht="12.75" customHeight="1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</row>
    <row r="602" ht="12.75" customHeight="1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</row>
    <row r="603" ht="12.75" customHeight="1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</row>
    <row r="604" ht="12.75" customHeight="1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</row>
    <row r="605" ht="12.75" customHeight="1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</row>
    <row r="606" ht="12.75" customHeight="1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</row>
    <row r="607" ht="12.75" customHeight="1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</row>
    <row r="608" ht="12.75" customHeight="1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</row>
    <row r="609" ht="12.75" customHeight="1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</row>
    <row r="610" ht="12.75" customHeight="1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</row>
    <row r="611" ht="12.75" customHeight="1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</row>
    <row r="612" ht="12.75" customHeight="1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</row>
    <row r="613" ht="12.75" customHeight="1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</row>
    <row r="614" ht="12.75" customHeight="1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</row>
    <row r="615" ht="12.75" customHeight="1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</row>
    <row r="616" ht="12.75" customHeight="1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</row>
    <row r="617" ht="12.75" customHeight="1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</row>
    <row r="618" ht="12.75" customHeight="1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</row>
    <row r="619" ht="12.75" customHeight="1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</row>
    <row r="620" ht="12.75" customHeight="1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</row>
    <row r="621" ht="12.75" customHeight="1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</row>
    <row r="622" ht="12.75" customHeight="1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</row>
    <row r="623" ht="12.75" customHeight="1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</row>
    <row r="624" ht="12.75" customHeight="1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</row>
    <row r="625" ht="12.75" customHeight="1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</row>
    <row r="626" ht="12.75" customHeight="1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</row>
    <row r="627" ht="12.75" customHeight="1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</row>
    <row r="628" ht="12.75" customHeight="1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</row>
    <row r="629" ht="12.75" customHeight="1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</row>
    <row r="630" ht="12.75" customHeight="1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</row>
    <row r="631" ht="12.75" customHeight="1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</row>
    <row r="632" ht="12.75" customHeight="1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</row>
    <row r="633" ht="12.75" customHeight="1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</row>
    <row r="634" ht="12.75" customHeight="1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</row>
    <row r="635" ht="12.75" customHeight="1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</row>
    <row r="636" ht="12.75" customHeight="1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</row>
    <row r="637" ht="12.75" customHeight="1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</row>
    <row r="638" ht="12.75" customHeight="1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</row>
    <row r="639" ht="12.75" customHeight="1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</row>
    <row r="640" ht="12.75" customHeight="1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</row>
    <row r="641" ht="12.75" customHeight="1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</row>
    <row r="642" ht="12.75" customHeight="1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</row>
    <row r="643" ht="12.75" customHeight="1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</row>
    <row r="644" ht="12.75" customHeight="1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</row>
    <row r="645" ht="12.75" customHeight="1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</row>
    <row r="646" ht="12.75" customHeight="1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</row>
    <row r="647" ht="12.75" customHeight="1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</row>
    <row r="648" ht="12.75" customHeight="1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</row>
    <row r="649" ht="12.75" customHeight="1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</row>
    <row r="650" ht="12.75" customHeight="1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</row>
    <row r="651" ht="12.75" customHeight="1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</row>
    <row r="652" ht="12.75" customHeight="1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</row>
    <row r="653" ht="12.75" customHeight="1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</row>
    <row r="654" ht="12.75" customHeight="1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</row>
    <row r="655" ht="12.75" customHeight="1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</row>
    <row r="656" ht="12.75" customHeight="1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</row>
    <row r="657" ht="12.75" customHeight="1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</row>
    <row r="658" ht="12.75" customHeight="1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</row>
    <row r="659" ht="12.75" customHeight="1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</row>
    <row r="660" ht="12.75" customHeight="1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</row>
    <row r="661" ht="12.75" customHeight="1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</row>
    <row r="662" ht="12.75" customHeight="1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</row>
    <row r="663" ht="12.75" customHeight="1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</row>
    <row r="664" ht="12.75" customHeight="1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</row>
    <row r="665" ht="12.75" customHeight="1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</row>
    <row r="666" ht="12.75" customHeight="1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</row>
    <row r="667" ht="12.75" customHeight="1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</row>
    <row r="668" ht="12.75" customHeight="1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</row>
    <row r="669" ht="12.75" customHeight="1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</row>
    <row r="670" ht="12.75" customHeight="1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</row>
    <row r="671" ht="12.75" customHeight="1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</row>
    <row r="672" ht="12.75" customHeight="1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</row>
    <row r="673" ht="12.75" customHeight="1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</row>
    <row r="674" ht="12.75" customHeight="1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</row>
    <row r="675" ht="12.75" customHeight="1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</row>
    <row r="676" ht="12.75" customHeight="1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</row>
    <row r="677" ht="12.75" customHeight="1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</row>
    <row r="678" ht="12.75" customHeight="1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</row>
    <row r="679" ht="12.75" customHeight="1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</row>
    <row r="680" ht="12.75" customHeight="1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</row>
    <row r="681" ht="12.75" customHeight="1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</row>
    <row r="682" ht="12.75" customHeight="1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</row>
    <row r="683" ht="12.75" customHeight="1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</row>
    <row r="684" ht="12.75" customHeight="1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</row>
    <row r="685" ht="12.75" customHeight="1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</row>
    <row r="686" ht="12.75" customHeight="1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</row>
    <row r="687" ht="12.75" customHeight="1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</row>
    <row r="688" ht="12.75" customHeight="1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</row>
    <row r="689" ht="12.75" customHeight="1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</row>
    <row r="690" ht="12.75" customHeight="1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</row>
    <row r="691" ht="12.75" customHeight="1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</row>
    <row r="692" ht="12.75" customHeight="1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</row>
    <row r="693" ht="12.75" customHeight="1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</row>
    <row r="694" ht="12.75" customHeight="1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</row>
    <row r="695" ht="12.75" customHeight="1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</row>
    <row r="696" ht="12.75" customHeight="1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</row>
    <row r="697" ht="12.75" customHeight="1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</row>
    <row r="698" ht="12.75" customHeight="1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</row>
    <row r="699" ht="12.75" customHeight="1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</row>
    <row r="700" ht="12.75" customHeight="1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</row>
    <row r="701" ht="12.75" customHeight="1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</row>
    <row r="702" ht="12.75" customHeight="1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</row>
    <row r="703" ht="12.75" customHeight="1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</row>
    <row r="704" ht="12.75" customHeight="1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</row>
    <row r="705" ht="12.75" customHeight="1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</row>
    <row r="706" ht="12.75" customHeight="1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</row>
    <row r="707" ht="12.75" customHeight="1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</row>
    <row r="708" ht="12.75" customHeight="1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</row>
    <row r="709" ht="12.75" customHeight="1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</row>
    <row r="710" ht="12.75" customHeight="1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</row>
    <row r="711" ht="12.75" customHeight="1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</row>
    <row r="712" ht="12.75" customHeight="1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</row>
    <row r="713" ht="12.75" customHeight="1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</row>
    <row r="714" ht="12.75" customHeight="1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</row>
    <row r="715" ht="12.75" customHeight="1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</row>
    <row r="716" ht="12.75" customHeight="1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</row>
    <row r="717" ht="12.75" customHeight="1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</row>
    <row r="718" ht="12.75" customHeight="1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</row>
    <row r="719" ht="12.75" customHeight="1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</row>
    <row r="720" ht="12.75" customHeight="1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</row>
    <row r="721" ht="12.75" customHeight="1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</row>
    <row r="722" ht="12.75" customHeight="1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</row>
    <row r="723" ht="12.75" customHeight="1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</row>
    <row r="724" ht="12.75" customHeight="1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</row>
    <row r="725" ht="12.75" customHeight="1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</row>
    <row r="726" ht="12.75" customHeight="1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</row>
    <row r="727" ht="12.75" customHeight="1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</row>
    <row r="728" ht="12.75" customHeight="1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</row>
    <row r="729" ht="12.75" customHeight="1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</row>
    <row r="730" ht="12.75" customHeight="1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</row>
    <row r="731" ht="12.75" customHeight="1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</row>
    <row r="732" ht="12.75" customHeight="1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</row>
    <row r="733" ht="12.75" customHeight="1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</row>
    <row r="734" ht="12.75" customHeight="1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</row>
    <row r="735" ht="12.75" customHeight="1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</row>
    <row r="736" ht="12.75" customHeight="1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</row>
    <row r="737" ht="12.75" customHeight="1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</row>
    <row r="738" ht="12.75" customHeight="1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</row>
    <row r="739" ht="12.75" customHeight="1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</row>
    <row r="740" ht="12.75" customHeight="1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</row>
    <row r="741" ht="12.75" customHeight="1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</row>
    <row r="742" ht="12.75" customHeight="1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</row>
    <row r="743" ht="12.75" customHeight="1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</row>
    <row r="744" ht="12.75" customHeight="1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</row>
    <row r="745" ht="12.75" customHeight="1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</row>
    <row r="746" ht="12.75" customHeight="1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</row>
    <row r="747" ht="12.75" customHeight="1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</row>
    <row r="748" ht="12.75" customHeight="1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</row>
    <row r="749" ht="12.75" customHeight="1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</row>
    <row r="750" ht="12.75" customHeight="1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</row>
    <row r="751" ht="12.75" customHeight="1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</row>
    <row r="752" ht="12.75" customHeight="1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</row>
    <row r="753" ht="12.75" customHeight="1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</row>
    <row r="754" ht="12.75" customHeight="1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</row>
    <row r="755" ht="12.75" customHeight="1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</row>
    <row r="756" ht="12.75" customHeight="1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</row>
    <row r="757" ht="12.75" customHeight="1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</row>
    <row r="758" ht="12.75" customHeight="1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</row>
    <row r="759" ht="12.75" customHeight="1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</row>
    <row r="760" ht="12.75" customHeight="1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</row>
    <row r="761" ht="12.75" customHeight="1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</row>
    <row r="762" ht="12.75" customHeight="1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</row>
    <row r="763" ht="12.75" customHeight="1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</row>
    <row r="764" ht="12.75" customHeight="1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</row>
    <row r="765" ht="12.75" customHeight="1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</row>
    <row r="766" ht="12.75" customHeight="1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</row>
    <row r="767" ht="12.75" customHeight="1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</row>
    <row r="768" ht="12.75" customHeight="1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</row>
    <row r="769" ht="12.75" customHeight="1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</row>
    <row r="770" ht="12.75" customHeight="1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</row>
    <row r="771" ht="12.75" customHeight="1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</row>
    <row r="772" ht="12.75" customHeight="1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</row>
    <row r="773" ht="12.75" customHeight="1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</row>
    <row r="774" ht="12.75" customHeight="1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</row>
    <row r="775" ht="12.75" customHeight="1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</row>
    <row r="776" ht="12.75" customHeight="1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</row>
    <row r="777" ht="12.75" customHeight="1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</row>
    <row r="778" ht="12.75" customHeight="1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</row>
    <row r="779" ht="12.75" customHeight="1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</row>
    <row r="780" ht="12.75" customHeight="1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</row>
    <row r="781" ht="12.75" customHeight="1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</row>
    <row r="782" ht="12.75" customHeight="1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</row>
    <row r="783" ht="12.75" customHeight="1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</row>
    <row r="784" ht="12.75" customHeight="1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</row>
    <row r="785" ht="12.75" customHeight="1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</row>
    <row r="786" ht="12.75" customHeight="1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</row>
    <row r="787" ht="12.75" customHeight="1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</row>
    <row r="788" ht="12.75" customHeight="1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</row>
    <row r="789" ht="12.75" customHeight="1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</row>
    <row r="790" ht="12.75" customHeight="1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</row>
    <row r="791" ht="12.75" customHeight="1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</row>
    <row r="792" ht="12.75" customHeight="1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</row>
    <row r="793" ht="12.75" customHeight="1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</row>
    <row r="794" ht="12.75" customHeight="1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</row>
    <row r="795" ht="12.75" customHeight="1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</row>
    <row r="796" ht="12.75" customHeight="1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</row>
    <row r="797" ht="12.75" customHeight="1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</row>
    <row r="798" ht="12.75" customHeight="1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</row>
    <row r="799" ht="12.75" customHeight="1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</row>
    <row r="800" ht="12.75" customHeight="1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</row>
    <row r="801" ht="12.75" customHeight="1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</row>
    <row r="802" ht="12.75" customHeight="1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</row>
    <row r="803" ht="12.75" customHeight="1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</row>
    <row r="804" ht="12.75" customHeight="1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</row>
    <row r="805" ht="12.75" customHeight="1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</row>
    <row r="806" ht="12.75" customHeight="1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</row>
    <row r="807" ht="12.75" customHeight="1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</row>
    <row r="808" ht="12.75" customHeight="1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</row>
    <row r="809" ht="12.75" customHeight="1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</row>
    <row r="810" ht="12.75" customHeight="1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</row>
    <row r="811" ht="12.75" customHeight="1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</row>
    <row r="812" ht="12.75" customHeight="1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</row>
    <row r="813" ht="12.75" customHeight="1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</row>
    <row r="814" ht="12.75" customHeight="1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</row>
    <row r="815" ht="12.75" customHeight="1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</row>
    <row r="816" ht="12.75" customHeight="1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</row>
    <row r="817" ht="12.75" customHeight="1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</row>
    <row r="818" ht="12.75" customHeight="1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</row>
    <row r="819" ht="12.75" customHeight="1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</row>
    <row r="820" ht="12.75" customHeight="1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</row>
    <row r="821" ht="12.75" customHeight="1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</row>
    <row r="822" ht="12.75" customHeight="1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</row>
    <row r="823" ht="12.75" customHeight="1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</row>
    <row r="824" ht="12.75" customHeight="1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</row>
    <row r="825" ht="12.75" customHeight="1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</row>
    <row r="826" ht="12.75" customHeight="1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</row>
    <row r="827" ht="12.75" customHeight="1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</row>
    <row r="828" ht="12.75" customHeight="1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</row>
    <row r="829" ht="12.75" customHeight="1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</row>
    <row r="830" ht="12.75" customHeight="1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</row>
    <row r="831" ht="12.75" customHeight="1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</row>
    <row r="832" ht="12.75" customHeight="1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</row>
    <row r="833" ht="12.75" customHeight="1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</row>
    <row r="834" ht="12.75" customHeight="1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</row>
    <row r="835" ht="12.75" customHeight="1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</row>
    <row r="836" ht="12.75" customHeight="1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</row>
    <row r="837" ht="12.75" customHeight="1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</row>
    <row r="838" ht="12.75" customHeight="1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</row>
    <row r="839" ht="12.75" customHeight="1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</row>
    <row r="840" ht="12.75" customHeight="1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</row>
    <row r="841" ht="12.75" customHeight="1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</row>
    <row r="842" ht="12.75" customHeight="1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</row>
    <row r="843" ht="12.75" customHeight="1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</row>
    <row r="844" ht="12.75" customHeight="1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</row>
    <row r="845" ht="12.75" customHeight="1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</row>
    <row r="846" ht="12.75" customHeight="1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</row>
    <row r="847" ht="12.75" customHeight="1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</row>
    <row r="848" ht="12.75" customHeight="1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</row>
    <row r="849" ht="12.75" customHeight="1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</row>
    <row r="850" ht="12.75" customHeight="1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</row>
    <row r="851" ht="12.75" customHeight="1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</row>
    <row r="852" ht="12.75" customHeight="1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</row>
    <row r="853" ht="12.75" customHeight="1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</row>
    <row r="854" ht="12.75" customHeight="1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</row>
    <row r="855" ht="12.75" customHeight="1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</row>
    <row r="856" ht="12.75" customHeight="1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</row>
    <row r="857" ht="12.75" customHeight="1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</row>
    <row r="858" ht="12.75" customHeight="1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</row>
    <row r="859" ht="12.75" customHeight="1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</row>
    <row r="860" ht="12.75" customHeight="1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</row>
    <row r="861" ht="12.75" customHeight="1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</row>
    <row r="862" ht="12.75" customHeight="1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</row>
    <row r="863" ht="12.75" customHeight="1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</row>
    <row r="864" ht="12.75" customHeight="1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</row>
    <row r="865" ht="12.75" customHeight="1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</row>
    <row r="866" ht="12.75" customHeight="1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</row>
    <row r="867" ht="12.75" customHeight="1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</row>
    <row r="868" ht="12.75" customHeight="1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</row>
    <row r="869" ht="12.75" customHeight="1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</row>
    <row r="870" ht="12.75" customHeight="1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</row>
    <row r="871" ht="12.75" customHeight="1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</row>
    <row r="872" ht="12.75" customHeight="1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</row>
    <row r="873" ht="12.75" customHeight="1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</row>
    <row r="874" ht="12.75" customHeight="1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</row>
    <row r="875" ht="12.75" customHeight="1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</row>
    <row r="876" ht="12.75" customHeight="1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</row>
    <row r="877" ht="12.75" customHeight="1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</row>
    <row r="878" ht="12.75" customHeight="1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</row>
    <row r="879" ht="12.75" customHeight="1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</row>
    <row r="880" ht="12.75" customHeight="1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</row>
    <row r="881" ht="12.75" customHeight="1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</row>
    <row r="882" ht="12.75" customHeight="1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</row>
    <row r="883" ht="12.75" customHeight="1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</row>
    <row r="884" ht="12.75" customHeight="1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</row>
    <row r="885" ht="12.75" customHeight="1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</row>
    <row r="886" ht="12.75" customHeight="1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</row>
    <row r="887" ht="12.75" customHeight="1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</row>
    <row r="888" ht="12.75" customHeight="1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</row>
    <row r="889" ht="12.75" customHeight="1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</row>
    <row r="890" ht="12.75" customHeight="1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</row>
    <row r="891" ht="12.75" customHeight="1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</row>
    <row r="892" ht="12.75" customHeight="1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</row>
    <row r="893" ht="12.75" customHeight="1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</row>
    <row r="894" ht="12.75" customHeight="1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</row>
    <row r="895" ht="12.75" customHeight="1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</row>
    <row r="896" ht="12.75" customHeight="1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</row>
    <row r="897" ht="12.75" customHeight="1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</row>
    <row r="898" ht="12.75" customHeight="1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</row>
    <row r="899" ht="12.75" customHeight="1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</row>
    <row r="900" ht="12.75" customHeight="1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</row>
    <row r="901" ht="12.75" customHeight="1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</row>
    <row r="902" ht="12.75" customHeight="1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</row>
    <row r="903" ht="12.75" customHeight="1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</row>
    <row r="904" ht="12.75" customHeight="1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</row>
    <row r="905" ht="12.75" customHeight="1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</row>
    <row r="906" ht="12.75" customHeight="1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</row>
    <row r="907" ht="12.75" customHeight="1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</row>
    <row r="908" ht="12.75" customHeight="1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</row>
    <row r="909" ht="12.75" customHeight="1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</row>
    <row r="910" ht="12.75" customHeight="1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</row>
    <row r="911" ht="12.75" customHeight="1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</row>
    <row r="912" ht="12.75" customHeight="1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</row>
    <row r="913" ht="12.75" customHeight="1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</row>
    <row r="914" ht="12.75" customHeight="1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</row>
    <row r="915" ht="12.75" customHeight="1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</row>
    <row r="916" ht="12.75" customHeight="1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</row>
    <row r="917" ht="12.75" customHeight="1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</row>
    <row r="918" ht="12.75" customHeight="1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</row>
    <row r="919" ht="12.75" customHeight="1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</row>
    <row r="920" ht="12.75" customHeight="1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</row>
    <row r="921" ht="12.75" customHeight="1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</row>
    <row r="922" ht="12.75" customHeight="1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</row>
    <row r="923" ht="12.75" customHeight="1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</row>
    <row r="924" ht="12.75" customHeight="1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</row>
    <row r="925" ht="12.75" customHeight="1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</row>
    <row r="926" ht="12.75" customHeight="1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</row>
    <row r="927" ht="12.75" customHeight="1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</row>
    <row r="928" ht="12.75" customHeight="1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</row>
    <row r="929" ht="12.75" customHeight="1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</row>
    <row r="930" ht="12.75" customHeight="1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</row>
    <row r="931" ht="12.75" customHeight="1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</row>
    <row r="932" ht="12.75" customHeight="1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</row>
    <row r="933" ht="12.75" customHeight="1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</row>
    <row r="934" ht="12.75" customHeight="1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</row>
    <row r="935" ht="12.75" customHeight="1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</row>
    <row r="936" ht="12.75" customHeight="1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</row>
    <row r="937" ht="12.75" customHeight="1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</row>
    <row r="938" ht="12.75" customHeight="1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</row>
    <row r="939" ht="12.75" customHeight="1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</row>
    <row r="940" ht="12.75" customHeight="1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</row>
    <row r="941" ht="12.75" customHeight="1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</row>
    <row r="942" ht="12.75" customHeight="1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</row>
    <row r="943" ht="12.75" customHeight="1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</row>
    <row r="944" ht="12.75" customHeight="1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</row>
    <row r="945" ht="12.75" customHeight="1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</row>
    <row r="946" ht="12.75" customHeight="1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</row>
    <row r="947" ht="12.75" customHeight="1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</row>
    <row r="948" ht="12.75" customHeight="1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</row>
    <row r="949" ht="12.75" customHeight="1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</row>
    <row r="950" ht="12.75" customHeight="1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</row>
    <row r="951" ht="12.75" customHeight="1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</row>
    <row r="952" ht="12.75" customHeight="1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</row>
    <row r="953" ht="12.75" customHeight="1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</row>
    <row r="954" ht="12.75" customHeight="1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</row>
    <row r="955" ht="12.75" customHeight="1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</row>
    <row r="956" ht="12.75" customHeight="1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</row>
    <row r="957" ht="12.75" customHeight="1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</row>
    <row r="958" ht="12.75" customHeight="1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</row>
    <row r="959" ht="12.75" customHeight="1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</row>
    <row r="960" ht="12.75" customHeight="1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</row>
    <row r="961" ht="12.75" customHeight="1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</row>
    <row r="962" ht="12.75" customHeight="1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</row>
    <row r="963" ht="12.75" customHeight="1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</row>
    <row r="964" ht="12.75" customHeight="1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</row>
    <row r="965" ht="12.75" customHeight="1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</row>
    <row r="966" ht="12.75" customHeight="1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</row>
    <row r="967" ht="12.75" customHeight="1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</row>
    <row r="968" ht="12.75" customHeight="1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</row>
    <row r="969" ht="12.75" customHeight="1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</row>
    <row r="970" ht="12.75" customHeight="1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</row>
    <row r="971" ht="12.75" customHeight="1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</row>
    <row r="972" ht="12.75" customHeight="1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</row>
    <row r="973" ht="12.75" customHeight="1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</row>
    <row r="974" ht="12.75" customHeight="1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</row>
    <row r="975" ht="12.75" customHeight="1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</row>
    <row r="976" ht="12.75" customHeight="1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</row>
    <row r="977" ht="12.75" customHeight="1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</row>
    <row r="978" ht="12.75" customHeight="1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</row>
    <row r="979" ht="12.75" customHeight="1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</row>
    <row r="980" ht="12.75" customHeight="1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</row>
    <row r="981" ht="12.75" customHeight="1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</row>
    <row r="982" ht="12.75" customHeight="1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</row>
    <row r="983" ht="12.75" customHeight="1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</row>
    <row r="984" ht="12.75" customHeight="1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</row>
    <row r="985" ht="12.75" customHeight="1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</row>
    <row r="986" ht="12.75" customHeight="1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</row>
    <row r="987" ht="12.75" customHeight="1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</row>
    <row r="988" ht="12.75" customHeight="1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</row>
    <row r="989" ht="12.75" customHeight="1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</row>
    <row r="990" ht="12.75" customHeight="1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</row>
    <row r="991" ht="12.75" customHeight="1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</row>
    <row r="992" ht="12.75" customHeight="1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  <c r="Z992" s="138"/>
    </row>
    <row r="993" ht="12.75" customHeight="1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  <c r="Z993" s="138"/>
    </row>
    <row r="994" ht="12.75" customHeight="1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  <c r="Z994" s="138"/>
    </row>
    <row r="995" ht="12.75" customHeight="1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</row>
    <row r="996" ht="12.75" customHeight="1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  <c r="Z996" s="138"/>
    </row>
    <row r="997" ht="12.75" customHeight="1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  <c r="Z997" s="138"/>
    </row>
    <row r="998" ht="12.75" customHeight="1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  <c r="Z998" s="138"/>
    </row>
    <row r="999" ht="12.75" customHeight="1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  <c r="Z999" s="138"/>
    </row>
    <row r="1000" ht="12.75" customHeight="1">
      <c r="A1000" s="138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</row>
  </sheetData>
  <printOptions/>
  <pageMargins bottom="0.57" footer="0.0" header="0.0" left="0.75" right="0.75" top="0.51"/>
  <pageSetup scale="68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7"/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9.75"/>
    <col customWidth="1" min="2" max="4" width="8.75"/>
    <col customWidth="1" min="5" max="5" width="8.38"/>
    <col customWidth="1" min="6" max="12" width="8.75"/>
    <col customWidth="1" min="13" max="13" width="9.63"/>
    <col customWidth="1" min="14" max="26" width="8.75"/>
  </cols>
  <sheetData>
    <row r="1" ht="12.75" customHeight="1">
      <c r="A1" s="41"/>
      <c r="B1" s="137" t="s">
        <v>16</v>
      </c>
      <c r="C1" s="137" t="s">
        <v>16</v>
      </c>
      <c r="D1" s="137" t="s">
        <v>34</v>
      </c>
      <c r="E1" s="137" t="s">
        <v>35</v>
      </c>
      <c r="F1" s="137" t="s">
        <v>36</v>
      </c>
      <c r="G1" s="137" t="s">
        <v>37</v>
      </c>
      <c r="H1" s="137" t="s">
        <v>38</v>
      </c>
      <c r="I1" s="137" t="s">
        <v>39</v>
      </c>
      <c r="J1" s="137" t="s">
        <v>40</v>
      </c>
      <c r="K1" s="137" t="s">
        <v>41</v>
      </c>
      <c r="L1" s="137" t="s">
        <v>42</v>
      </c>
      <c r="M1" s="137" t="s">
        <v>43</v>
      </c>
      <c r="N1" s="137" t="s">
        <v>44</v>
      </c>
      <c r="O1" s="137" t="s">
        <v>45</v>
      </c>
      <c r="P1" s="137" t="s">
        <v>46</v>
      </c>
      <c r="Q1" s="137" t="s">
        <v>47</v>
      </c>
      <c r="R1" s="36"/>
      <c r="S1" s="36"/>
      <c r="T1" s="36"/>
      <c r="U1" s="36"/>
      <c r="V1" s="36"/>
      <c r="W1" s="36"/>
      <c r="X1" s="36"/>
      <c r="Y1" s="36"/>
      <c r="Z1" s="36"/>
    </row>
    <row r="2" ht="12.75" customHeight="1">
      <c r="A2" s="1" t="s">
        <v>1</v>
      </c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  <c r="G2" s="2" t="s">
        <v>53</v>
      </c>
      <c r="H2" s="2" t="s">
        <v>54</v>
      </c>
      <c r="I2" s="2" t="s">
        <v>55</v>
      </c>
      <c r="J2" s="2" t="s">
        <v>56</v>
      </c>
      <c r="K2" s="2" t="s">
        <v>57</v>
      </c>
      <c r="L2" s="2" t="s">
        <v>58</v>
      </c>
      <c r="M2" s="2" t="s">
        <v>59</v>
      </c>
      <c r="N2" s="2" t="s">
        <v>60</v>
      </c>
      <c r="O2" s="2" t="s">
        <v>61</v>
      </c>
      <c r="P2" s="2" t="s">
        <v>62</v>
      </c>
      <c r="Q2" s="2" t="s">
        <v>12</v>
      </c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5">
        <v>1.0</v>
      </c>
      <c r="B3" s="167">
        <v>119.61</v>
      </c>
      <c r="C3" s="167">
        <v>132.02</v>
      </c>
      <c r="D3" s="167">
        <v>121.81</v>
      </c>
      <c r="E3" s="167">
        <v>148.11</v>
      </c>
      <c r="F3" s="167">
        <v>231.38</v>
      </c>
      <c r="G3" s="167">
        <v>138.65</v>
      </c>
      <c r="H3" s="167">
        <v>133.7</v>
      </c>
      <c r="I3" s="168">
        <v>168.45</v>
      </c>
      <c r="J3" s="168">
        <v>132.64</v>
      </c>
      <c r="K3" s="168">
        <v>159.68</v>
      </c>
      <c r="L3" s="168">
        <v>156.53</v>
      </c>
      <c r="M3" s="168">
        <v>190.64</v>
      </c>
      <c r="N3" s="168">
        <v>245.66</v>
      </c>
      <c r="O3" s="168">
        <v>152.01</v>
      </c>
      <c r="P3" s="168">
        <v>169.35</v>
      </c>
      <c r="Q3" s="168">
        <v>91.1</v>
      </c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5">
        <v>2.0</v>
      </c>
      <c r="B4" s="169">
        <v>131.53</v>
      </c>
      <c r="C4" s="169">
        <v>142.1</v>
      </c>
      <c r="D4" s="170">
        <v>136.78</v>
      </c>
      <c r="E4" s="170">
        <v>161.46</v>
      </c>
      <c r="F4" s="170">
        <v>251.11</v>
      </c>
      <c r="G4" s="170">
        <v>157.2</v>
      </c>
      <c r="H4" s="170">
        <v>156.19</v>
      </c>
      <c r="I4" s="170">
        <v>195.11</v>
      </c>
      <c r="J4" s="169">
        <v>133.32</v>
      </c>
      <c r="K4" s="171">
        <v>196.94</v>
      </c>
      <c r="L4" s="172">
        <v>182.34</v>
      </c>
      <c r="M4" s="169">
        <v>229.81</v>
      </c>
      <c r="N4" s="169">
        <v>269.25</v>
      </c>
      <c r="O4" s="169">
        <v>175.63</v>
      </c>
      <c r="P4" s="169">
        <v>192.09</v>
      </c>
      <c r="Q4" s="169">
        <v>99.45</v>
      </c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5">
        <v>3.0</v>
      </c>
      <c r="B5" s="173">
        <v>148.58</v>
      </c>
      <c r="C5" s="173">
        <v>157.61</v>
      </c>
      <c r="D5" s="174">
        <v>152.03</v>
      </c>
      <c r="E5" s="174">
        <v>187.58</v>
      </c>
      <c r="F5" s="174">
        <v>305.92</v>
      </c>
      <c r="G5" s="174">
        <v>187.83</v>
      </c>
      <c r="H5" s="173">
        <v>179.51</v>
      </c>
      <c r="I5" s="175">
        <v>216.48</v>
      </c>
      <c r="J5" s="173">
        <v>146.88</v>
      </c>
      <c r="K5" s="176">
        <v>226.21</v>
      </c>
      <c r="L5" s="175">
        <v>212.71</v>
      </c>
      <c r="M5" s="173">
        <v>263.27</v>
      </c>
      <c r="N5" s="173">
        <v>306.69</v>
      </c>
      <c r="O5" s="173">
        <v>197.83</v>
      </c>
      <c r="P5" s="173">
        <v>213.09</v>
      </c>
      <c r="Q5" s="173">
        <v>110.85</v>
      </c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5">
        <v>4.0</v>
      </c>
      <c r="B6" s="173">
        <v>162.42</v>
      </c>
      <c r="C6" s="173">
        <v>173.93</v>
      </c>
      <c r="D6" s="174">
        <v>170.35</v>
      </c>
      <c r="E6" s="173">
        <v>213.52</v>
      </c>
      <c r="F6" s="175">
        <v>341.08</v>
      </c>
      <c r="G6" s="174">
        <v>218.12</v>
      </c>
      <c r="H6" s="174">
        <v>208.04</v>
      </c>
      <c r="I6" s="174">
        <v>232.66</v>
      </c>
      <c r="J6" s="173">
        <v>180.49</v>
      </c>
      <c r="K6" s="176">
        <v>264.32</v>
      </c>
      <c r="L6" s="175">
        <v>245.65</v>
      </c>
      <c r="M6" s="173">
        <v>319.85</v>
      </c>
      <c r="N6" s="173">
        <v>346.44</v>
      </c>
      <c r="O6" s="173">
        <v>224.32</v>
      </c>
      <c r="P6" s="173">
        <v>232.5</v>
      </c>
      <c r="Q6" s="173">
        <v>121.05</v>
      </c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5">
        <v>5.0</v>
      </c>
      <c r="B7" s="177">
        <v>168.52</v>
      </c>
      <c r="C7" s="177">
        <v>209.55</v>
      </c>
      <c r="D7" s="178">
        <v>194.06</v>
      </c>
      <c r="E7" s="174">
        <v>248.29</v>
      </c>
      <c r="F7" s="174">
        <v>394.45</v>
      </c>
      <c r="G7" s="174">
        <v>247.16</v>
      </c>
      <c r="H7" s="174">
        <v>267.29</v>
      </c>
      <c r="I7" s="178">
        <v>258.91</v>
      </c>
      <c r="J7" s="177">
        <v>190.45</v>
      </c>
      <c r="K7" s="179">
        <v>298.09</v>
      </c>
      <c r="L7" s="180">
        <v>292.0</v>
      </c>
      <c r="M7" s="177">
        <v>340.67</v>
      </c>
      <c r="N7" s="177">
        <v>380.63</v>
      </c>
      <c r="O7" s="177">
        <v>271.84</v>
      </c>
      <c r="P7" s="177">
        <v>287.07</v>
      </c>
      <c r="Q7" s="177">
        <v>131.15</v>
      </c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5">
        <v>6.0</v>
      </c>
      <c r="B8" s="181">
        <v>186.63</v>
      </c>
      <c r="C8" s="181">
        <v>219.48</v>
      </c>
      <c r="D8" s="182">
        <v>219.5</v>
      </c>
      <c r="E8" s="182">
        <v>263.83</v>
      </c>
      <c r="F8" s="183">
        <v>402.95</v>
      </c>
      <c r="G8" s="182">
        <v>280.29</v>
      </c>
      <c r="H8" s="182">
        <v>284.79</v>
      </c>
      <c r="I8" s="184">
        <v>274.99</v>
      </c>
      <c r="J8" s="184">
        <v>221.08</v>
      </c>
      <c r="K8" s="184">
        <v>326.54</v>
      </c>
      <c r="L8" s="184">
        <v>307.8</v>
      </c>
      <c r="M8" s="184">
        <v>385.31</v>
      </c>
      <c r="N8" s="184">
        <v>432.88</v>
      </c>
      <c r="O8" s="184">
        <v>297.52</v>
      </c>
      <c r="P8" s="184">
        <v>315.2</v>
      </c>
      <c r="Q8" s="184">
        <v>140.55</v>
      </c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5">
        <v>7.0</v>
      </c>
      <c r="B9" s="185">
        <v>190.51</v>
      </c>
      <c r="C9" s="185">
        <v>224.78</v>
      </c>
      <c r="D9" s="186">
        <v>233.83</v>
      </c>
      <c r="E9" s="186">
        <v>279.13</v>
      </c>
      <c r="F9" s="187">
        <v>433.37</v>
      </c>
      <c r="G9" s="186">
        <v>283.62</v>
      </c>
      <c r="H9" s="186">
        <v>297.87</v>
      </c>
      <c r="I9" s="188">
        <v>299.77</v>
      </c>
      <c r="J9" s="188">
        <v>233.29</v>
      </c>
      <c r="K9" s="188">
        <v>355.44</v>
      </c>
      <c r="L9" s="188">
        <v>335.03</v>
      </c>
      <c r="M9" s="188">
        <v>427.98</v>
      </c>
      <c r="N9" s="188">
        <v>453.37</v>
      </c>
      <c r="O9" s="188">
        <v>321.37</v>
      </c>
      <c r="P9" s="188">
        <v>343.07</v>
      </c>
      <c r="Q9" s="188">
        <v>150.65</v>
      </c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5">
        <v>8.0</v>
      </c>
      <c r="B10" s="185">
        <v>191.81</v>
      </c>
      <c r="C10" s="185">
        <v>225.32</v>
      </c>
      <c r="D10" s="186">
        <v>242.45</v>
      </c>
      <c r="E10" s="186">
        <v>289.95</v>
      </c>
      <c r="F10" s="187">
        <v>448.54</v>
      </c>
      <c r="G10" s="186">
        <v>291.62</v>
      </c>
      <c r="H10" s="186">
        <v>299.18</v>
      </c>
      <c r="I10" s="188">
        <v>320.67</v>
      </c>
      <c r="J10" s="188">
        <v>234.52</v>
      </c>
      <c r="K10" s="188">
        <v>382.8</v>
      </c>
      <c r="L10" s="188">
        <v>342.39</v>
      </c>
      <c r="M10" s="188">
        <v>509.36</v>
      </c>
      <c r="N10" s="188">
        <v>483.84</v>
      </c>
      <c r="O10" s="188">
        <v>336.08</v>
      </c>
      <c r="P10" s="188">
        <v>357.53</v>
      </c>
      <c r="Q10" s="188">
        <v>158.85</v>
      </c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5">
        <v>9.0</v>
      </c>
      <c r="B11" s="185">
        <v>192.2</v>
      </c>
      <c r="C11" s="185">
        <v>225.78</v>
      </c>
      <c r="D11" s="186">
        <v>243.32</v>
      </c>
      <c r="E11" s="186">
        <v>292.46</v>
      </c>
      <c r="F11" s="187">
        <v>450.27</v>
      </c>
      <c r="G11" s="186">
        <v>292.43</v>
      </c>
      <c r="H11" s="186">
        <v>299.79</v>
      </c>
      <c r="I11" s="188">
        <v>322.78</v>
      </c>
      <c r="J11" s="188">
        <v>235.71</v>
      </c>
      <c r="K11" s="188">
        <v>387.48</v>
      </c>
      <c r="L11" s="188">
        <v>343.13</v>
      </c>
      <c r="M11" s="188">
        <v>518.26</v>
      </c>
      <c r="N11" s="188">
        <v>486.89</v>
      </c>
      <c r="O11" s="188">
        <v>337.56</v>
      </c>
      <c r="P11" s="188">
        <v>359.15</v>
      </c>
      <c r="Q11" s="188">
        <v>169.05</v>
      </c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5">
        <v>10.0</v>
      </c>
      <c r="B12" s="185">
        <v>192.6</v>
      </c>
      <c r="C12" s="189">
        <v>230.27</v>
      </c>
      <c r="D12" s="190">
        <v>243.82</v>
      </c>
      <c r="E12" s="190">
        <v>293.15</v>
      </c>
      <c r="F12" s="191">
        <v>451.18</v>
      </c>
      <c r="G12" s="190">
        <v>293.02</v>
      </c>
      <c r="H12" s="190">
        <v>300.4</v>
      </c>
      <c r="I12" s="192">
        <v>324.66</v>
      </c>
      <c r="J12" s="192">
        <v>236.5</v>
      </c>
      <c r="K12" s="192">
        <v>388.28</v>
      </c>
      <c r="L12" s="192">
        <v>343.82</v>
      </c>
      <c r="M12" s="192">
        <v>520.86</v>
      </c>
      <c r="N12" s="192">
        <v>487.87</v>
      </c>
      <c r="O12" s="192">
        <v>338.24</v>
      </c>
      <c r="P12" s="192">
        <v>359.87</v>
      </c>
      <c r="Q12" s="192">
        <v>179.95</v>
      </c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5">
        <v>11.0</v>
      </c>
      <c r="B13" s="169">
        <v>193.84</v>
      </c>
      <c r="C13" s="173">
        <v>233.18</v>
      </c>
      <c r="D13" s="173">
        <v>244.31</v>
      </c>
      <c r="E13" s="173">
        <v>295.56</v>
      </c>
      <c r="F13" s="176">
        <v>452.09</v>
      </c>
      <c r="G13" s="173">
        <v>297.52</v>
      </c>
      <c r="H13" s="173">
        <v>302.07</v>
      </c>
      <c r="I13" s="174">
        <v>325.31</v>
      </c>
      <c r="J13" s="174">
        <v>252.25</v>
      </c>
      <c r="K13" s="174">
        <v>396.42</v>
      </c>
      <c r="L13" s="174">
        <v>347.47</v>
      </c>
      <c r="M13" s="174">
        <v>531.79</v>
      </c>
      <c r="N13" s="174">
        <v>488.85</v>
      </c>
      <c r="O13" s="174">
        <v>338.92</v>
      </c>
      <c r="P13" s="174">
        <v>360.71</v>
      </c>
      <c r="Q13" s="174">
        <v>190.1</v>
      </c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5">
        <v>12.0</v>
      </c>
      <c r="B14" s="173">
        <v>195.89</v>
      </c>
      <c r="C14" s="173">
        <v>238.65</v>
      </c>
      <c r="D14" s="173">
        <v>247.69</v>
      </c>
      <c r="E14" s="173">
        <v>298.69</v>
      </c>
      <c r="F14" s="176">
        <v>458.19</v>
      </c>
      <c r="G14" s="173">
        <v>302.17</v>
      </c>
      <c r="H14" s="173">
        <v>305.88</v>
      </c>
      <c r="I14" s="174">
        <v>328.72</v>
      </c>
      <c r="J14" s="174">
        <v>253.83</v>
      </c>
      <c r="K14" s="174">
        <v>402.05</v>
      </c>
      <c r="L14" s="174">
        <v>352.35</v>
      </c>
      <c r="M14" s="174">
        <v>537.55</v>
      </c>
      <c r="N14" s="174">
        <v>496.39</v>
      </c>
      <c r="O14" s="174">
        <v>343.86</v>
      </c>
      <c r="P14" s="174">
        <v>363.68</v>
      </c>
      <c r="Q14" s="174">
        <v>199.35</v>
      </c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5">
        <v>13.0</v>
      </c>
      <c r="B15" s="173">
        <v>236.72</v>
      </c>
      <c r="C15" s="173">
        <v>300.94</v>
      </c>
      <c r="D15" s="173">
        <v>315.16</v>
      </c>
      <c r="E15" s="173">
        <v>360.87</v>
      </c>
      <c r="F15" s="176">
        <v>580.17</v>
      </c>
      <c r="G15" s="173">
        <v>394.99</v>
      </c>
      <c r="H15" s="173">
        <v>381.91</v>
      </c>
      <c r="I15" s="174">
        <v>396.78</v>
      </c>
      <c r="J15" s="174">
        <v>274.78</v>
      </c>
      <c r="K15" s="174">
        <v>514.48</v>
      </c>
      <c r="L15" s="174">
        <v>449.7</v>
      </c>
      <c r="M15" s="174">
        <v>652.58</v>
      </c>
      <c r="N15" s="174">
        <v>647.17</v>
      </c>
      <c r="O15" s="174">
        <v>442.51</v>
      </c>
      <c r="P15" s="174">
        <v>422.98</v>
      </c>
      <c r="Q15" s="174">
        <v>208.2</v>
      </c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5">
        <v>14.0</v>
      </c>
      <c r="B16" s="173">
        <v>269.64</v>
      </c>
      <c r="C16" s="173">
        <v>316.61</v>
      </c>
      <c r="D16" s="173">
        <v>349.67</v>
      </c>
      <c r="E16" s="173">
        <v>408.0</v>
      </c>
      <c r="F16" s="176">
        <v>671.45</v>
      </c>
      <c r="G16" s="173">
        <v>418.7</v>
      </c>
      <c r="H16" s="173">
        <v>408.36</v>
      </c>
      <c r="I16" s="174">
        <v>438.21</v>
      </c>
      <c r="J16" s="174">
        <v>285.6</v>
      </c>
      <c r="K16" s="174">
        <v>590.89</v>
      </c>
      <c r="L16" s="174">
        <v>516.02</v>
      </c>
      <c r="M16" s="174">
        <v>734.4</v>
      </c>
      <c r="N16" s="174">
        <v>688.41</v>
      </c>
      <c r="O16" s="174">
        <v>511.18</v>
      </c>
      <c r="P16" s="174">
        <v>541.48</v>
      </c>
      <c r="Q16" s="174">
        <v>217.65</v>
      </c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5">
        <v>15.0</v>
      </c>
      <c r="B17" s="177">
        <v>273.26</v>
      </c>
      <c r="C17" s="177">
        <v>327.27</v>
      </c>
      <c r="D17" s="177">
        <v>374.23</v>
      </c>
      <c r="E17" s="177">
        <v>412.72</v>
      </c>
      <c r="F17" s="179">
        <v>695.45</v>
      </c>
      <c r="G17" s="177">
        <v>433.87</v>
      </c>
      <c r="H17" s="177">
        <v>430.97</v>
      </c>
      <c r="I17" s="178">
        <v>465.12</v>
      </c>
      <c r="J17" s="178">
        <v>318.59</v>
      </c>
      <c r="K17" s="178">
        <v>619.91</v>
      </c>
      <c r="L17" s="178">
        <v>563.02</v>
      </c>
      <c r="M17" s="178">
        <v>772.56</v>
      </c>
      <c r="N17" s="178">
        <v>736.61</v>
      </c>
      <c r="O17" s="178">
        <v>536.31</v>
      </c>
      <c r="P17" s="178">
        <v>553.33</v>
      </c>
      <c r="Q17" s="178">
        <v>225.35</v>
      </c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5">
        <v>16.0</v>
      </c>
      <c r="B18" s="181">
        <v>295.53</v>
      </c>
      <c r="C18" s="181">
        <v>337.94</v>
      </c>
      <c r="D18" s="186">
        <v>376.69</v>
      </c>
      <c r="E18" s="186">
        <v>438.91</v>
      </c>
      <c r="F18" s="187">
        <v>792.57</v>
      </c>
      <c r="G18" s="186">
        <v>449.85</v>
      </c>
      <c r="H18" s="186">
        <v>449.49</v>
      </c>
      <c r="I18" s="188">
        <v>483.38</v>
      </c>
      <c r="J18" s="188">
        <v>339.12</v>
      </c>
      <c r="K18" s="188">
        <v>644.74</v>
      </c>
      <c r="L18" s="188">
        <v>570.52</v>
      </c>
      <c r="M18" s="188">
        <v>859.58</v>
      </c>
      <c r="N18" s="188">
        <v>807.81</v>
      </c>
      <c r="O18" s="188">
        <v>549.19</v>
      </c>
      <c r="P18" s="188">
        <v>560.62</v>
      </c>
      <c r="Q18" s="188">
        <v>234.2</v>
      </c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5">
        <v>17.0</v>
      </c>
      <c r="B19" s="185">
        <v>303.8</v>
      </c>
      <c r="C19" s="185">
        <v>347.84</v>
      </c>
      <c r="D19" s="186">
        <v>377.45</v>
      </c>
      <c r="E19" s="186">
        <v>441.58</v>
      </c>
      <c r="F19" s="187">
        <v>824.4</v>
      </c>
      <c r="G19" s="186">
        <v>461.9</v>
      </c>
      <c r="H19" s="186">
        <v>451.35</v>
      </c>
      <c r="I19" s="188">
        <v>485.21</v>
      </c>
      <c r="J19" s="188">
        <v>341.18</v>
      </c>
      <c r="K19" s="188">
        <v>661.74</v>
      </c>
      <c r="L19" s="188">
        <v>571.67</v>
      </c>
      <c r="M19" s="188">
        <v>868.71</v>
      </c>
      <c r="N19" s="188">
        <v>814.94</v>
      </c>
      <c r="O19" s="188">
        <v>550.48</v>
      </c>
      <c r="P19" s="188">
        <v>562.95</v>
      </c>
      <c r="Q19" s="188">
        <v>239.4</v>
      </c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5">
        <v>18.0</v>
      </c>
      <c r="B20" s="185">
        <v>310.07</v>
      </c>
      <c r="C20" s="185">
        <v>348.86</v>
      </c>
      <c r="D20" s="186">
        <v>378.22</v>
      </c>
      <c r="E20" s="186">
        <v>442.98</v>
      </c>
      <c r="F20" s="187">
        <v>849.48</v>
      </c>
      <c r="G20" s="186">
        <v>463.12</v>
      </c>
      <c r="H20" s="186">
        <v>452.26</v>
      </c>
      <c r="I20" s="188">
        <v>486.19</v>
      </c>
      <c r="J20" s="188">
        <v>342.91</v>
      </c>
      <c r="K20" s="188">
        <v>663.47</v>
      </c>
      <c r="L20" s="188">
        <v>572.83</v>
      </c>
      <c r="M20" s="188">
        <v>899.35</v>
      </c>
      <c r="N20" s="188">
        <v>816.61</v>
      </c>
      <c r="O20" s="188">
        <v>551.59</v>
      </c>
      <c r="P20" s="188">
        <v>564.08</v>
      </c>
      <c r="Q20" s="188">
        <v>245.45</v>
      </c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5">
        <v>19.0</v>
      </c>
      <c r="B21" s="185">
        <v>310.71</v>
      </c>
      <c r="C21" s="185">
        <v>352.83</v>
      </c>
      <c r="D21" s="186">
        <v>378.99</v>
      </c>
      <c r="E21" s="186">
        <v>443.87</v>
      </c>
      <c r="F21" s="187">
        <v>870.52</v>
      </c>
      <c r="G21" s="186">
        <v>464.07</v>
      </c>
      <c r="H21" s="186">
        <v>453.17</v>
      </c>
      <c r="I21" s="188">
        <v>487.17</v>
      </c>
      <c r="J21" s="188">
        <v>377.47</v>
      </c>
      <c r="K21" s="188">
        <v>664.8</v>
      </c>
      <c r="L21" s="188">
        <v>573.98</v>
      </c>
      <c r="M21" s="188">
        <v>908.73</v>
      </c>
      <c r="N21" s="188">
        <v>818.25</v>
      </c>
      <c r="O21" s="188">
        <v>552.7</v>
      </c>
      <c r="P21" s="188">
        <v>565.29</v>
      </c>
      <c r="Q21" s="188">
        <v>253.65</v>
      </c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5">
        <v>20.0</v>
      </c>
      <c r="B22" s="189">
        <v>311.34</v>
      </c>
      <c r="C22" s="189">
        <v>353.55</v>
      </c>
      <c r="D22" s="190">
        <v>379.75</v>
      </c>
      <c r="E22" s="190">
        <v>444.76</v>
      </c>
      <c r="F22" s="191">
        <v>872.63</v>
      </c>
      <c r="G22" s="190">
        <v>465.01</v>
      </c>
      <c r="H22" s="190">
        <v>454.09</v>
      </c>
      <c r="I22" s="192">
        <v>488.15</v>
      </c>
      <c r="J22" s="192">
        <v>380.93</v>
      </c>
      <c r="K22" s="192">
        <v>666.14</v>
      </c>
      <c r="L22" s="192">
        <v>575.14</v>
      </c>
      <c r="M22" s="192">
        <v>910.65</v>
      </c>
      <c r="N22" s="192">
        <v>819.89</v>
      </c>
      <c r="O22" s="192">
        <v>553.81</v>
      </c>
      <c r="P22" s="192">
        <v>566.48</v>
      </c>
      <c r="Q22" s="192">
        <v>258.6</v>
      </c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5">
        <v>21.0</v>
      </c>
      <c r="B23" s="169">
        <v>313.5</v>
      </c>
      <c r="C23" s="169">
        <v>367.73</v>
      </c>
      <c r="D23" s="173">
        <v>384.87</v>
      </c>
      <c r="E23" s="173">
        <v>447.54</v>
      </c>
      <c r="F23" s="176">
        <v>876.99</v>
      </c>
      <c r="G23" s="173">
        <v>467.92</v>
      </c>
      <c r="H23" s="173">
        <v>456.91</v>
      </c>
      <c r="I23" s="174">
        <v>492.08</v>
      </c>
      <c r="J23" s="174">
        <v>389.13</v>
      </c>
      <c r="K23" s="174">
        <v>670.16</v>
      </c>
      <c r="L23" s="174">
        <v>580.44</v>
      </c>
      <c r="M23" s="174">
        <v>915.11</v>
      </c>
      <c r="N23" s="174">
        <v>823.91</v>
      </c>
      <c r="O23" s="174">
        <v>557.14</v>
      </c>
      <c r="P23" s="174">
        <v>569.88</v>
      </c>
      <c r="Q23" s="174">
        <v>264.55</v>
      </c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5">
        <v>22.0</v>
      </c>
      <c r="B24" s="173">
        <v>313.81</v>
      </c>
      <c r="C24" s="173">
        <v>371.56</v>
      </c>
      <c r="D24" s="173">
        <v>385.39</v>
      </c>
      <c r="E24" s="173">
        <v>447.82</v>
      </c>
      <c r="F24" s="176">
        <v>877.43</v>
      </c>
      <c r="G24" s="173">
        <v>468.22</v>
      </c>
      <c r="H24" s="173">
        <v>457.2</v>
      </c>
      <c r="I24" s="174">
        <v>492.72</v>
      </c>
      <c r="J24" s="174">
        <v>389.95</v>
      </c>
      <c r="K24" s="174">
        <v>670.57</v>
      </c>
      <c r="L24" s="174">
        <v>580.97</v>
      </c>
      <c r="M24" s="174">
        <v>915.56</v>
      </c>
      <c r="N24" s="174">
        <v>824.32</v>
      </c>
      <c r="O24" s="174">
        <v>557.48</v>
      </c>
      <c r="P24" s="174">
        <v>570.22</v>
      </c>
      <c r="Q24" s="174">
        <v>270.45</v>
      </c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5">
        <v>23.0</v>
      </c>
      <c r="B25" s="173">
        <v>314.23</v>
      </c>
      <c r="C25" s="173">
        <v>372.06</v>
      </c>
      <c r="D25" s="173">
        <v>385.72</v>
      </c>
      <c r="E25" s="173">
        <v>448.08</v>
      </c>
      <c r="F25" s="176">
        <v>877.69</v>
      </c>
      <c r="G25" s="173">
        <v>468.49</v>
      </c>
      <c r="H25" s="173">
        <v>457.47</v>
      </c>
      <c r="I25" s="174">
        <v>493.01</v>
      </c>
      <c r="J25" s="174">
        <v>390.22</v>
      </c>
      <c r="K25" s="174">
        <v>670.85</v>
      </c>
      <c r="L25" s="174">
        <v>581.24</v>
      </c>
      <c r="M25" s="174">
        <v>915.81</v>
      </c>
      <c r="N25" s="174">
        <v>824.57</v>
      </c>
      <c r="O25" s="174">
        <v>557.75</v>
      </c>
      <c r="P25" s="174">
        <v>570.49</v>
      </c>
      <c r="Q25" s="174">
        <v>277.85</v>
      </c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5">
        <v>24.0</v>
      </c>
      <c r="B26" s="173">
        <v>314.5</v>
      </c>
      <c r="C26" s="173">
        <v>372.39</v>
      </c>
      <c r="D26" s="173">
        <v>386.05</v>
      </c>
      <c r="E26" s="173">
        <v>448.48</v>
      </c>
      <c r="F26" s="176">
        <v>878.16</v>
      </c>
      <c r="G26" s="173">
        <v>468.86</v>
      </c>
      <c r="H26" s="173">
        <v>457.79</v>
      </c>
      <c r="I26" s="174">
        <v>493.51</v>
      </c>
      <c r="J26" s="174">
        <v>390.48</v>
      </c>
      <c r="K26" s="174">
        <v>671.4</v>
      </c>
      <c r="L26" s="174">
        <v>581.73</v>
      </c>
      <c r="M26" s="174">
        <v>916.32</v>
      </c>
      <c r="N26" s="174">
        <v>824.92</v>
      </c>
      <c r="O26" s="174">
        <v>558.25</v>
      </c>
      <c r="P26" s="174">
        <v>571.0</v>
      </c>
      <c r="Q26" s="174">
        <v>283.15</v>
      </c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5">
        <v>25.0</v>
      </c>
      <c r="B27" s="177">
        <v>318.43</v>
      </c>
      <c r="C27" s="177">
        <v>377.46</v>
      </c>
      <c r="D27" s="177">
        <v>389.64</v>
      </c>
      <c r="E27" s="177">
        <v>456.27</v>
      </c>
      <c r="F27" s="179">
        <v>887.53</v>
      </c>
      <c r="G27" s="177">
        <v>476.1</v>
      </c>
      <c r="H27" s="177">
        <v>464.03</v>
      </c>
      <c r="I27" s="178">
        <v>503.42</v>
      </c>
      <c r="J27" s="178">
        <v>392.85</v>
      </c>
      <c r="K27" s="178">
        <v>682.22</v>
      </c>
      <c r="L27" s="178">
        <v>591.39</v>
      </c>
      <c r="M27" s="178">
        <v>926.41</v>
      </c>
      <c r="N27" s="178">
        <v>831.88</v>
      </c>
      <c r="O27" s="178">
        <v>568.24</v>
      </c>
      <c r="P27" s="178">
        <v>581.14</v>
      </c>
      <c r="Q27" s="178">
        <v>292.0</v>
      </c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5">
        <v>26.0</v>
      </c>
      <c r="B28" s="181">
        <v>396.76</v>
      </c>
      <c r="C28" s="181">
        <v>464.29</v>
      </c>
      <c r="D28" s="186">
        <v>459.33</v>
      </c>
      <c r="E28" s="186">
        <v>612.03</v>
      </c>
      <c r="F28" s="187">
        <v>1074.9</v>
      </c>
      <c r="G28" s="186">
        <v>620.69</v>
      </c>
      <c r="H28" s="186">
        <v>588.83</v>
      </c>
      <c r="I28" s="188">
        <v>701.26</v>
      </c>
      <c r="J28" s="188">
        <v>440.11</v>
      </c>
      <c r="K28" s="188">
        <v>898.54</v>
      </c>
      <c r="L28" s="188">
        <v>784.47</v>
      </c>
      <c r="M28" s="188">
        <v>1128.13</v>
      </c>
      <c r="N28" s="188">
        <v>970.93</v>
      </c>
      <c r="O28" s="188">
        <v>768.03</v>
      </c>
      <c r="P28" s="188">
        <v>783.92</v>
      </c>
      <c r="Q28" s="188">
        <v>296.4</v>
      </c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5">
        <v>27.0</v>
      </c>
      <c r="B29" s="185">
        <v>416.7</v>
      </c>
      <c r="C29" s="185">
        <v>494.28</v>
      </c>
      <c r="D29" s="186">
        <v>513.71</v>
      </c>
      <c r="E29" s="186">
        <v>643.7</v>
      </c>
      <c r="F29" s="187">
        <v>1275.32</v>
      </c>
      <c r="G29" s="186">
        <v>637.51</v>
      </c>
      <c r="H29" s="186">
        <v>659.17</v>
      </c>
      <c r="I29" s="188">
        <v>721.33</v>
      </c>
      <c r="J29" s="188">
        <v>477.15</v>
      </c>
      <c r="K29" s="188">
        <v>948.67</v>
      </c>
      <c r="L29" s="188">
        <v>814.22</v>
      </c>
      <c r="M29" s="188">
        <v>1214.25</v>
      </c>
      <c r="N29" s="188">
        <v>1350.83</v>
      </c>
      <c r="O29" s="188">
        <v>789.19</v>
      </c>
      <c r="P29" s="188">
        <v>868.72</v>
      </c>
      <c r="Q29" s="188">
        <v>302.7</v>
      </c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5">
        <v>28.0</v>
      </c>
      <c r="B30" s="185">
        <v>418.7</v>
      </c>
      <c r="C30" s="185">
        <v>500.91</v>
      </c>
      <c r="D30" s="186">
        <v>539.23</v>
      </c>
      <c r="E30" s="186">
        <v>677.9</v>
      </c>
      <c r="F30" s="187">
        <v>1300.2</v>
      </c>
      <c r="G30" s="186">
        <v>639.25</v>
      </c>
      <c r="H30" s="187">
        <v>666.21</v>
      </c>
      <c r="I30" s="188">
        <v>739.78</v>
      </c>
      <c r="J30" s="188">
        <v>480.87</v>
      </c>
      <c r="K30" s="188">
        <v>953.7</v>
      </c>
      <c r="L30" s="188">
        <v>817.2</v>
      </c>
      <c r="M30" s="188">
        <v>1222.87</v>
      </c>
      <c r="N30" s="188">
        <v>1388.82</v>
      </c>
      <c r="O30" s="188">
        <v>822.76</v>
      </c>
      <c r="P30" s="188">
        <v>877.21</v>
      </c>
      <c r="Q30" s="188">
        <v>308.35</v>
      </c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5">
        <v>29.0</v>
      </c>
      <c r="B31" s="185">
        <v>419.0</v>
      </c>
      <c r="C31" s="185">
        <v>507.05</v>
      </c>
      <c r="D31" s="186">
        <v>541.81</v>
      </c>
      <c r="E31" s="186">
        <v>685.44</v>
      </c>
      <c r="F31" s="187">
        <v>1302.7</v>
      </c>
      <c r="G31" s="186">
        <v>673.79</v>
      </c>
      <c r="H31" s="187">
        <v>667.88</v>
      </c>
      <c r="I31" s="188">
        <v>741.88</v>
      </c>
      <c r="J31" s="188">
        <v>481.5</v>
      </c>
      <c r="K31" s="188">
        <v>980.08</v>
      </c>
      <c r="L31" s="188">
        <v>825.65</v>
      </c>
      <c r="M31" s="188">
        <v>1277.88</v>
      </c>
      <c r="N31" s="188">
        <v>1392.63</v>
      </c>
      <c r="O31" s="188">
        <v>870.36</v>
      </c>
      <c r="P31" s="188">
        <v>902.31</v>
      </c>
      <c r="Q31" s="188">
        <v>313.1</v>
      </c>
      <c r="R31" s="138"/>
      <c r="S31" s="138"/>
      <c r="T31" s="138"/>
      <c r="U31" s="138"/>
      <c r="V31" s="138"/>
      <c r="W31" s="138"/>
      <c r="X31" s="138"/>
      <c r="Y31" s="138"/>
      <c r="Z31" s="138"/>
    </row>
    <row r="32" ht="12.75" customHeight="1">
      <c r="A32" s="5">
        <v>30.0</v>
      </c>
      <c r="B32" s="189">
        <v>420.97</v>
      </c>
      <c r="C32" s="189">
        <v>508.14</v>
      </c>
      <c r="D32" s="190">
        <v>542.42</v>
      </c>
      <c r="E32" s="190">
        <v>686.32</v>
      </c>
      <c r="F32" s="191">
        <v>1304.6</v>
      </c>
      <c r="G32" s="190">
        <v>677.25</v>
      </c>
      <c r="H32" s="191">
        <v>701.11</v>
      </c>
      <c r="I32" s="192">
        <v>760.34</v>
      </c>
      <c r="J32" s="192">
        <v>493.46</v>
      </c>
      <c r="K32" s="192">
        <v>983.99</v>
      </c>
      <c r="L32" s="192">
        <v>893.92</v>
      </c>
      <c r="M32" s="192">
        <v>1287.93</v>
      </c>
      <c r="N32" s="192">
        <v>1393.02</v>
      </c>
      <c r="O32" s="192">
        <v>875.13</v>
      </c>
      <c r="P32" s="192">
        <v>907.5</v>
      </c>
      <c r="Q32" s="192">
        <v>318.75</v>
      </c>
      <c r="R32" s="138"/>
      <c r="S32" s="138"/>
      <c r="T32" s="138"/>
      <c r="U32" s="138"/>
      <c r="V32" s="138"/>
      <c r="W32" s="138"/>
      <c r="X32" s="138"/>
      <c r="Y32" s="138"/>
      <c r="Z32" s="138"/>
    </row>
    <row r="33" ht="12.75" customHeight="1">
      <c r="A33" s="5">
        <v>31.0</v>
      </c>
      <c r="B33" s="169">
        <v>460.28</v>
      </c>
      <c r="C33" s="169">
        <v>529.53</v>
      </c>
      <c r="D33" s="173">
        <v>543.08</v>
      </c>
      <c r="E33" s="173">
        <v>700.66</v>
      </c>
      <c r="F33" s="176">
        <v>1342.52</v>
      </c>
      <c r="G33" s="173">
        <v>703.76</v>
      </c>
      <c r="H33" s="176">
        <v>730.03</v>
      </c>
      <c r="I33" s="174">
        <v>765.43</v>
      </c>
      <c r="J33" s="174">
        <v>507.44</v>
      </c>
      <c r="K33" s="174">
        <v>1061.79</v>
      </c>
      <c r="L33" s="174">
        <v>902.45</v>
      </c>
      <c r="M33" s="174">
        <v>1290.97</v>
      </c>
      <c r="N33" s="174">
        <v>1393.32</v>
      </c>
      <c r="O33" s="174">
        <v>921.18</v>
      </c>
      <c r="P33" s="174">
        <v>910.93</v>
      </c>
      <c r="Q33" s="174">
        <v>324.55</v>
      </c>
      <c r="R33" s="138"/>
      <c r="S33" s="138"/>
      <c r="T33" s="138"/>
      <c r="U33" s="138"/>
      <c r="V33" s="138"/>
      <c r="W33" s="138"/>
      <c r="X33" s="138"/>
      <c r="Y33" s="138"/>
      <c r="Z33" s="138"/>
    </row>
    <row r="34" ht="12.75" customHeight="1">
      <c r="A34" s="5">
        <v>32.0</v>
      </c>
      <c r="B34" s="173">
        <v>464.27</v>
      </c>
      <c r="C34" s="173">
        <v>538.35</v>
      </c>
      <c r="D34" s="173">
        <v>544.79</v>
      </c>
      <c r="E34" s="173">
        <v>703.8</v>
      </c>
      <c r="F34" s="176">
        <v>1346.32</v>
      </c>
      <c r="G34" s="173">
        <v>743.42</v>
      </c>
      <c r="H34" s="176">
        <v>732.93</v>
      </c>
      <c r="I34" s="174">
        <v>766.52</v>
      </c>
      <c r="J34" s="174">
        <v>508.84</v>
      </c>
      <c r="K34" s="174">
        <v>1087.52</v>
      </c>
      <c r="L34" s="174">
        <v>904.35</v>
      </c>
      <c r="M34" s="174">
        <v>1295.84</v>
      </c>
      <c r="N34" s="174">
        <v>1393.59</v>
      </c>
      <c r="O34" s="174">
        <v>925.79</v>
      </c>
      <c r="P34" s="174">
        <v>979.44</v>
      </c>
      <c r="Q34" s="174">
        <v>330.6</v>
      </c>
      <c r="R34" s="138"/>
      <c r="S34" s="138"/>
      <c r="T34" s="138"/>
      <c r="U34" s="138"/>
      <c r="V34" s="138"/>
      <c r="W34" s="138"/>
      <c r="X34" s="138"/>
      <c r="Y34" s="138"/>
      <c r="Z34" s="138"/>
    </row>
    <row r="35" ht="12.75" customHeight="1">
      <c r="A35" s="5">
        <v>33.0</v>
      </c>
      <c r="B35" s="173">
        <v>464.69</v>
      </c>
      <c r="C35" s="173">
        <v>549.02</v>
      </c>
      <c r="D35" s="173">
        <v>577.51</v>
      </c>
      <c r="E35" s="173">
        <v>766.56</v>
      </c>
      <c r="F35" s="176">
        <v>1384.28</v>
      </c>
      <c r="G35" s="173">
        <v>758.04</v>
      </c>
      <c r="H35" s="176">
        <v>766.09</v>
      </c>
      <c r="I35" s="174">
        <v>788.06</v>
      </c>
      <c r="J35" s="174">
        <v>509.8</v>
      </c>
      <c r="K35" s="174">
        <v>1112.48</v>
      </c>
      <c r="L35" s="174">
        <v>942.07</v>
      </c>
      <c r="M35" s="174">
        <v>1393.18</v>
      </c>
      <c r="N35" s="174">
        <v>1393.85</v>
      </c>
      <c r="O35" s="174">
        <v>931.23</v>
      </c>
      <c r="P35" s="174">
        <v>1015.09</v>
      </c>
      <c r="Q35" s="174">
        <v>338.15</v>
      </c>
      <c r="R35" s="138"/>
      <c r="S35" s="138"/>
      <c r="T35" s="138"/>
      <c r="U35" s="138"/>
      <c r="V35" s="138"/>
      <c r="W35" s="138"/>
      <c r="X35" s="138"/>
      <c r="Y35" s="138"/>
      <c r="Z35" s="138"/>
    </row>
    <row r="36" ht="12.75" customHeight="1">
      <c r="A36" s="5">
        <v>34.0</v>
      </c>
      <c r="B36" s="173">
        <v>464.98</v>
      </c>
      <c r="C36" s="173">
        <v>557.92</v>
      </c>
      <c r="D36" s="173">
        <v>580.8</v>
      </c>
      <c r="E36" s="173">
        <v>772.88</v>
      </c>
      <c r="F36" s="176">
        <v>1388.08</v>
      </c>
      <c r="G36" s="173">
        <v>770.39</v>
      </c>
      <c r="H36" s="176">
        <v>769.44</v>
      </c>
      <c r="I36" s="174">
        <v>790.45</v>
      </c>
      <c r="J36" s="174">
        <v>528.52</v>
      </c>
      <c r="K36" s="174">
        <v>1136.53</v>
      </c>
      <c r="L36" s="174">
        <v>945.85</v>
      </c>
      <c r="M36" s="174">
        <v>1402.92</v>
      </c>
      <c r="N36" s="174">
        <v>1394.11</v>
      </c>
      <c r="O36" s="174">
        <v>964.75</v>
      </c>
      <c r="P36" s="174">
        <v>1019.39</v>
      </c>
      <c r="Q36" s="174">
        <v>345.0</v>
      </c>
      <c r="R36" s="138"/>
      <c r="S36" s="138"/>
      <c r="T36" s="138"/>
      <c r="U36" s="138"/>
      <c r="V36" s="138"/>
      <c r="W36" s="138"/>
      <c r="X36" s="138"/>
      <c r="Y36" s="138"/>
      <c r="Z36" s="138"/>
    </row>
    <row r="37" ht="12.75" customHeight="1">
      <c r="A37" s="5">
        <v>35.0</v>
      </c>
      <c r="B37" s="177">
        <v>465.28</v>
      </c>
      <c r="C37" s="177">
        <v>566.8</v>
      </c>
      <c r="D37" s="177">
        <v>581.13</v>
      </c>
      <c r="E37" s="177">
        <v>794.7</v>
      </c>
      <c r="F37" s="179">
        <v>1430.07</v>
      </c>
      <c r="G37" s="177">
        <v>771.64</v>
      </c>
      <c r="H37" s="179">
        <v>771.51</v>
      </c>
      <c r="I37" s="178">
        <v>803.85</v>
      </c>
      <c r="J37" s="178">
        <v>530.8</v>
      </c>
      <c r="K37" s="178">
        <v>1161.43</v>
      </c>
      <c r="L37" s="178">
        <v>948.04</v>
      </c>
      <c r="M37" s="178">
        <v>1486.15</v>
      </c>
      <c r="N37" s="178">
        <v>1394.38</v>
      </c>
      <c r="O37" s="178">
        <v>968.45</v>
      </c>
      <c r="P37" s="178">
        <v>1044.09</v>
      </c>
      <c r="Q37" s="178">
        <v>352.05</v>
      </c>
      <c r="R37" s="138"/>
      <c r="S37" s="138"/>
      <c r="T37" s="138"/>
      <c r="U37" s="138"/>
      <c r="V37" s="138"/>
      <c r="W37" s="138"/>
      <c r="X37" s="138"/>
      <c r="Y37" s="138"/>
      <c r="Z37" s="138"/>
    </row>
    <row r="38" ht="12.75" customHeight="1">
      <c r="A38" s="5">
        <v>36.0</v>
      </c>
      <c r="B38" s="167">
        <v>467.81</v>
      </c>
      <c r="C38" s="167">
        <v>567.76</v>
      </c>
      <c r="D38" s="167">
        <v>581.62</v>
      </c>
      <c r="E38" s="167">
        <v>796.89</v>
      </c>
      <c r="F38" s="167">
        <v>1434.27</v>
      </c>
      <c r="G38" s="167">
        <v>775.37</v>
      </c>
      <c r="H38" s="167">
        <v>812.78</v>
      </c>
      <c r="I38" s="168">
        <v>834.32</v>
      </c>
      <c r="J38" s="167">
        <v>575.78</v>
      </c>
      <c r="K38" s="167">
        <v>1163.92</v>
      </c>
      <c r="L38" s="168">
        <v>948.37</v>
      </c>
      <c r="M38" s="167">
        <v>1547.63</v>
      </c>
      <c r="N38" s="167">
        <v>1394.75</v>
      </c>
      <c r="O38" s="167">
        <v>1026.9</v>
      </c>
      <c r="P38" s="167">
        <v>1081.04</v>
      </c>
      <c r="Q38" s="167">
        <v>358.9</v>
      </c>
      <c r="R38" s="138"/>
      <c r="S38" s="138"/>
      <c r="T38" s="138"/>
      <c r="U38" s="138"/>
      <c r="V38" s="138"/>
      <c r="W38" s="138"/>
      <c r="X38" s="138"/>
      <c r="Y38" s="138"/>
      <c r="Z38" s="138"/>
    </row>
    <row r="39" ht="12.75" customHeight="1">
      <c r="A39" s="5">
        <v>37.0</v>
      </c>
      <c r="B39" s="169">
        <v>518.12</v>
      </c>
      <c r="C39" s="169">
        <v>586.33</v>
      </c>
      <c r="D39" s="170">
        <v>582.02</v>
      </c>
      <c r="E39" s="170">
        <v>798.23</v>
      </c>
      <c r="F39" s="170">
        <v>1468.18</v>
      </c>
      <c r="G39" s="170">
        <v>819.65</v>
      </c>
      <c r="H39" s="170">
        <v>828.33</v>
      </c>
      <c r="I39" s="170">
        <v>838.37</v>
      </c>
      <c r="J39" s="170">
        <v>607.89</v>
      </c>
      <c r="K39" s="170">
        <v>1211.23</v>
      </c>
      <c r="L39" s="170">
        <v>948.67</v>
      </c>
      <c r="M39" s="170">
        <v>1578.76</v>
      </c>
      <c r="N39" s="170">
        <v>1395.01</v>
      </c>
      <c r="O39" s="170">
        <v>1032.75</v>
      </c>
      <c r="P39" s="170">
        <v>1084.74</v>
      </c>
      <c r="Q39" s="170">
        <v>366.65</v>
      </c>
      <c r="R39" s="138"/>
      <c r="S39" s="138"/>
      <c r="T39" s="138"/>
      <c r="U39" s="138"/>
      <c r="V39" s="138"/>
      <c r="W39" s="138"/>
      <c r="X39" s="138"/>
      <c r="Y39" s="138"/>
      <c r="Z39" s="138"/>
    </row>
    <row r="40" ht="12.75" customHeight="1">
      <c r="A40" s="5">
        <v>38.0</v>
      </c>
      <c r="B40" s="173">
        <v>524.8</v>
      </c>
      <c r="C40" s="173">
        <v>594.31</v>
      </c>
      <c r="D40" s="174">
        <v>583.54</v>
      </c>
      <c r="E40" s="174">
        <v>822.43</v>
      </c>
      <c r="F40" s="174">
        <v>1471.76</v>
      </c>
      <c r="G40" s="174">
        <v>833.96</v>
      </c>
      <c r="H40" s="173">
        <v>843.06</v>
      </c>
      <c r="I40" s="175">
        <v>840.14</v>
      </c>
      <c r="J40" s="173">
        <v>611.11</v>
      </c>
      <c r="K40" s="173">
        <v>1259.14</v>
      </c>
      <c r="L40" s="175">
        <v>951.35</v>
      </c>
      <c r="M40" s="173">
        <v>1581.88</v>
      </c>
      <c r="N40" s="173">
        <v>1395.28</v>
      </c>
      <c r="O40" s="173">
        <v>1039.54</v>
      </c>
      <c r="P40" s="173">
        <v>1091.72</v>
      </c>
      <c r="Q40" s="173">
        <v>373.4</v>
      </c>
      <c r="R40" s="34"/>
      <c r="S40" s="34"/>
      <c r="T40" s="34"/>
      <c r="U40" s="34"/>
      <c r="V40" s="34"/>
      <c r="W40" s="34"/>
      <c r="X40" s="34"/>
      <c r="Y40" s="34"/>
      <c r="Z40" s="34"/>
    </row>
    <row r="41" ht="12.75" customHeight="1">
      <c r="A41" s="5">
        <v>39.0</v>
      </c>
      <c r="B41" s="173">
        <v>534.35</v>
      </c>
      <c r="C41" s="173">
        <v>602.26</v>
      </c>
      <c r="D41" s="174">
        <v>596.51</v>
      </c>
      <c r="E41" s="173">
        <v>841.95</v>
      </c>
      <c r="F41" s="175">
        <v>1472.12</v>
      </c>
      <c r="G41" s="174">
        <v>849.59</v>
      </c>
      <c r="H41" s="174">
        <v>858.56</v>
      </c>
      <c r="I41" s="174">
        <v>874.64</v>
      </c>
      <c r="J41" s="174">
        <v>623.62</v>
      </c>
      <c r="K41" s="174">
        <v>1281.87</v>
      </c>
      <c r="L41" s="174">
        <v>1004.77</v>
      </c>
      <c r="M41" s="174">
        <v>1582.27</v>
      </c>
      <c r="N41" s="174">
        <v>1400.61</v>
      </c>
      <c r="O41" s="174">
        <v>1092.61</v>
      </c>
      <c r="P41" s="174">
        <v>1122.49</v>
      </c>
      <c r="Q41" s="174">
        <v>380.7</v>
      </c>
      <c r="R41" s="138"/>
      <c r="S41" s="138"/>
      <c r="T41" s="138"/>
      <c r="U41" s="138"/>
      <c r="V41" s="138"/>
      <c r="W41" s="138"/>
      <c r="X41" s="138"/>
      <c r="Y41" s="138"/>
      <c r="Z41" s="138"/>
    </row>
    <row r="42" ht="12.75" customHeight="1">
      <c r="A42" s="5">
        <v>40.0</v>
      </c>
      <c r="B42" s="177">
        <v>543.95</v>
      </c>
      <c r="C42" s="177">
        <v>610.26</v>
      </c>
      <c r="D42" s="178">
        <v>597.86</v>
      </c>
      <c r="E42" s="174">
        <v>855.37</v>
      </c>
      <c r="F42" s="174">
        <v>1472.43</v>
      </c>
      <c r="G42" s="174">
        <v>851.16</v>
      </c>
      <c r="H42" s="174">
        <v>860.13</v>
      </c>
      <c r="I42" s="178">
        <v>915.03</v>
      </c>
      <c r="J42" s="174">
        <v>636.1</v>
      </c>
      <c r="K42" s="174">
        <v>1284.16</v>
      </c>
      <c r="L42" s="178">
        <v>1010.12</v>
      </c>
      <c r="M42" s="174">
        <v>1582.6</v>
      </c>
      <c r="N42" s="174">
        <v>1507.06</v>
      </c>
      <c r="O42" s="174">
        <v>1098.32</v>
      </c>
      <c r="P42" s="174">
        <v>1125.57</v>
      </c>
      <c r="Q42" s="174">
        <v>388.35</v>
      </c>
      <c r="R42" s="138"/>
      <c r="S42" s="138"/>
      <c r="T42" s="138"/>
      <c r="U42" s="138"/>
      <c r="V42" s="138"/>
      <c r="W42" s="138"/>
      <c r="X42" s="138"/>
      <c r="Y42" s="138"/>
      <c r="Z42" s="138"/>
    </row>
    <row r="43" ht="12.75" customHeight="1">
      <c r="A43" s="5">
        <v>41.0</v>
      </c>
      <c r="B43" s="181">
        <v>553.56</v>
      </c>
      <c r="C43" s="181">
        <v>618.3</v>
      </c>
      <c r="D43" s="182">
        <v>603.91</v>
      </c>
      <c r="E43" s="182">
        <v>870.11</v>
      </c>
      <c r="F43" s="183">
        <v>1472.9</v>
      </c>
      <c r="G43" s="182">
        <v>877.1</v>
      </c>
      <c r="H43" s="182">
        <v>862.09</v>
      </c>
      <c r="I43" s="184">
        <v>933.0</v>
      </c>
      <c r="J43" s="182">
        <v>637.35</v>
      </c>
      <c r="K43" s="182">
        <v>1309.01</v>
      </c>
      <c r="L43" s="184">
        <v>1030.41</v>
      </c>
      <c r="M43" s="182">
        <v>1584.24</v>
      </c>
      <c r="N43" s="182">
        <v>1541.22</v>
      </c>
      <c r="O43" s="182">
        <v>1101.34</v>
      </c>
      <c r="P43" s="182">
        <v>1185.02</v>
      </c>
      <c r="Q43" s="182">
        <v>396.0</v>
      </c>
      <c r="R43" s="138"/>
      <c r="S43" s="138"/>
      <c r="T43" s="138"/>
      <c r="U43" s="138"/>
      <c r="V43" s="138"/>
      <c r="W43" s="138"/>
      <c r="X43" s="138"/>
      <c r="Y43" s="138"/>
      <c r="Z43" s="138"/>
    </row>
    <row r="44" ht="12.75" customHeight="1">
      <c r="A44" s="5">
        <v>42.0</v>
      </c>
      <c r="B44" s="185">
        <v>562.32</v>
      </c>
      <c r="C44" s="185">
        <v>628.03</v>
      </c>
      <c r="D44" s="186">
        <v>629.87</v>
      </c>
      <c r="E44" s="186">
        <v>881.2</v>
      </c>
      <c r="F44" s="187">
        <v>1477.89</v>
      </c>
      <c r="G44" s="186">
        <v>890.92</v>
      </c>
      <c r="H44" s="186">
        <v>900.37</v>
      </c>
      <c r="I44" s="188">
        <v>935.27</v>
      </c>
      <c r="J44" s="186">
        <v>639.6</v>
      </c>
      <c r="K44" s="186">
        <v>1333.93</v>
      </c>
      <c r="L44" s="188">
        <v>1063.75</v>
      </c>
      <c r="M44" s="186">
        <v>1616.72</v>
      </c>
      <c r="N44" s="186">
        <v>1556.66</v>
      </c>
      <c r="O44" s="186">
        <v>1134.72</v>
      </c>
      <c r="P44" s="186">
        <v>1211.79</v>
      </c>
      <c r="Q44" s="186">
        <v>404.05</v>
      </c>
      <c r="R44" s="138"/>
      <c r="S44" s="138"/>
      <c r="T44" s="138"/>
      <c r="U44" s="138"/>
      <c r="V44" s="138"/>
      <c r="W44" s="138"/>
      <c r="X44" s="138"/>
      <c r="Y44" s="138"/>
      <c r="Z44" s="138"/>
    </row>
    <row r="45" ht="12.75" customHeight="1">
      <c r="A45" s="5">
        <v>43.0</v>
      </c>
      <c r="B45" s="185">
        <v>563.2</v>
      </c>
      <c r="C45" s="185">
        <v>641.28</v>
      </c>
      <c r="D45" s="186">
        <v>651.23</v>
      </c>
      <c r="E45" s="186">
        <v>898.86</v>
      </c>
      <c r="F45" s="187">
        <v>1535.75</v>
      </c>
      <c r="G45" s="186">
        <v>905.48</v>
      </c>
      <c r="H45" s="186">
        <v>904.2</v>
      </c>
      <c r="I45" s="188">
        <v>980.62</v>
      </c>
      <c r="J45" s="186">
        <v>684.35</v>
      </c>
      <c r="K45" s="186">
        <v>1358.85</v>
      </c>
      <c r="L45" s="188">
        <v>1128.45</v>
      </c>
      <c r="M45" s="186">
        <v>1619.98</v>
      </c>
      <c r="N45" s="186">
        <v>1688.93</v>
      </c>
      <c r="O45" s="186">
        <v>1138.06</v>
      </c>
      <c r="P45" s="186">
        <v>1228.81</v>
      </c>
      <c r="Q45" s="186">
        <v>412.25</v>
      </c>
      <c r="R45" s="138"/>
      <c r="S45" s="138"/>
      <c r="T45" s="138"/>
      <c r="U45" s="138"/>
      <c r="V45" s="138"/>
      <c r="W45" s="138"/>
      <c r="X45" s="138"/>
      <c r="Y45" s="138"/>
      <c r="Z45" s="138"/>
    </row>
    <row r="46" ht="12.75" customHeight="1">
      <c r="A46" s="5">
        <v>44.0</v>
      </c>
      <c r="B46" s="185">
        <v>577.95</v>
      </c>
      <c r="C46" s="185">
        <v>651.1</v>
      </c>
      <c r="D46" s="186">
        <v>653.37</v>
      </c>
      <c r="E46" s="186">
        <v>935.87</v>
      </c>
      <c r="F46" s="187">
        <v>1584.36</v>
      </c>
      <c r="G46" s="186">
        <v>919.26</v>
      </c>
      <c r="H46" s="186">
        <v>928.98</v>
      </c>
      <c r="I46" s="188">
        <v>1001.19</v>
      </c>
      <c r="J46" s="186">
        <v>697.3</v>
      </c>
      <c r="K46" s="186">
        <v>1383.74</v>
      </c>
      <c r="L46" s="188">
        <v>1178.12</v>
      </c>
      <c r="M46" s="186">
        <v>1621.16</v>
      </c>
      <c r="N46" s="186">
        <v>1702.16</v>
      </c>
      <c r="O46" s="186">
        <v>1204.78</v>
      </c>
      <c r="P46" s="186">
        <v>1233.69</v>
      </c>
      <c r="Q46" s="186">
        <v>421.15</v>
      </c>
      <c r="R46" s="138"/>
      <c r="S46" s="138"/>
      <c r="T46" s="138"/>
      <c r="U46" s="138"/>
      <c r="V46" s="138"/>
      <c r="W46" s="138"/>
      <c r="X46" s="138"/>
      <c r="Y46" s="138"/>
      <c r="Z46" s="138"/>
    </row>
    <row r="47" ht="12.75" customHeight="1">
      <c r="A47" s="5">
        <v>45.0</v>
      </c>
      <c r="B47" s="185">
        <v>579.43</v>
      </c>
      <c r="C47" s="189">
        <v>659.07</v>
      </c>
      <c r="D47" s="190">
        <v>655.16</v>
      </c>
      <c r="E47" s="190">
        <v>945.87</v>
      </c>
      <c r="F47" s="191">
        <v>1592.0</v>
      </c>
      <c r="G47" s="190">
        <v>933.86</v>
      </c>
      <c r="H47" s="190">
        <v>943.74</v>
      </c>
      <c r="I47" s="192">
        <v>1043.63</v>
      </c>
      <c r="J47" s="190">
        <v>699.66</v>
      </c>
      <c r="K47" s="190">
        <v>1408.65</v>
      </c>
      <c r="L47" s="192">
        <v>1199.14</v>
      </c>
      <c r="M47" s="190">
        <v>1621.45</v>
      </c>
      <c r="N47" s="190">
        <v>1705.57</v>
      </c>
      <c r="O47" s="190">
        <v>1215.62</v>
      </c>
      <c r="P47" s="190">
        <v>1234.18</v>
      </c>
      <c r="Q47" s="190">
        <v>427.9</v>
      </c>
      <c r="R47" s="138"/>
      <c r="S47" s="138"/>
      <c r="T47" s="138"/>
      <c r="U47" s="138"/>
      <c r="V47" s="138"/>
      <c r="W47" s="138"/>
      <c r="X47" s="138"/>
      <c r="Y47" s="138"/>
      <c r="Z47" s="138"/>
    </row>
    <row r="48" ht="12.75" customHeight="1">
      <c r="A48" s="5">
        <v>46.0</v>
      </c>
      <c r="B48" s="169">
        <v>593.44</v>
      </c>
      <c r="C48" s="173">
        <v>673.27</v>
      </c>
      <c r="D48" s="173">
        <v>682.76</v>
      </c>
      <c r="E48" s="173">
        <v>965.34</v>
      </c>
      <c r="F48" s="176">
        <v>1744.76</v>
      </c>
      <c r="G48" s="173">
        <v>948.15</v>
      </c>
      <c r="H48" s="173">
        <v>953.54</v>
      </c>
      <c r="I48" s="174">
        <v>1047.88</v>
      </c>
      <c r="J48" s="173">
        <v>746.71</v>
      </c>
      <c r="K48" s="173">
        <v>1453.91</v>
      </c>
      <c r="L48" s="174">
        <v>1207.74</v>
      </c>
      <c r="M48" s="173">
        <v>1621.73</v>
      </c>
      <c r="N48" s="173">
        <v>1773.61</v>
      </c>
      <c r="O48" s="173">
        <v>1226.94</v>
      </c>
      <c r="P48" s="173">
        <v>1234.43</v>
      </c>
      <c r="Q48" s="173">
        <v>435.3</v>
      </c>
      <c r="R48" s="138"/>
      <c r="S48" s="138"/>
      <c r="T48" s="138"/>
      <c r="U48" s="138"/>
      <c r="V48" s="138"/>
      <c r="W48" s="138"/>
      <c r="X48" s="138"/>
      <c r="Y48" s="138"/>
      <c r="Z48" s="138"/>
    </row>
    <row r="49" ht="12.75" customHeight="1">
      <c r="A49" s="5">
        <v>47.0</v>
      </c>
      <c r="B49" s="173">
        <v>602.3</v>
      </c>
      <c r="C49" s="173">
        <v>680.36</v>
      </c>
      <c r="D49" s="173">
        <v>693.99</v>
      </c>
      <c r="E49" s="173">
        <v>982.01</v>
      </c>
      <c r="F49" s="176">
        <v>1760.05</v>
      </c>
      <c r="G49" s="173">
        <v>959.0</v>
      </c>
      <c r="H49" s="173">
        <v>969.11</v>
      </c>
      <c r="I49" s="174">
        <v>1050.63</v>
      </c>
      <c r="J49" s="173">
        <v>751.42</v>
      </c>
      <c r="K49" s="173">
        <v>1458.49</v>
      </c>
      <c r="L49" s="174">
        <v>1208.6</v>
      </c>
      <c r="M49" s="173">
        <v>1622.67</v>
      </c>
      <c r="N49" s="173">
        <v>1788.33</v>
      </c>
      <c r="O49" s="173">
        <v>1228.08</v>
      </c>
      <c r="P49" s="173">
        <v>1234.68</v>
      </c>
      <c r="Q49" s="173">
        <v>442.1</v>
      </c>
      <c r="R49" s="138"/>
      <c r="S49" s="138"/>
      <c r="T49" s="138"/>
      <c r="U49" s="138"/>
      <c r="V49" s="138"/>
      <c r="W49" s="138"/>
      <c r="X49" s="138"/>
      <c r="Y49" s="138"/>
      <c r="Z49" s="138"/>
    </row>
    <row r="50" ht="12.75" customHeight="1">
      <c r="A50" s="5">
        <v>48.0</v>
      </c>
      <c r="B50" s="173">
        <v>610.37</v>
      </c>
      <c r="C50" s="173">
        <v>692.98</v>
      </c>
      <c r="D50" s="173">
        <v>703.01</v>
      </c>
      <c r="E50" s="173">
        <v>984.1</v>
      </c>
      <c r="F50" s="176">
        <v>1816.26</v>
      </c>
      <c r="G50" s="173">
        <v>973.55</v>
      </c>
      <c r="H50" s="173">
        <v>970.69</v>
      </c>
      <c r="I50" s="174">
        <v>1105.47</v>
      </c>
      <c r="J50" s="173">
        <v>751.9</v>
      </c>
      <c r="K50" s="173">
        <v>1483.39</v>
      </c>
      <c r="L50" s="174">
        <v>1208.85</v>
      </c>
      <c r="M50" s="173">
        <v>1641.31</v>
      </c>
      <c r="N50" s="173">
        <v>1789.82</v>
      </c>
      <c r="O50" s="173">
        <v>1229.67</v>
      </c>
      <c r="P50" s="173">
        <v>1234.93</v>
      </c>
      <c r="Q50" s="173">
        <v>450.35</v>
      </c>
      <c r="R50" s="138"/>
      <c r="S50" s="138"/>
      <c r="T50" s="138"/>
      <c r="U50" s="138"/>
      <c r="V50" s="138"/>
      <c r="W50" s="138"/>
      <c r="X50" s="138"/>
      <c r="Y50" s="138"/>
      <c r="Z50" s="138"/>
    </row>
    <row r="51" ht="12.75" customHeight="1">
      <c r="A51" s="5">
        <v>49.0</v>
      </c>
      <c r="B51" s="173">
        <v>611.32</v>
      </c>
      <c r="C51" s="173">
        <v>699.68</v>
      </c>
      <c r="D51" s="173">
        <v>703.93</v>
      </c>
      <c r="E51" s="173">
        <v>1009.72</v>
      </c>
      <c r="F51" s="176">
        <v>1849.91</v>
      </c>
      <c r="G51" s="173">
        <v>988.89</v>
      </c>
      <c r="H51" s="173">
        <v>999.4</v>
      </c>
      <c r="I51" s="174">
        <v>1110.96</v>
      </c>
      <c r="J51" s="173">
        <v>753.49</v>
      </c>
      <c r="K51" s="173">
        <v>1507.35</v>
      </c>
      <c r="L51" s="174">
        <v>1213.68</v>
      </c>
      <c r="M51" s="173">
        <v>1643.19</v>
      </c>
      <c r="N51" s="173">
        <v>1790.18</v>
      </c>
      <c r="O51" s="173">
        <v>1261.21</v>
      </c>
      <c r="P51" s="173">
        <v>1235.54</v>
      </c>
      <c r="Q51" s="173">
        <v>458.45</v>
      </c>
      <c r="R51" s="138"/>
      <c r="S51" s="138"/>
      <c r="T51" s="138"/>
      <c r="U51" s="138"/>
      <c r="V51" s="138"/>
      <c r="W51" s="138"/>
      <c r="X51" s="138"/>
      <c r="Y51" s="138"/>
      <c r="Z51" s="138"/>
    </row>
    <row r="52" ht="12.75" customHeight="1">
      <c r="A52" s="5">
        <v>50.0</v>
      </c>
      <c r="B52" s="177">
        <v>628.05</v>
      </c>
      <c r="C52" s="177">
        <v>702.99</v>
      </c>
      <c r="D52" s="177">
        <v>705.14</v>
      </c>
      <c r="E52" s="177">
        <v>1016.12</v>
      </c>
      <c r="F52" s="179">
        <v>1869.42</v>
      </c>
      <c r="G52" s="177">
        <v>1006.35</v>
      </c>
      <c r="H52" s="177">
        <v>1017.04</v>
      </c>
      <c r="I52" s="178">
        <v>1126.92</v>
      </c>
      <c r="J52" s="177">
        <v>785.2</v>
      </c>
      <c r="K52" s="177">
        <v>1536.13</v>
      </c>
      <c r="L52" s="178">
        <v>1310.15</v>
      </c>
      <c r="M52" s="177">
        <v>1660.6</v>
      </c>
      <c r="N52" s="177">
        <v>1797.38</v>
      </c>
      <c r="O52" s="177">
        <v>1268.69</v>
      </c>
      <c r="P52" s="177">
        <v>1247.66</v>
      </c>
      <c r="Q52" s="177">
        <v>458.6</v>
      </c>
      <c r="R52" s="138"/>
      <c r="S52" s="138"/>
      <c r="T52" s="138"/>
      <c r="U52" s="138"/>
      <c r="V52" s="138"/>
      <c r="W52" s="138"/>
      <c r="X52" s="138"/>
      <c r="Y52" s="138"/>
      <c r="Z52" s="138"/>
    </row>
    <row r="53" ht="12.75" customHeight="1">
      <c r="A53" s="5">
        <v>51.0</v>
      </c>
      <c r="B53" s="181">
        <v>629.73</v>
      </c>
      <c r="C53" s="181">
        <v>715.89</v>
      </c>
      <c r="D53" s="186">
        <v>715.72</v>
      </c>
      <c r="E53" s="186">
        <v>1044.62</v>
      </c>
      <c r="F53" s="187">
        <v>1917.92</v>
      </c>
      <c r="G53" s="186">
        <v>1008.1</v>
      </c>
      <c r="H53" s="186">
        <v>1018.81</v>
      </c>
      <c r="I53" s="188">
        <v>1131.06</v>
      </c>
      <c r="J53" s="186">
        <v>830.75</v>
      </c>
      <c r="K53" s="186">
        <v>1539.01</v>
      </c>
      <c r="L53" s="188">
        <v>1327.37</v>
      </c>
      <c r="M53" s="186">
        <v>1883.84</v>
      </c>
      <c r="N53" s="186">
        <v>1805.52</v>
      </c>
      <c r="O53" s="186">
        <v>1269.44</v>
      </c>
      <c r="P53" s="186">
        <v>1396.88</v>
      </c>
      <c r="Q53" s="186">
        <v>475.9</v>
      </c>
      <c r="R53" s="138"/>
      <c r="S53" s="138"/>
      <c r="T53" s="138"/>
      <c r="U53" s="138"/>
      <c r="V53" s="138"/>
      <c r="W53" s="138"/>
      <c r="X53" s="138"/>
      <c r="Y53" s="138"/>
      <c r="Z53" s="138"/>
    </row>
    <row r="54" ht="12.75" customHeight="1">
      <c r="A54" s="5">
        <v>52.0</v>
      </c>
      <c r="B54" s="185">
        <v>630.04</v>
      </c>
      <c r="C54" s="185">
        <v>724.16</v>
      </c>
      <c r="D54" s="186">
        <v>717.12</v>
      </c>
      <c r="E54" s="186">
        <v>1057.28</v>
      </c>
      <c r="F54" s="187">
        <v>1922.77</v>
      </c>
      <c r="G54" s="186">
        <v>1008.96</v>
      </c>
      <c r="H54" s="186">
        <v>1035.19</v>
      </c>
      <c r="I54" s="188">
        <v>1135.47</v>
      </c>
      <c r="J54" s="186">
        <v>839.04</v>
      </c>
      <c r="K54" s="186">
        <v>1596.22</v>
      </c>
      <c r="L54" s="188">
        <v>1329.1</v>
      </c>
      <c r="M54" s="186">
        <v>1906.17</v>
      </c>
      <c r="N54" s="186">
        <v>1963.74</v>
      </c>
      <c r="O54" s="186">
        <v>1271.88</v>
      </c>
      <c r="P54" s="186">
        <v>1411.81</v>
      </c>
      <c r="Q54" s="186">
        <v>485.5</v>
      </c>
      <c r="R54" s="138"/>
      <c r="S54" s="138"/>
      <c r="T54" s="138"/>
      <c r="U54" s="138"/>
      <c r="V54" s="138"/>
      <c r="W54" s="138"/>
      <c r="X54" s="138"/>
      <c r="Y54" s="138"/>
      <c r="Z54" s="138"/>
    </row>
    <row r="55" ht="12.75" customHeight="1">
      <c r="A55" s="5">
        <v>53.0</v>
      </c>
      <c r="B55" s="185">
        <v>630.33</v>
      </c>
      <c r="C55" s="185">
        <v>729.14</v>
      </c>
      <c r="D55" s="186">
        <v>744.86</v>
      </c>
      <c r="E55" s="186">
        <v>1058.55</v>
      </c>
      <c r="F55" s="187">
        <v>1923.26</v>
      </c>
      <c r="G55" s="186">
        <v>1026.0</v>
      </c>
      <c r="H55" s="186">
        <v>1036.84</v>
      </c>
      <c r="I55" s="188">
        <v>1196.61</v>
      </c>
      <c r="J55" s="186">
        <v>839.88</v>
      </c>
      <c r="K55" s="186">
        <v>1602.05</v>
      </c>
      <c r="L55" s="188">
        <v>1363.68</v>
      </c>
      <c r="M55" s="186">
        <v>1916.84</v>
      </c>
      <c r="N55" s="186">
        <v>1979.57</v>
      </c>
      <c r="O55" s="186">
        <v>1320.47</v>
      </c>
      <c r="P55" s="186">
        <v>1467.36</v>
      </c>
      <c r="Q55" s="186">
        <v>493.65</v>
      </c>
      <c r="R55" s="138"/>
      <c r="S55" s="138"/>
      <c r="T55" s="138"/>
      <c r="U55" s="138"/>
      <c r="V55" s="138"/>
      <c r="W55" s="138"/>
      <c r="X55" s="138"/>
      <c r="Y55" s="138"/>
      <c r="Z55" s="138"/>
    </row>
    <row r="56" ht="12.75" customHeight="1">
      <c r="A56" s="5">
        <v>54.0</v>
      </c>
      <c r="B56" s="185">
        <v>630.63</v>
      </c>
      <c r="C56" s="185">
        <v>735.23</v>
      </c>
      <c r="D56" s="186">
        <v>752.29</v>
      </c>
      <c r="E56" s="186">
        <v>1079.9</v>
      </c>
      <c r="F56" s="187">
        <v>1925.54</v>
      </c>
      <c r="G56" s="186">
        <v>1042.13</v>
      </c>
      <c r="H56" s="186">
        <v>1037.9</v>
      </c>
      <c r="I56" s="188">
        <v>1202.73</v>
      </c>
      <c r="J56" s="186">
        <v>840.18</v>
      </c>
      <c r="K56" s="186">
        <v>1622.08</v>
      </c>
      <c r="L56" s="188">
        <v>1367.14</v>
      </c>
      <c r="M56" s="186">
        <v>1919.07</v>
      </c>
      <c r="N56" s="186">
        <v>1981.16</v>
      </c>
      <c r="O56" s="186">
        <v>1325.33</v>
      </c>
      <c r="P56" s="186">
        <v>1472.92</v>
      </c>
      <c r="Q56" s="186">
        <v>502.9</v>
      </c>
      <c r="R56" s="138"/>
      <c r="S56" s="138"/>
      <c r="T56" s="138"/>
      <c r="U56" s="138"/>
      <c r="V56" s="138"/>
      <c r="W56" s="138"/>
      <c r="X56" s="138"/>
      <c r="Y56" s="138"/>
      <c r="Z56" s="138"/>
    </row>
    <row r="57" ht="12.75" customHeight="1">
      <c r="A57" s="5">
        <v>55.0</v>
      </c>
      <c r="B57" s="189">
        <v>630.94</v>
      </c>
      <c r="C57" s="189">
        <v>742.29</v>
      </c>
      <c r="D57" s="190">
        <v>759.76</v>
      </c>
      <c r="E57" s="190">
        <v>1096.78</v>
      </c>
      <c r="F57" s="191">
        <v>1958.4</v>
      </c>
      <c r="G57" s="190">
        <v>1058.33</v>
      </c>
      <c r="H57" s="190">
        <v>1058.1</v>
      </c>
      <c r="I57" s="192">
        <v>1204.36</v>
      </c>
      <c r="J57" s="190">
        <v>844.92</v>
      </c>
      <c r="K57" s="190">
        <v>1652.8</v>
      </c>
      <c r="L57" s="192">
        <v>1367.49</v>
      </c>
      <c r="M57" s="190">
        <v>1963.56</v>
      </c>
      <c r="N57" s="190">
        <v>1981.43</v>
      </c>
      <c r="O57" s="190">
        <v>1354.98</v>
      </c>
      <c r="P57" s="190">
        <v>1483.06</v>
      </c>
      <c r="Q57" s="190">
        <v>510.7</v>
      </c>
      <c r="R57" s="138"/>
      <c r="S57" s="138"/>
      <c r="T57" s="138"/>
      <c r="U57" s="138"/>
      <c r="V57" s="138"/>
      <c r="W57" s="138"/>
      <c r="X57" s="138"/>
      <c r="Y57" s="138"/>
      <c r="Z57" s="138"/>
    </row>
    <row r="58" ht="12.75" customHeight="1">
      <c r="A58" s="5">
        <v>56.0</v>
      </c>
      <c r="B58" s="169">
        <v>631.25</v>
      </c>
      <c r="C58" s="169">
        <v>749.34</v>
      </c>
      <c r="D58" s="173">
        <v>767.24</v>
      </c>
      <c r="E58" s="173">
        <v>1113.66</v>
      </c>
      <c r="F58" s="176">
        <v>1991.26</v>
      </c>
      <c r="G58" s="173">
        <v>1074.52</v>
      </c>
      <c r="H58" s="173">
        <v>1078.31</v>
      </c>
      <c r="I58" s="174">
        <v>1205.99</v>
      </c>
      <c r="J58" s="173">
        <v>849.66</v>
      </c>
      <c r="K58" s="173">
        <v>1683.51</v>
      </c>
      <c r="L58" s="174">
        <v>1367.84</v>
      </c>
      <c r="M58" s="173">
        <v>2008.05</v>
      </c>
      <c r="N58" s="173">
        <v>1981.69</v>
      </c>
      <c r="O58" s="173">
        <v>1384.64</v>
      </c>
      <c r="P58" s="173">
        <v>1493.21</v>
      </c>
      <c r="Q58" s="173">
        <v>518.85</v>
      </c>
      <c r="R58" s="138"/>
      <c r="S58" s="138"/>
      <c r="T58" s="138"/>
      <c r="U58" s="138"/>
      <c r="V58" s="138"/>
      <c r="W58" s="138"/>
      <c r="X58" s="138"/>
      <c r="Y58" s="138"/>
      <c r="Z58" s="138"/>
    </row>
    <row r="59" ht="12.75" customHeight="1">
      <c r="A59" s="5">
        <v>57.0</v>
      </c>
      <c r="B59" s="173">
        <v>631.56</v>
      </c>
      <c r="C59" s="173">
        <v>756.4</v>
      </c>
      <c r="D59" s="173">
        <v>774.71</v>
      </c>
      <c r="E59" s="173">
        <v>1130.54</v>
      </c>
      <c r="F59" s="176">
        <v>2024.13</v>
      </c>
      <c r="G59" s="173">
        <v>1090.72</v>
      </c>
      <c r="H59" s="173">
        <v>1098.51</v>
      </c>
      <c r="I59" s="174">
        <v>1207.62</v>
      </c>
      <c r="J59" s="173">
        <v>854.4</v>
      </c>
      <c r="K59" s="173">
        <v>1714.22</v>
      </c>
      <c r="L59" s="174">
        <v>1368.2</v>
      </c>
      <c r="M59" s="173">
        <v>2052.54</v>
      </c>
      <c r="N59" s="173">
        <v>1981.95</v>
      </c>
      <c r="O59" s="173">
        <v>1414.29</v>
      </c>
      <c r="P59" s="173">
        <v>1503.35</v>
      </c>
      <c r="Q59" s="173">
        <v>527.4</v>
      </c>
      <c r="R59" s="138"/>
      <c r="S59" s="138"/>
      <c r="T59" s="138"/>
      <c r="U59" s="138"/>
      <c r="V59" s="138"/>
      <c r="W59" s="138"/>
      <c r="X59" s="138"/>
      <c r="Y59" s="138"/>
      <c r="Z59" s="138"/>
    </row>
    <row r="60" ht="12.75" customHeight="1">
      <c r="A60" s="5">
        <v>58.0</v>
      </c>
      <c r="B60" s="173">
        <v>631.87</v>
      </c>
      <c r="C60" s="173">
        <v>763.45</v>
      </c>
      <c r="D60" s="173">
        <v>782.19</v>
      </c>
      <c r="E60" s="173">
        <v>1147.42</v>
      </c>
      <c r="F60" s="176">
        <v>2056.99</v>
      </c>
      <c r="G60" s="173">
        <v>1106.91</v>
      </c>
      <c r="H60" s="173">
        <v>1118.71</v>
      </c>
      <c r="I60" s="174">
        <v>1209.26</v>
      </c>
      <c r="J60" s="173">
        <v>859.15</v>
      </c>
      <c r="K60" s="173">
        <v>1744.93</v>
      </c>
      <c r="L60" s="174">
        <v>1368.55</v>
      </c>
      <c r="M60" s="173">
        <v>2097.03</v>
      </c>
      <c r="N60" s="173">
        <v>1982.22</v>
      </c>
      <c r="O60" s="173">
        <v>1443.95</v>
      </c>
      <c r="P60" s="173">
        <v>1513.5</v>
      </c>
      <c r="Q60" s="173">
        <v>536.65</v>
      </c>
      <c r="R60" s="138"/>
      <c r="S60" s="138"/>
      <c r="T60" s="138"/>
      <c r="U60" s="138"/>
      <c r="V60" s="138"/>
      <c r="W60" s="138"/>
      <c r="X60" s="138"/>
      <c r="Y60" s="138"/>
      <c r="Z60" s="138"/>
    </row>
    <row r="61" ht="12.75" customHeight="1">
      <c r="A61" s="5">
        <v>59.0</v>
      </c>
      <c r="B61" s="173">
        <v>635.43</v>
      </c>
      <c r="C61" s="173">
        <v>764.29</v>
      </c>
      <c r="D61" s="173">
        <v>783.09</v>
      </c>
      <c r="E61" s="173">
        <v>1160.88</v>
      </c>
      <c r="F61" s="176">
        <v>2172.15</v>
      </c>
      <c r="G61" s="173">
        <v>1109.44</v>
      </c>
      <c r="H61" s="173">
        <v>1132.99</v>
      </c>
      <c r="I61" s="174">
        <v>1241.87</v>
      </c>
      <c r="J61" s="173">
        <v>860.88</v>
      </c>
      <c r="K61" s="173">
        <v>1767.76</v>
      </c>
      <c r="L61" s="174">
        <v>1368.83</v>
      </c>
      <c r="M61" s="173">
        <v>2101.49</v>
      </c>
      <c r="N61" s="173">
        <v>1987.51</v>
      </c>
      <c r="O61" s="173">
        <v>1449.8</v>
      </c>
      <c r="P61" s="173">
        <v>1568.99</v>
      </c>
      <c r="Q61" s="173">
        <v>538.95</v>
      </c>
      <c r="R61" s="138"/>
      <c r="S61" s="138"/>
      <c r="T61" s="138"/>
      <c r="U61" s="138"/>
      <c r="V61" s="138"/>
      <c r="W61" s="138"/>
      <c r="X61" s="138"/>
      <c r="Y61" s="138"/>
      <c r="Z61" s="138"/>
    </row>
    <row r="62" ht="12.75" customHeight="1">
      <c r="A62" s="5">
        <v>60.0</v>
      </c>
      <c r="B62" s="177">
        <v>698.63</v>
      </c>
      <c r="C62" s="177">
        <v>780.55</v>
      </c>
      <c r="D62" s="177">
        <v>783.87</v>
      </c>
      <c r="E62" s="177">
        <v>1162.24</v>
      </c>
      <c r="F62" s="179">
        <v>2200.74</v>
      </c>
      <c r="G62" s="177">
        <v>1148.82</v>
      </c>
      <c r="H62" s="177">
        <v>1162.1</v>
      </c>
      <c r="I62" s="178">
        <v>1278.02</v>
      </c>
      <c r="J62" s="177">
        <v>861.25</v>
      </c>
      <c r="K62" s="177">
        <v>1828.33</v>
      </c>
      <c r="L62" s="178">
        <v>1371.52</v>
      </c>
      <c r="M62" s="177">
        <v>2103.17</v>
      </c>
      <c r="N62" s="177">
        <v>1997.67</v>
      </c>
      <c r="O62" s="177">
        <v>1565.96</v>
      </c>
      <c r="P62" s="177">
        <v>1582.95</v>
      </c>
      <c r="Q62" s="177">
        <v>552.75</v>
      </c>
      <c r="R62" s="138"/>
      <c r="S62" s="138"/>
      <c r="T62" s="138"/>
      <c r="U62" s="138"/>
      <c r="V62" s="138"/>
      <c r="W62" s="138"/>
      <c r="X62" s="138"/>
      <c r="Y62" s="138"/>
      <c r="Z62" s="138"/>
    </row>
    <row r="63" ht="12.75" customHeight="1">
      <c r="A63" s="5">
        <v>61.0</v>
      </c>
      <c r="B63" s="181">
        <v>705.18</v>
      </c>
      <c r="C63" s="181">
        <v>783.98</v>
      </c>
      <c r="D63" s="186">
        <v>797.85</v>
      </c>
      <c r="E63" s="186">
        <v>1162.6</v>
      </c>
      <c r="F63" s="187">
        <v>2203.6</v>
      </c>
      <c r="G63" s="186">
        <v>1152.77</v>
      </c>
      <c r="H63" s="186">
        <v>1165.09</v>
      </c>
      <c r="I63" s="188">
        <v>1284.93</v>
      </c>
      <c r="J63" s="182">
        <v>863.73</v>
      </c>
      <c r="K63" s="182">
        <v>1869.02</v>
      </c>
      <c r="L63" s="188">
        <v>1425.14</v>
      </c>
      <c r="M63" s="182">
        <v>2103.45</v>
      </c>
      <c r="N63" s="182">
        <v>1998.7</v>
      </c>
      <c r="O63" s="182">
        <v>1579.43</v>
      </c>
      <c r="P63" s="182">
        <v>1584.35</v>
      </c>
      <c r="Q63" s="182">
        <v>565.0</v>
      </c>
      <c r="R63" s="138"/>
      <c r="S63" s="138"/>
      <c r="T63" s="138"/>
      <c r="U63" s="138"/>
      <c r="V63" s="138"/>
      <c r="W63" s="138"/>
      <c r="X63" s="138"/>
      <c r="Y63" s="138"/>
      <c r="Z63" s="138"/>
    </row>
    <row r="64" ht="12.75" customHeight="1">
      <c r="A64" s="5">
        <v>62.0</v>
      </c>
      <c r="B64" s="185">
        <v>714.89</v>
      </c>
      <c r="C64" s="185">
        <v>794.82</v>
      </c>
      <c r="D64" s="186">
        <v>799.25</v>
      </c>
      <c r="E64" s="186">
        <v>1165.13</v>
      </c>
      <c r="F64" s="187">
        <v>2203.89</v>
      </c>
      <c r="G64" s="186">
        <v>1180.09</v>
      </c>
      <c r="H64" s="186">
        <v>1192.61</v>
      </c>
      <c r="I64" s="188">
        <v>1285.63</v>
      </c>
      <c r="J64" s="186">
        <v>913.08</v>
      </c>
      <c r="K64" s="186">
        <v>1879.01</v>
      </c>
      <c r="L64" s="188">
        <v>1430.51</v>
      </c>
      <c r="M64" s="186">
        <v>2103.72</v>
      </c>
      <c r="N64" s="186">
        <v>1999.12</v>
      </c>
      <c r="O64" s="186">
        <v>1580.78</v>
      </c>
      <c r="P64" s="186">
        <v>1584.63</v>
      </c>
      <c r="Q64" s="186">
        <v>573.85</v>
      </c>
      <c r="R64" s="138"/>
      <c r="S64" s="138"/>
      <c r="T64" s="138"/>
      <c r="U64" s="138"/>
      <c r="V64" s="138"/>
      <c r="W64" s="138"/>
      <c r="X64" s="138"/>
      <c r="Y64" s="138"/>
      <c r="Z64" s="138"/>
    </row>
    <row r="65" ht="12.75" customHeight="1">
      <c r="A65" s="5">
        <v>63.0</v>
      </c>
      <c r="B65" s="185">
        <v>717.05</v>
      </c>
      <c r="C65" s="185">
        <v>798.91</v>
      </c>
      <c r="D65" s="186">
        <v>799.56</v>
      </c>
      <c r="E65" s="186">
        <v>1215.15</v>
      </c>
      <c r="F65" s="187">
        <v>2204.26</v>
      </c>
      <c r="G65" s="186">
        <v>1182.85</v>
      </c>
      <c r="H65" s="187">
        <v>1195.44</v>
      </c>
      <c r="I65" s="188">
        <v>1285.95</v>
      </c>
      <c r="J65" s="186">
        <v>918.03</v>
      </c>
      <c r="K65" s="186">
        <v>1883.5</v>
      </c>
      <c r="L65" s="188">
        <v>1436.22</v>
      </c>
      <c r="M65" s="186">
        <v>2103.98</v>
      </c>
      <c r="N65" s="186">
        <v>2007.41</v>
      </c>
      <c r="O65" s="186">
        <v>1583.8</v>
      </c>
      <c r="P65" s="186">
        <v>1584.94</v>
      </c>
      <c r="Q65" s="186">
        <v>583.15</v>
      </c>
      <c r="R65" s="138"/>
      <c r="S65" s="138"/>
      <c r="T65" s="138"/>
      <c r="U65" s="138"/>
      <c r="V65" s="138"/>
      <c r="W65" s="138"/>
      <c r="X65" s="138"/>
      <c r="Y65" s="138"/>
      <c r="Z65" s="138"/>
    </row>
    <row r="66" ht="12.75" customHeight="1">
      <c r="A66" s="5">
        <v>64.0</v>
      </c>
      <c r="B66" s="185">
        <v>717.54</v>
      </c>
      <c r="C66" s="185">
        <v>806.84</v>
      </c>
      <c r="D66" s="186">
        <v>799.89</v>
      </c>
      <c r="E66" s="186">
        <v>1220.16</v>
      </c>
      <c r="F66" s="187">
        <v>2204.53</v>
      </c>
      <c r="G66" s="186">
        <v>1210.22</v>
      </c>
      <c r="H66" s="187">
        <v>1223.08</v>
      </c>
      <c r="I66" s="188">
        <v>1286.21</v>
      </c>
      <c r="J66" s="186">
        <v>966.88</v>
      </c>
      <c r="K66" s="186">
        <v>1970.78</v>
      </c>
      <c r="L66" s="188">
        <v>1550.37</v>
      </c>
      <c r="M66" s="186">
        <v>2108.94</v>
      </c>
      <c r="N66" s="186">
        <v>2141.05</v>
      </c>
      <c r="O66" s="186">
        <v>1586.84</v>
      </c>
      <c r="P66" s="186">
        <v>1585.2</v>
      </c>
      <c r="Q66" s="186">
        <v>592.55</v>
      </c>
      <c r="R66" s="138"/>
      <c r="S66" s="138"/>
      <c r="T66" s="138"/>
      <c r="U66" s="138"/>
      <c r="V66" s="138"/>
      <c r="W66" s="138"/>
      <c r="X66" s="138"/>
      <c r="Y66" s="138"/>
      <c r="Z66" s="138"/>
    </row>
    <row r="67" ht="12.75" customHeight="1">
      <c r="A67" s="5">
        <v>65.0</v>
      </c>
      <c r="B67" s="189">
        <v>717.92</v>
      </c>
      <c r="C67" s="189">
        <v>807.65</v>
      </c>
      <c r="D67" s="190">
        <v>800.66</v>
      </c>
      <c r="E67" s="190">
        <v>1223.11</v>
      </c>
      <c r="F67" s="191">
        <v>2204.85</v>
      </c>
      <c r="G67" s="190">
        <v>1213.0</v>
      </c>
      <c r="H67" s="191">
        <v>1225.85</v>
      </c>
      <c r="I67" s="192">
        <v>1289.31</v>
      </c>
      <c r="J67" s="190">
        <v>971.77</v>
      </c>
      <c r="K67" s="190">
        <v>1985.13</v>
      </c>
      <c r="L67" s="192">
        <v>1562.25</v>
      </c>
      <c r="M67" s="190">
        <v>2205.71</v>
      </c>
      <c r="N67" s="190">
        <v>2185.26</v>
      </c>
      <c r="O67" s="190">
        <v>1647.56</v>
      </c>
      <c r="P67" s="190">
        <v>1585.47</v>
      </c>
      <c r="Q67" s="190">
        <v>592.75</v>
      </c>
      <c r="R67" s="138"/>
      <c r="S67" s="138"/>
      <c r="T67" s="138"/>
      <c r="U67" s="138"/>
      <c r="V67" s="138"/>
      <c r="W67" s="138"/>
      <c r="X67" s="138"/>
      <c r="Y67" s="138"/>
      <c r="Z67" s="138"/>
    </row>
    <row r="68" ht="12.75" customHeight="1">
      <c r="A68" s="5">
        <v>66.0</v>
      </c>
      <c r="B68" s="169">
        <v>718.21</v>
      </c>
      <c r="C68" s="169">
        <v>819.66</v>
      </c>
      <c r="D68" s="173">
        <v>815.91</v>
      </c>
      <c r="E68" s="173">
        <v>1282.11</v>
      </c>
      <c r="F68" s="176">
        <v>2210.18</v>
      </c>
      <c r="G68" s="173">
        <v>1240.26</v>
      </c>
      <c r="H68" s="176">
        <v>1230.14</v>
      </c>
      <c r="I68" s="174">
        <v>1351.11</v>
      </c>
      <c r="J68" s="173">
        <v>972.38</v>
      </c>
      <c r="K68" s="173">
        <v>1986.57</v>
      </c>
      <c r="L68" s="174">
        <v>1563.46</v>
      </c>
      <c r="M68" s="173">
        <v>2215.41</v>
      </c>
      <c r="N68" s="173">
        <v>2189.69</v>
      </c>
      <c r="O68" s="173">
        <v>1653.65</v>
      </c>
      <c r="P68" s="173">
        <v>1585.93</v>
      </c>
      <c r="Q68" s="173">
        <v>603.25</v>
      </c>
      <c r="R68" s="138"/>
      <c r="S68" s="138"/>
      <c r="T68" s="138"/>
      <c r="U68" s="138"/>
      <c r="V68" s="138"/>
      <c r="W68" s="138"/>
      <c r="X68" s="138"/>
      <c r="Y68" s="138"/>
      <c r="Z68" s="138"/>
    </row>
    <row r="69" ht="12.75" customHeight="1">
      <c r="A69" s="5">
        <v>67.0</v>
      </c>
      <c r="B69" s="173">
        <v>718.56</v>
      </c>
      <c r="C69" s="173">
        <v>827.96</v>
      </c>
      <c r="D69" s="173">
        <v>829.48</v>
      </c>
      <c r="E69" s="173">
        <v>1288.12</v>
      </c>
      <c r="F69" s="176">
        <v>2254.43</v>
      </c>
      <c r="G69" s="173">
        <v>1243.1</v>
      </c>
      <c r="H69" s="176">
        <v>1232.64</v>
      </c>
      <c r="I69" s="174">
        <v>1377.11</v>
      </c>
      <c r="J69" s="173">
        <v>982.19</v>
      </c>
      <c r="K69" s="173">
        <v>1999.41</v>
      </c>
      <c r="L69" s="174">
        <v>1563.75</v>
      </c>
      <c r="M69" s="173">
        <v>2245.81</v>
      </c>
      <c r="N69" s="173">
        <v>2198.88</v>
      </c>
      <c r="O69" s="173">
        <v>1654.41</v>
      </c>
      <c r="P69" s="173">
        <v>1594.93</v>
      </c>
      <c r="Q69" s="173">
        <v>621.8</v>
      </c>
      <c r="R69" s="138"/>
      <c r="S69" s="138"/>
      <c r="T69" s="138"/>
      <c r="U69" s="138"/>
      <c r="V69" s="138"/>
      <c r="W69" s="138"/>
      <c r="X69" s="138"/>
      <c r="Y69" s="138"/>
      <c r="Z69" s="138"/>
    </row>
    <row r="70" ht="12.75" customHeight="1">
      <c r="A70" s="5">
        <v>68.0</v>
      </c>
      <c r="B70" s="173">
        <v>718.85</v>
      </c>
      <c r="C70" s="173">
        <v>831.23</v>
      </c>
      <c r="D70" s="173">
        <v>855.6</v>
      </c>
      <c r="E70" s="173">
        <v>1316.35</v>
      </c>
      <c r="F70" s="176">
        <v>2323.14</v>
      </c>
      <c r="G70" s="173">
        <v>1270.39</v>
      </c>
      <c r="H70" s="176">
        <v>1281.72</v>
      </c>
      <c r="I70" s="174">
        <v>1379.71</v>
      </c>
      <c r="J70" s="173">
        <v>988.31</v>
      </c>
      <c r="K70" s="173">
        <v>2001.79</v>
      </c>
      <c r="L70" s="174">
        <v>1564.02</v>
      </c>
      <c r="M70" s="173">
        <v>2393.56</v>
      </c>
      <c r="N70" s="173">
        <v>2299.76</v>
      </c>
      <c r="O70" s="173">
        <v>1656.03</v>
      </c>
      <c r="P70" s="173">
        <v>1774.89</v>
      </c>
      <c r="Q70" s="173">
        <v>623.4</v>
      </c>
      <c r="R70" s="138"/>
      <c r="S70" s="138"/>
      <c r="T70" s="138"/>
      <c r="U70" s="138"/>
      <c r="V70" s="138"/>
      <c r="W70" s="138"/>
      <c r="X70" s="138"/>
      <c r="Y70" s="138"/>
      <c r="Z70" s="138"/>
    </row>
    <row r="71" ht="12.75" customHeight="1">
      <c r="A71" s="5">
        <v>69.0</v>
      </c>
      <c r="B71" s="173">
        <v>719.15</v>
      </c>
      <c r="C71" s="173">
        <v>831.57</v>
      </c>
      <c r="D71" s="173">
        <v>859.46</v>
      </c>
      <c r="E71" s="173">
        <v>1319.18</v>
      </c>
      <c r="F71" s="176">
        <v>2330.02</v>
      </c>
      <c r="G71" s="173">
        <v>1273.18</v>
      </c>
      <c r="H71" s="176">
        <v>1286.68</v>
      </c>
      <c r="I71" s="174">
        <v>1379.98</v>
      </c>
      <c r="J71" s="173">
        <v>1029.31</v>
      </c>
      <c r="K71" s="173">
        <v>2049.28</v>
      </c>
      <c r="L71" s="174">
        <v>1564.31</v>
      </c>
      <c r="M71" s="173">
        <v>2408.34</v>
      </c>
      <c r="N71" s="173">
        <v>2312.95</v>
      </c>
      <c r="O71" s="173">
        <v>1687.95</v>
      </c>
      <c r="P71" s="173">
        <v>1792.89</v>
      </c>
      <c r="Q71" s="173">
        <v>642.75</v>
      </c>
      <c r="R71" s="138"/>
      <c r="S71" s="138"/>
      <c r="T71" s="138"/>
      <c r="U71" s="138"/>
      <c r="V71" s="138"/>
      <c r="W71" s="138"/>
      <c r="X71" s="138"/>
      <c r="Y71" s="138"/>
      <c r="Z71" s="138"/>
    </row>
    <row r="72" ht="12.75" customHeight="1">
      <c r="A72" s="5">
        <v>70.0</v>
      </c>
      <c r="B72" s="177">
        <v>719.46</v>
      </c>
      <c r="C72" s="177">
        <v>831.87</v>
      </c>
      <c r="D72" s="177">
        <v>870.76</v>
      </c>
      <c r="E72" s="177">
        <v>1347.59</v>
      </c>
      <c r="F72" s="179">
        <v>2367.09</v>
      </c>
      <c r="G72" s="177">
        <v>1300.48</v>
      </c>
      <c r="H72" s="179">
        <v>1314.28</v>
      </c>
      <c r="I72" s="178">
        <v>1383.46</v>
      </c>
      <c r="J72" s="177">
        <v>1033.42</v>
      </c>
      <c r="K72" s="177">
        <v>2117.52</v>
      </c>
      <c r="L72" s="178">
        <v>1564.77</v>
      </c>
      <c r="M72" s="177">
        <v>2409.84</v>
      </c>
      <c r="N72" s="177">
        <v>2314.28</v>
      </c>
      <c r="O72" s="177">
        <v>1717.85</v>
      </c>
      <c r="P72" s="177">
        <v>1821.52</v>
      </c>
      <c r="Q72" s="177">
        <v>651.35</v>
      </c>
      <c r="R72" s="138"/>
      <c r="S72" s="138"/>
      <c r="T72" s="138"/>
      <c r="U72" s="138"/>
      <c r="V72" s="138"/>
      <c r="W72" s="138"/>
      <c r="X72" s="138"/>
      <c r="Y72" s="138"/>
      <c r="Z72" s="138"/>
    </row>
    <row r="73" ht="12.75" customHeight="1">
      <c r="A73" s="5">
        <v>71.0</v>
      </c>
      <c r="B73" s="167">
        <v>725.5</v>
      </c>
      <c r="C73" s="167">
        <v>832.92</v>
      </c>
      <c r="D73" s="167">
        <v>871.89</v>
      </c>
      <c r="E73" s="167">
        <v>1350.44</v>
      </c>
      <c r="F73" s="167">
        <v>2370.81</v>
      </c>
      <c r="G73" s="167">
        <v>1303.21</v>
      </c>
      <c r="H73" s="167">
        <v>1317.05</v>
      </c>
      <c r="I73" s="168">
        <v>1452.93</v>
      </c>
      <c r="J73" s="167">
        <v>1033.84</v>
      </c>
      <c r="K73" s="167">
        <v>2138.0</v>
      </c>
      <c r="L73" s="168">
        <v>1573.77</v>
      </c>
      <c r="M73" s="167">
        <v>2410.11</v>
      </c>
      <c r="N73" s="167">
        <v>2314.57</v>
      </c>
      <c r="O73" s="167">
        <v>1720.84</v>
      </c>
      <c r="P73" s="167">
        <v>1824.39</v>
      </c>
      <c r="Q73" s="167">
        <v>663.3</v>
      </c>
      <c r="R73" s="138"/>
      <c r="S73" s="138"/>
      <c r="T73" s="138"/>
      <c r="U73" s="138"/>
      <c r="V73" s="138"/>
      <c r="W73" s="138"/>
      <c r="X73" s="138"/>
      <c r="Y73" s="138"/>
      <c r="Z73" s="138"/>
    </row>
    <row r="74" ht="12.75" customHeight="1">
      <c r="A74" s="5">
        <v>72.0</v>
      </c>
      <c r="B74" s="169">
        <v>727.06</v>
      </c>
      <c r="C74" s="169">
        <v>853.54</v>
      </c>
      <c r="D74" s="170">
        <v>872.27</v>
      </c>
      <c r="E74" s="170">
        <v>1376.41</v>
      </c>
      <c r="F74" s="170">
        <v>2375.19</v>
      </c>
      <c r="G74" s="170">
        <v>1309.88</v>
      </c>
      <c r="H74" s="170">
        <v>1319.95</v>
      </c>
      <c r="I74" s="170">
        <v>1460.23</v>
      </c>
      <c r="J74" s="170">
        <v>1034.15</v>
      </c>
      <c r="K74" s="170">
        <v>2157.88</v>
      </c>
      <c r="L74" s="170">
        <v>1753.71</v>
      </c>
      <c r="M74" s="170">
        <v>2410.37</v>
      </c>
      <c r="N74" s="170">
        <v>2314.83</v>
      </c>
      <c r="O74" s="170">
        <v>1725.18</v>
      </c>
      <c r="P74" s="170">
        <v>1824.68</v>
      </c>
      <c r="Q74" s="170">
        <v>663.45</v>
      </c>
      <c r="R74" s="138"/>
      <c r="S74" s="138"/>
      <c r="T74" s="138"/>
      <c r="U74" s="138"/>
      <c r="V74" s="138"/>
      <c r="W74" s="138"/>
      <c r="X74" s="138"/>
      <c r="Y74" s="138"/>
      <c r="Z74" s="138"/>
    </row>
    <row r="75" ht="12.75" customHeight="1">
      <c r="A75" s="5">
        <v>73.0</v>
      </c>
      <c r="B75" s="173">
        <v>746.19</v>
      </c>
      <c r="C75" s="173">
        <v>869.4</v>
      </c>
      <c r="D75" s="174">
        <v>872.68</v>
      </c>
      <c r="E75" s="174">
        <v>1379.01</v>
      </c>
      <c r="F75" s="174">
        <v>2396.64</v>
      </c>
      <c r="G75" s="174">
        <v>1337.34</v>
      </c>
      <c r="H75" s="173">
        <v>1320.59</v>
      </c>
      <c r="I75" s="175">
        <v>1563.47</v>
      </c>
      <c r="J75" s="173">
        <v>1034.45</v>
      </c>
      <c r="K75" s="173">
        <v>2188.91</v>
      </c>
      <c r="L75" s="175">
        <v>1777.12</v>
      </c>
      <c r="M75" s="173">
        <v>2414.17</v>
      </c>
      <c r="N75" s="173">
        <v>2319.95</v>
      </c>
      <c r="O75" s="173">
        <v>1758.01</v>
      </c>
      <c r="P75" s="173">
        <v>1824.95</v>
      </c>
      <c r="Q75" s="173">
        <v>674.7</v>
      </c>
      <c r="R75" s="34"/>
      <c r="S75" s="34"/>
      <c r="T75" s="34"/>
      <c r="U75" s="34"/>
      <c r="V75" s="34"/>
      <c r="W75" s="34"/>
      <c r="X75" s="34"/>
      <c r="Y75" s="34"/>
      <c r="Z75" s="34"/>
    </row>
    <row r="76" ht="12.75" customHeight="1">
      <c r="A76" s="5">
        <v>74.0</v>
      </c>
      <c r="B76" s="173">
        <v>748.11</v>
      </c>
      <c r="C76" s="173">
        <v>874.61</v>
      </c>
      <c r="D76" s="174">
        <v>872.95</v>
      </c>
      <c r="E76" s="173">
        <v>1407.41</v>
      </c>
      <c r="F76" s="175">
        <v>2405.17</v>
      </c>
      <c r="G76" s="174">
        <v>1358.28</v>
      </c>
      <c r="H76" s="174">
        <v>1323.21</v>
      </c>
      <c r="I76" s="174">
        <v>1573.8</v>
      </c>
      <c r="J76" s="174">
        <v>1037.54</v>
      </c>
      <c r="K76" s="174">
        <v>2199.13</v>
      </c>
      <c r="L76" s="174">
        <v>1779.47</v>
      </c>
      <c r="M76" s="174">
        <v>2422.03</v>
      </c>
      <c r="N76" s="174">
        <v>2320.49</v>
      </c>
      <c r="O76" s="174">
        <v>1771.72</v>
      </c>
      <c r="P76" s="174">
        <v>1825.21</v>
      </c>
      <c r="Q76" s="174">
        <v>675.1</v>
      </c>
      <c r="R76" s="138"/>
      <c r="S76" s="138"/>
      <c r="T76" s="138"/>
      <c r="U76" s="138"/>
      <c r="V76" s="138"/>
      <c r="W76" s="138"/>
      <c r="X76" s="138"/>
      <c r="Y76" s="138"/>
      <c r="Z76" s="138"/>
    </row>
    <row r="77" ht="12.75" customHeight="1">
      <c r="A77" s="5">
        <v>75.0</v>
      </c>
      <c r="B77" s="177">
        <v>765.16</v>
      </c>
      <c r="C77" s="177">
        <v>882.59</v>
      </c>
      <c r="D77" s="178">
        <v>873.25</v>
      </c>
      <c r="E77" s="174">
        <v>1437.61</v>
      </c>
      <c r="F77" s="174">
        <v>2406.03</v>
      </c>
      <c r="G77" s="174">
        <v>1360.99</v>
      </c>
      <c r="H77" s="174">
        <v>1375.37</v>
      </c>
      <c r="I77" s="178">
        <v>1574.84</v>
      </c>
      <c r="J77" s="174">
        <v>1099.28</v>
      </c>
      <c r="K77" s="174">
        <v>2200.18</v>
      </c>
      <c r="L77" s="178">
        <v>1781.01</v>
      </c>
      <c r="M77" s="174">
        <v>2519.37</v>
      </c>
      <c r="N77" s="174">
        <v>2320.75</v>
      </c>
      <c r="O77" s="174">
        <v>1779.87</v>
      </c>
      <c r="P77" s="174">
        <v>1830.41</v>
      </c>
      <c r="Q77" s="174">
        <v>675.2</v>
      </c>
      <c r="R77" s="138"/>
      <c r="S77" s="138"/>
      <c r="T77" s="138"/>
      <c r="U77" s="138"/>
      <c r="V77" s="138"/>
      <c r="W77" s="138"/>
      <c r="X77" s="138"/>
      <c r="Y77" s="138"/>
      <c r="Z77" s="138"/>
    </row>
    <row r="78" ht="12.75" customHeight="1">
      <c r="A78" s="5">
        <v>76.0</v>
      </c>
      <c r="B78" s="181">
        <v>805.47</v>
      </c>
      <c r="C78" s="181">
        <v>883.46</v>
      </c>
      <c r="D78" s="182">
        <v>874.55</v>
      </c>
      <c r="E78" s="182">
        <v>1440.63</v>
      </c>
      <c r="F78" s="183">
        <v>2423.14</v>
      </c>
      <c r="G78" s="182">
        <v>1388.31</v>
      </c>
      <c r="H78" s="182">
        <v>1403.03</v>
      </c>
      <c r="I78" s="184">
        <v>1575.17</v>
      </c>
      <c r="J78" s="182">
        <v>1110.59</v>
      </c>
      <c r="K78" s="182">
        <v>2202.48</v>
      </c>
      <c r="L78" s="184">
        <v>1811.69</v>
      </c>
      <c r="M78" s="182">
        <v>2593.37</v>
      </c>
      <c r="N78" s="182">
        <v>2321.06</v>
      </c>
      <c r="O78" s="182">
        <v>1800.49</v>
      </c>
      <c r="P78" s="182">
        <v>1934.22</v>
      </c>
      <c r="Q78" s="182">
        <v>703.1</v>
      </c>
      <c r="R78" s="138"/>
      <c r="S78" s="138"/>
      <c r="T78" s="138"/>
      <c r="U78" s="138"/>
      <c r="V78" s="138"/>
      <c r="W78" s="138"/>
      <c r="X78" s="138"/>
      <c r="Y78" s="138"/>
      <c r="Z78" s="138"/>
    </row>
    <row r="79" ht="12.75" customHeight="1">
      <c r="A79" s="5">
        <v>77.0</v>
      </c>
      <c r="B79" s="185">
        <v>811.24</v>
      </c>
      <c r="C79" s="185">
        <v>894.08</v>
      </c>
      <c r="D79" s="186">
        <v>900.37</v>
      </c>
      <c r="E79" s="186">
        <v>1441.46</v>
      </c>
      <c r="F79" s="187">
        <v>2469.41</v>
      </c>
      <c r="G79" s="186">
        <v>1391.05</v>
      </c>
      <c r="H79" s="186">
        <v>1405.8</v>
      </c>
      <c r="I79" s="188">
        <v>1581.7</v>
      </c>
      <c r="J79" s="186">
        <v>1117.8</v>
      </c>
      <c r="K79" s="186">
        <v>2248.27</v>
      </c>
      <c r="L79" s="188">
        <v>1814.76</v>
      </c>
      <c r="M79" s="186">
        <v>2600.78</v>
      </c>
      <c r="N79" s="186">
        <v>2321.32</v>
      </c>
      <c r="O79" s="186">
        <v>1813.07</v>
      </c>
      <c r="P79" s="186">
        <v>1951.67</v>
      </c>
      <c r="Q79" s="186">
        <v>718.95</v>
      </c>
      <c r="R79" s="138"/>
      <c r="S79" s="138"/>
      <c r="T79" s="138"/>
      <c r="U79" s="138"/>
      <c r="V79" s="138"/>
      <c r="W79" s="138"/>
      <c r="X79" s="138"/>
      <c r="Y79" s="138"/>
      <c r="Z79" s="138"/>
    </row>
    <row r="80" ht="12.75" customHeight="1">
      <c r="A80" s="5">
        <v>78.0</v>
      </c>
      <c r="B80" s="185">
        <v>811.84</v>
      </c>
      <c r="C80" s="185">
        <v>895.15</v>
      </c>
      <c r="D80" s="186">
        <v>905.91</v>
      </c>
      <c r="E80" s="186">
        <v>1456.56</v>
      </c>
      <c r="F80" s="187">
        <v>2474.04</v>
      </c>
      <c r="G80" s="186">
        <v>1393.24</v>
      </c>
      <c r="H80" s="186">
        <v>1433.42</v>
      </c>
      <c r="I80" s="188">
        <v>1582.36</v>
      </c>
      <c r="J80" s="186">
        <v>1122.42</v>
      </c>
      <c r="K80" s="186">
        <v>2252.87</v>
      </c>
      <c r="L80" s="188">
        <v>1815.07</v>
      </c>
      <c r="M80" s="186">
        <v>2601.53</v>
      </c>
      <c r="N80" s="186">
        <v>2321.59</v>
      </c>
      <c r="O80" s="186">
        <v>1814.72</v>
      </c>
      <c r="P80" s="186">
        <v>1953.42</v>
      </c>
      <c r="Q80" s="186">
        <v>728.4</v>
      </c>
      <c r="R80" s="138"/>
      <c r="S80" s="138"/>
      <c r="T80" s="138"/>
      <c r="U80" s="138"/>
      <c r="V80" s="138"/>
      <c r="W80" s="138"/>
      <c r="X80" s="138"/>
      <c r="Y80" s="138"/>
      <c r="Z80" s="138"/>
    </row>
    <row r="81" ht="12.75" customHeight="1">
      <c r="A81" s="5">
        <v>79.0</v>
      </c>
      <c r="B81" s="185">
        <v>812.75</v>
      </c>
      <c r="C81" s="185">
        <v>905.27</v>
      </c>
      <c r="D81" s="186">
        <v>906.47</v>
      </c>
      <c r="E81" s="186">
        <v>1460.66</v>
      </c>
      <c r="F81" s="187">
        <v>2477.04</v>
      </c>
      <c r="G81" s="186">
        <v>1421.19</v>
      </c>
      <c r="H81" s="186">
        <v>1436.19</v>
      </c>
      <c r="I81" s="188">
        <v>1582.7</v>
      </c>
      <c r="J81" s="186">
        <v>1195.48</v>
      </c>
      <c r="K81" s="186">
        <v>2253.33</v>
      </c>
      <c r="L81" s="188">
        <v>1815.34</v>
      </c>
      <c r="M81" s="186">
        <v>2601.79</v>
      </c>
      <c r="N81" s="186">
        <v>2325.36</v>
      </c>
      <c r="O81" s="186">
        <v>1819.81</v>
      </c>
      <c r="P81" s="186">
        <v>1953.69</v>
      </c>
      <c r="Q81" s="186">
        <v>730.65</v>
      </c>
      <c r="R81" s="138"/>
      <c r="S81" s="138"/>
      <c r="T81" s="138"/>
      <c r="U81" s="138"/>
      <c r="V81" s="138"/>
      <c r="W81" s="138"/>
      <c r="X81" s="138"/>
      <c r="Y81" s="138"/>
      <c r="Z81" s="138"/>
    </row>
    <row r="82" ht="12.75" customHeight="1">
      <c r="A82" s="5">
        <v>80.0</v>
      </c>
      <c r="B82" s="185">
        <v>830.85</v>
      </c>
      <c r="C82" s="189">
        <v>910.88</v>
      </c>
      <c r="D82" s="190">
        <v>908.25</v>
      </c>
      <c r="E82" s="190">
        <v>1461.07</v>
      </c>
      <c r="F82" s="191">
        <v>2478.71</v>
      </c>
      <c r="G82" s="190">
        <v>1448.5</v>
      </c>
      <c r="H82" s="190">
        <v>1449.8</v>
      </c>
      <c r="I82" s="192">
        <v>1589.45</v>
      </c>
      <c r="J82" s="190">
        <v>1202.79</v>
      </c>
      <c r="K82" s="190">
        <v>2253.74</v>
      </c>
      <c r="L82" s="192">
        <v>1818.67</v>
      </c>
      <c r="M82" s="190">
        <v>2602.92</v>
      </c>
      <c r="N82" s="190">
        <v>2397.05</v>
      </c>
      <c r="O82" s="190">
        <v>1860.77</v>
      </c>
      <c r="P82" s="190">
        <v>1953.96</v>
      </c>
      <c r="Q82" s="190">
        <v>747.2</v>
      </c>
      <c r="R82" s="138"/>
      <c r="S82" s="138"/>
      <c r="T82" s="138"/>
      <c r="U82" s="138"/>
      <c r="V82" s="138"/>
      <c r="W82" s="138"/>
      <c r="X82" s="138"/>
      <c r="Y82" s="138"/>
      <c r="Z82" s="138"/>
    </row>
    <row r="83" ht="12.75" customHeight="1">
      <c r="A83" s="5">
        <v>81.0</v>
      </c>
      <c r="B83" s="169">
        <v>832.67</v>
      </c>
      <c r="C83" s="173">
        <v>916.45</v>
      </c>
      <c r="D83" s="173">
        <v>943.85</v>
      </c>
      <c r="E83" s="173">
        <v>1463.12</v>
      </c>
      <c r="F83" s="176">
        <v>2511.14</v>
      </c>
      <c r="G83" s="173">
        <v>1451.6</v>
      </c>
      <c r="H83" s="173">
        <v>1451.17</v>
      </c>
      <c r="I83" s="174">
        <v>1637.11</v>
      </c>
      <c r="J83" s="173">
        <v>1203.53</v>
      </c>
      <c r="K83" s="173">
        <v>2254.16</v>
      </c>
      <c r="L83" s="174">
        <v>1822.07</v>
      </c>
      <c r="M83" s="173">
        <v>2625.37</v>
      </c>
      <c r="N83" s="173">
        <v>2435.45</v>
      </c>
      <c r="O83" s="173">
        <v>1865.56</v>
      </c>
      <c r="P83" s="173">
        <v>1957.25</v>
      </c>
      <c r="Q83" s="173">
        <v>747.4</v>
      </c>
      <c r="R83" s="138"/>
      <c r="S83" s="138"/>
      <c r="T83" s="138"/>
      <c r="U83" s="138"/>
      <c r="V83" s="138"/>
      <c r="W83" s="138"/>
      <c r="X83" s="138"/>
      <c r="Y83" s="138"/>
      <c r="Z83" s="138"/>
    </row>
    <row r="84" ht="12.75" customHeight="1">
      <c r="A84" s="5">
        <v>82.0</v>
      </c>
      <c r="B84" s="173">
        <v>832.96</v>
      </c>
      <c r="C84" s="173">
        <v>922.04</v>
      </c>
      <c r="D84" s="173">
        <v>949.47</v>
      </c>
      <c r="E84" s="173">
        <v>1503.42</v>
      </c>
      <c r="F84" s="176">
        <v>2514.39</v>
      </c>
      <c r="G84" s="173">
        <v>1451.96</v>
      </c>
      <c r="H84" s="173">
        <v>1456.55</v>
      </c>
      <c r="I84" s="174">
        <v>1670.95</v>
      </c>
      <c r="J84" s="173">
        <v>1203.83</v>
      </c>
      <c r="K84" s="173">
        <v>2262.43</v>
      </c>
      <c r="L84" s="174">
        <v>1822.42</v>
      </c>
      <c r="M84" s="173">
        <v>2627.73</v>
      </c>
      <c r="N84" s="173">
        <v>2439.3</v>
      </c>
      <c r="O84" s="173">
        <v>1959.48</v>
      </c>
      <c r="P84" s="173">
        <v>1957.58</v>
      </c>
      <c r="Q84" s="173">
        <v>759.9</v>
      </c>
      <c r="R84" s="138"/>
      <c r="S84" s="138"/>
      <c r="T84" s="138"/>
      <c r="U84" s="138"/>
      <c r="V84" s="138"/>
      <c r="W84" s="138"/>
      <c r="X84" s="138"/>
      <c r="Y84" s="138"/>
      <c r="Z84" s="138"/>
    </row>
    <row r="85" ht="12.75" customHeight="1">
      <c r="A85" s="5">
        <v>83.0</v>
      </c>
      <c r="B85" s="173">
        <v>835.75</v>
      </c>
      <c r="C85" s="173">
        <v>927.65</v>
      </c>
      <c r="D85" s="173">
        <v>950.04</v>
      </c>
      <c r="E85" s="173">
        <v>1507.47</v>
      </c>
      <c r="F85" s="176">
        <v>2514.73</v>
      </c>
      <c r="G85" s="173">
        <v>1452.34</v>
      </c>
      <c r="H85" s="173">
        <v>1491.13</v>
      </c>
      <c r="I85" s="174">
        <v>1674.34</v>
      </c>
      <c r="J85" s="173">
        <v>1208.27</v>
      </c>
      <c r="K85" s="173">
        <v>2269.11</v>
      </c>
      <c r="L85" s="174">
        <v>1822.79</v>
      </c>
      <c r="M85" s="173">
        <v>2628.05</v>
      </c>
      <c r="N85" s="173">
        <v>2439.7</v>
      </c>
      <c r="O85" s="173">
        <v>1968.88</v>
      </c>
      <c r="P85" s="173">
        <v>1957.9</v>
      </c>
      <c r="Q85" s="173">
        <v>760.1</v>
      </c>
      <c r="R85" s="138"/>
      <c r="S85" s="138"/>
      <c r="T85" s="138"/>
      <c r="U85" s="138"/>
      <c r="V85" s="138"/>
      <c r="W85" s="138"/>
      <c r="X85" s="138"/>
      <c r="Y85" s="138"/>
      <c r="Z85" s="138"/>
    </row>
    <row r="86" ht="12.75" customHeight="1">
      <c r="A86" s="5">
        <v>84.0</v>
      </c>
      <c r="B86" s="173">
        <v>840.38</v>
      </c>
      <c r="C86" s="173">
        <v>933.2</v>
      </c>
      <c r="D86" s="173">
        <v>958.89</v>
      </c>
      <c r="E86" s="173">
        <v>1507.88</v>
      </c>
      <c r="F86" s="176">
        <v>2518.25</v>
      </c>
      <c r="G86" s="173">
        <v>1454.84</v>
      </c>
      <c r="H86" s="173">
        <v>1504.92</v>
      </c>
      <c r="I86" s="174">
        <v>1674.68</v>
      </c>
      <c r="J86" s="173">
        <v>1289.98</v>
      </c>
      <c r="K86" s="173">
        <v>2400.92</v>
      </c>
      <c r="L86" s="174">
        <v>1823.23</v>
      </c>
      <c r="M86" s="173">
        <v>2628.36</v>
      </c>
      <c r="N86" s="173">
        <v>2447.65</v>
      </c>
      <c r="O86" s="173">
        <v>1969.82</v>
      </c>
      <c r="P86" s="173">
        <v>1958.18</v>
      </c>
      <c r="Q86" s="173">
        <v>767.55</v>
      </c>
      <c r="R86" s="138"/>
      <c r="S86" s="138"/>
      <c r="T86" s="138"/>
      <c r="U86" s="138"/>
      <c r="V86" s="138"/>
      <c r="W86" s="138"/>
      <c r="X86" s="138"/>
      <c r="Y86" s="138"/>
      <c r="Z86" s="138"/>
    </row>
    <row r="87" ht="12.75" customHeight="1">
      <c r="A87" s="5">
        <v>85.0</v>
      </c>
      <c r="B87" s="177">
        <v>845.18</v>
      </c>
      <c r="C87" s="177">
        <v>938.83</v>
      </c>
      <c r="D87" s="177">
        <v>959.79</v>
      </c>
      <c r="E87" s="177">
        <v>1510.18</v>
      </c>
      <c r="F87" s="179">
        <v>2525.34</v>
      </c>
      <c r="G87" s="177">
        <v>1504.84</v>
      </c>
      <c r="H87" s="177">
        <v>1506.31</v>
      </c>
      <c r="I87" s="178">
        <v>1674.94</v>
      </c>
      <c r="J87" s="177">
        <v>1298.16</v>
      </c>
      <c r="K87" s="177">
        <v>2421.45</v>
      </c>
      <c r="L87" s="178">
        <v>1831.99</v>
      </c>
      <c r="M87" s="177">
        <v>2628.67</v>
      </c>
      <c r="N87" s="177">
        <v>2569.84</v>
      </c>
      <c r="O87" s="177">
        <v>1970.12</v>
      </c>
      <c r="P87" s="177">
        <v>1961.09</v>
      </c>
      <c r="Q87" s="177">
        <v>767.8</v>
      </c>
      <c r="R87" s="138"/>
      <c r="S87" s="138"/>
      <c r="T87" s="138"/>
      <c r="U87" s="138"/>
      <c r="V87" s="138"/>
      <c r="W87" s="138"/>
      <c r="X87" s="138"/>
      <c r="Y87" s="138"/>
      <c r="Z87" s="138"/>
    </row>
    <row r="88" ht="12.75" customHeight="1">
      <c r="A88" s="5">
        <v>86.0</v>
      </c>
      <c r="B88" s="138">
        <v>845.77</v>
      </c>
      <c r="C88" s="138">
        <v>944.45</v>
      </c>
      <c r="D88" s="138">
        <v>960.48</v>
      </c>
      <c r="E88" s="138">
        <v>1553.77</v>
      </c>
      <c r="F88" s="138">
        <v>2666.97</v>
      </c>
      <c r="G88" s="138">
        <v>1525.45</v>
      </c>
      <c r="H88" s="138">
        <v>1532.49</v>
      </c>
      <c r="I88" s="138">
        <v>1675.21</v>
      </c>
      <c r="J88" s="138">
        <v>1299.02</v>
      </c>
      <c r="K88" s="138">
        <v>2442.04</v>
      </c>
      <c r="L88" s="138">
        <v>1833.43</v>
      </c>
      <c r="M88" s="138">
        <v>2628.98</v>
      </c>
      <c r="N88" s="138">
        <v>2661.06</v>
      </c>
      <c r="O88" s="138">
        <v>1970.41</v>
      </c>
      <c r="P88" s="138">
        <v>2019.22</v>
      </c>
      <c r="Q88" s="138">
        <v>767.95</v>
      </c>
      <c r="R88" s="138"/>
      <c r="S88" s="138"/>
      <c r="T88" s="138"/>
      <c r="U88" s="138"/>
      <c r="V88" s="138"/>
      <c r="W88" s="138"/>
      <c r="X88" s="138"/>
      <c r="Y88" s="138"/>
      <c r="Z88" s="138"/>
    </row>
    <row r="89" ht="12.75" customHeight="1">
      <c r="A89" s="5">
        <v>87.0</v>
      </c>
      <c r="B89" s="138">
        <v>854.53</v>
      </c>
      <c r="C89" s="138">
        <v>949.98</v>
      </c>
      <c r="D89" s="138">
        <v>960.95</v>
      </c>
      <c r="E89" s="138">
        <v>1558.13</v>
      </c>
      <c r="F89" s="138">
        <v>2686.41</v>
      </c>
      <c r="G89" s="138">
        <v>1527.52</v>
      </c>
      <c r="H89" s="138">
        <v>1546.23</v>
      </c>
      <c r="I89" s="138">
        <v>1677.72</v>
      </c>
      <c r="J89" s="138">
        <v>1299.29</v>
      </c>
      <c r="K89" s="138">
        <v>2462.61</v>
      </c>
      <c r="L89" s="138">
        <v>1861.75</v>
      </c>
      <c r="M89" s="138">
        <v>2629.32</v>
      </c>
      <c r="N89" s="138">
        <v>2682.15</v>
      </c>
      <c r="O89" s="138">
        <v>1970.68</v>
      </c>
      <c r="P89" s="138">
        <v>2151.66</v>
      </c>
      <c r="Q89" s="138">
        <v>802.95</v>
      </c>
      <c r="R89" s="138"/>
      <c r="S89" s="138"/>
      <c r="T89" s="138"/>
      <c r="U89" s="138"/>
      <c r="V89" s="138"/>
      <c r="W89" s="138"/>
      <c r="X89" s="138"/>
      <c r="Y89" s="138"/>
      <c r="Z89" s="138"/>
    </row>
    <row r="90" ht="12.75" customHeight="1">
      <c r="A90" s="5">
        <v>88.0</v>
      </c>
      <c r="B90" s="138">
        <v>855.41</v>
      </c>
      <c r="C90" s="138">
        <v>950.55</v>
      </c>
      <c r="D90" s="138">
        <v>962.02</v>
      </c>
      <c r="E90" s="138">
        <v>1560.61</v>
      </c>
      <c r="F90" s="138">
        <v>2756.08</v>
      </c>
      <c r="G90" s="138">
        <v>1529.01</v>
      </c>
      <c r="H90" s="138">
        <v>1547.61</v>
      </c>
      <c r="I90" s="138">
        <v>1727.9</v>
      </c>
      <c r="J90" s="138">
        <v>1300.17</v>
      </c>
      <c r="K90" s="138">
        <v>2483.14</v>
      </c>
      <c r="L90" s="138">
        <v>1864.59</v>
      </c>
      <c r="M90" s="138">
        <v>2629.61</v>
      </c>
      <c r="N90" s="138">
        <v>2684.26</v>
      </c>
      <c r="O90" s="138">
        <v>1970.94</v>
      </c>
      <c r="P90" s="138">
        <v>2204.39</v>
      </c>
      <c r="Q90" s="138">
        <v>803.05</v>
      </c>
      <c r="R90" s="138"/>
      <c r="S90" s="138"/>
      <c r="T90" s="138"/>
      <c r="U90" s="138"/>
      <c r="V90" s="138"/>
      <c r="W90" s="138"/>
      <c r="X90" s="138"/>
      <c r="Y90" s="138"/>
      <c r="Z90" s="138"/>
    </row>
    <row r="91" ht="12.75" customHeight="1">
      <c r="A91" s="5">
        <v>89.0</v>
      </c>
      <c r="B91" s="138">
        <v>863.99</v>
      </c>
      <c r="C91" s="138">
        <v>950.91</v>
      </c>
      <c r="D91" s="138">
        <v>977.03</v>
      </c>
      <c r="E91" s="138">
        <v>1610.08</v>
      </c>
      <c r="F91" s="138">
        <v>2763.05</v>
      </c>
      <c r="G91" s="138">
        <v>1557.97</v>
      </c>
      <c r="H91" s="138">
        <v>1549.52</v>
      </c>
      <c r="I91" s="138">
        <v>1787.82</v>
      </c>
      <c r="J91" s="138">
        <v>1316.12</v>
      </c>
      <c r="K91" s="138">
        <v>2503.71</v>
      </c>
      <c r="L91" s="138">
        <v>1875.14</v>
      </c>
      <c r="M91" s="138">
        <v>2629.93</v>
      </c>
      <c r="N91" s="138">
        <v>2685.97</v>
      </c>
      <c r="O91" s="138">
        <v>1971.32</v>
      </c>
      <c r="P91" s="138">
        <v>2209.67</v>
      </c>
      <c r="Q91" s="138">
        <v>828.65</v>
      </c>
      <c r="R91" s="138"/>
      <c r="S91" s="138"/>
      <c r="T91" s="138"/>
      <c r="U91" s="138"/>
      <c r="V91" s="138"/>
      <c r="W91" s="138"/>
      <c r="X91" s="138"/>
      <c r="Y91" s="138"/>
      <c r="Z91" s="138"/>
    </row>
    <row r="92" ht="12.75" customHeight="1">
      <c r="A92" s="5">
        <v>90.0</v>
      </c>
      <c r="B92" s="138">
        <v>868.77</v>
      </c>
      <c r="C92" s="138">
        <v>957.69</v>
      </c>
      <c r="D92" s="138">
        <v>988.41</v>
      </c>
      <c r="E92" s="138">
        <v>1615.03</v>
      </c>
      <c r="F92" s="138">
        <v>2772.2</v>
      </c>
      <c r="G92" s="138">
        <v>1571.81</v>
      </c>
      <c r="H92" s="138">
        <v>1587.62</v>
      </c>
      <c r="I92" s="138">
        <v>1807.74</v>
      </c>
      <c r="J92" s="138">
        <v>1317.72</v>
      </c>
      <c r="K92" s="138">
        <v>2524.23</v>
      </c>
      <c r="L92" s="138">
        <v>2017.28</v>
      </c>
      <c r="M92" s="138">
        <v>2630.23</v>
      </c>
      <c r="N92" s="138">
        <v>2720.05</v>
      </c>
      <c r="O92" s="138">
        <v>1978.7</v>
      </c>
      <c r="P92" s="138">
        <v>2210.2</v>
      </c>
      <c r="Q92" s="138">
        <v>828.8</v>
      </c>
      <c r="R92" s="138"/>
      <c r="S92" s="138"/>
      <c r="T92" s="138"/>
      <c r="U92" s="138"/>
      <c r="V92" s="138"/>
      <c r="W92" s="138"/>
      <c r="X92" s="138"/>
      <c r="Y92" s="138"/>
      <c r="Z92" s="138"/>
    </row>
    <row r="93" ht="12.75" customHeight="1">
      <c r="A93" s="5">
        <v>91.0</v>
      </c>
      <c r="B93" s="138">
        <v>869.25</v>
      </c>
      <c r="C93" s="138">
        <v>961.43</v>
      </c>
      <c r="D93" s="138">
        <v>990.94</v>
      </c>
      <c r="E93" s="138">
        <v>1634.93</v>
      </c>
      <c r="F93" s="138">
        <v>2773.12</v>
      </c>
      <c r="G93" s="138">
        <v>1573.21</v>
      </c>
      <c r="H93" s="138">
        <v>1601.41</v>
      </c>
      <c r="I93" s="138">
        <v>1863.58</v>
      </c>
      <c r="J93" s="138">
        <v>1318.02</v>
      </c>
      <c r="K93" s="138">
        <v>2526.29</v>
      </c>
      <c r="L93" s="138">
        <v>2087.29</v>
      </c>
      <c r="M93" s="138">
        <v>2630.5</v>
      </c>
      <c r="N93" s="138">
        <v>2766.59</v>
      </c>
      <c r="O93" s="138">
        <v>1979.45</v>
      </c>
      <c r="P93" s="138">
        <v>2210.75</v>
      </c>
      <c r="Q93" s="138">
        <v>850.05</v>
      </c>
      <c r="R93" s="138"/>
      <c r="S93" s="138"/>
      <c r="T93" s="138"/>
      <c r="U93" s="138"/>
      <c r="V93" s="138"/>
      <c r="W93" s="138"/>
      <c r="X93" s="138"/>
      <c r="Y93" s="138"/>
      <c r="Z93" s="138"/>
    </row>
    <row r="94" ht="12.75" customHeight="1">
      <c r="A94" s="5">
        <v>92.0</v>
      </c>
      <c r="B94" s="138">
        <v>878.0</v>
      </c>
      <c r="C94" s="138">
        <v>961.82</v>
      </c>
      <c r="D94" s="138">
        <v>1003.42</v>
      </c>
      <c r="E94" s="138">
        <v>1636.93</v>
      </c>
      <c r="F94" s="138">
        <v>2787.04</v>
      </c>
      <c r="G94" s="138">
        <v>1594.62</v>
      </c>
      <c r="H94" s="138">
        <v>1615.18</v>
      </c>
      <c r="I94" s="138">
        <v>1869.17</v>
      </c>
      <c r="J94" s="138">
        <v>1320.26</v>
      </c>
      <c r="K94" s="138">
        <v>2546.16</v>
      </c>
      <c r="L94" s="138">
        <v>2094.3</v>
      </c>
      <c r="M94" s="138">
        <v>2630.76</v>
      </c>
      <c r="N94" s="138">
        <v>2883.19</v>
      </c>
      <c r="O94" s="138">
        <v>1979.72</v>
      </c>
      <c r="P94" s="138">
        <v>2221.6</v>
      </c>
      <c r="Q94" s="138">
        <v>859.3</v>
      </c>
      <c r="R94" s="138"/>
      <c r="S94" s="138"/>
      <c r="T94" s="138"/>
      <c r="U94" s="138"/>
      <c r="V94" s="138"/>
      <c r="W94" s="138"/>
      <c r="X94" s="138"/>
      <c r="Y94" s="138"/>
      <c r="Z94" s="138"/>
    </row>
    <row r="95" ht="12.75" customHeight="1">
      <c r="A95" s="5">
        <v>93.0</v>
      </c>
      <c r="B95" s="138">
        <v>882.87</v>
      </c>
      <c r="C95" s="138">
        <v>962.11</v>
      </c>
      <c r="D95" s="138">
        <v>1005.4</v>
      </c>
      <c r="E95" s="138">
        <v>1668.08</v>
      </c>
      <c r="F95" s="138">
        <v>2794.66</v>
      </c>
      <c r="G95" s="138">
        <v>1596.77</v>
      </c>
      <c r="H95" s="138">
        <v>1628.99</v>
      </c>
      <c r="I95" s="138">
        <v>1889.73</v>
      </c>
      <c r="J95" s="138">
        <v>1365.01</v>
      </c>
      <c r="K95" s="138">
        <v>2548.15</v>
      </c>
      <c r="L95" s="138">
        <v>2095.01</v>
      </c>
      <c r="M95" s="138">
        <v>2631.2</v>
      </c>
      <c r="N95" s="138">
        <v>2894.85</v>
      </c>
      <c r="O95" s="138">
        <v>1980.0</v>
      </c>
      <c r="P95" s="138">
        <v>2222.83</v>
      </c>
      <c r="Q95" s="138">
        <v>859.7</v>
      </c>
      <c r="R95" s="138"/>
      <c r="S95" s="138"/>
      <c r="T95" s="138"/>
      <c r="U95" s="138"/>
      <c r="V95" s="138"/>
      <c r="W95" s="138"/>
      <c r="X95" s="138"/>
      <c r="Y95" s="138"/>
      <c r="Z95" s="138"/>
    </row>
    <row r="96" ht="12.75" customHeight="1">
      <c r="A96" s="5">
        <v>94.0</v>
      </c>
      <c r="B96" s="138">
        <v>891.39</v>
      </c>
      <c r="C96" s="138">
        <v>962.41</v>
      </c>
      <c r="D96" s="138">
        <v>1005.72</v>
      </c>
      <c r="E96" s="138">
        <v>1671.27</v>
      </c>
      <c r="F96" s="138">
        <v>2867.75</v>
      </c>
      <c r="G96" s="138">
        <v>1623.26</v>
      </c>
      <c r="H96" s="138">
        <v>1631.8</v>
      </c>
      <c r="I96" s="138">
        <v>1891.79</v>
      </c>
      <c r="J96" s="138">
        <v>1369.49</v>
      </c>
      <c r="K96" s="138">
        <v>2579.15</v>
      </c>
      <c r="L96" s="138">
        <v>2095.34</v>
      </c>
      <c r="M96" s="138">
        <v>2631.48</v>
      </c>
      <c r="N96" s="138">
        <v>2896.02</v>
      </c>
      <c r="O96" s="138">
        <v>1980.26</v>
      </c>
      <c r="P96" s="138">
        <v>2223.62</v>
      </c>
      <c r="Q96" s="138">
        <v>859.75</v>
      </c>
      <c r="R96" s="138"/>
      <c r="S96" s="138"/>
      <c r="T96" s="138"/>
      <c r="U96" s="138"/>
      <c r="V96" s="138"/>
      <c r="W96" s="138"/>
      <c r="X96" s="138"/>
      <c r="Y96" s="138"/>
      <c r="Z96" s="138"/>
    </row>
    <row r="97" ht="12.75" customHeight="1">
      <c r="A97" s="5">
        <v>95.0</v>
      </c>
      <c r="B97" s="138">
        <v>892.25</v>
      </c>
      <c r="C97" s="138">
        <v>962.7</v>
      </c>
      <c r="D97" s="138">
        <v>1006.1</v>
      </c>
      <c r="E97" s="138">
        <v>1681.72</v>
      </c>
      <c r="F97" s="138">
        <v>3002.4</v>
      </c>
      <c r="G97" s="138">
        <v>1633.77</v>
      </c>
      <c r="H97" s="138">
        <v>1632.09</v>
      </c>
      <c r="I97" s="138">
        <v>1892.1</v>
      </c>
      <c r="J97" s="138">
        <v>1372.6</v>
      </c>
      <c r="K97" s="138">
        <v>2582.25</v>
      </c>
      <c r="L97" s="138">
        <v>2095.63</v>
      </c>
      <c r="M97" s="138">
        <v>2631.79</v>
      </c>
      <c r="N97" s="138">
        <v>2896.29</v>
      </c>
      <c r="O97" s="138">
        <v>1984.57</v>
      </c>
      <c r="P97" s="138">
        <v>2239.42</v>
      </c>
      <c r="Q97" s="138">
        <v>862.65</v>
      </c>
      <c r="R97" s="138"/>
      <c r="S97" s="138"/>
      <c r="T97" s="138"/>
      <c r="U97" s="138"/>
      <c r="V97" s="138"/>
      <c r="W97" s="138"/>
      <c r="X97" s="138"/>
      <c r="Y97" s="138"/>
      <c r="Z97" s="138"/>
    </row>
    <row r="98" ht="12.75" customHeight="1">
      <c r="A98" s="5">
        <v>96.0</v>
      </c>
      <c r="B98" s="138">
        <v>892.77</v>
      </c>
      <c r="C98" s="138">
        <v>962.97</v>
      </c>
      <c r="D98" s="138">
        <v>1006.38</v>
      </c>
      <c r="E98" s="138">
        <v>1682.77</v>
      </c>
      <c r="F98" s="138">
        <v>3015.87</v>
      </c>
      <c r="G98" s="138">
        <v>1634.83</v>
      </c>
      <c r="H98" s="138">
        <v>1634.57</v>
      </c>
      <c r="I98" s="138">
        <v>1892.36</v>
      </c>
      <c r="J98" s="138">
        <v>1375.58</v>
      </c>
      <c r="K98" s="138">
        <v>2582.56</v>
      </c>
      <c r="L98" s="138">
        <v>2095.91</v>
      </c>
      <c r="M98" s="138">
        <v>2632.05</v>
      </c>
      <c r="N98" s="138">
        <v>2896.55</v>
      </c>
      <c r="O98" s="138">
        <v>2055.13</v>
      </c>
      <c r="P98" s="138">
        <v>2329.13</v>
      </c>
      <c r="Q98" s="138">
        <v>865.75</v>
      </c>
      <c r="R98" s="138"/>
      <c r="S98" s="138"/>
      <c r="T98" s="138"/>
      <c r="U98" s="138"/>
      <c r="V98" s="138"/>
      <c r="W98" s="138"/>
      <c r="X98" s="138"/>
      <c r="Y98" s="138"/>
      <c r="Z98" s="138"/>
    </row>
    <row r="99" ht="12.75" customHeight="1">
      <c r="A99" s="5">
        <v>97.0</v>
      </c>
      <c r="B99" s="138">
        <v>894.5</v>
      </c>
      <c r="C99" s="138">
        <v>963.24</v>
      </c>
      <c r="D99" s="138">
        <v>1006.88</v>
      </c>
      <c r="E99" s="138">
        <v>1683.06</v>
      </c>
      <c r="F99" s="138">
        <v>3041.61</v>
      </c>
      <c r="G99" s="138">
        <v>1636.13</v>
      </c>
      <c r="H99" s="138">
        <v>1684.15</v>
      </c>
      <c r="I99" s="138">
        <v>1893.22</v>
      </c>
      <c r="J99" s="138">
        <v>1435.13</v>
      </c>
      <c r="K99" s="138">
        <v>2582.85</v>
      </c>
      <c r="L99" s="138">
        <v>2096.23</v>
      </c>
      <c r="M99" s="138">
        <v>2632.41</v>
      </c>
      <c r="N99" s="138">
        <v>2897.2</v>
      </c>
      <c r="O99" s="138">
        <v>2069.62</v>
      </c>
      <c r="P99" s="138">
        <v>2339.24</v>
      </c>
      <c r="Q99" s="138">
        <v>885.95</v>
      </c>
      <c r="R99" s="138"/>
      <c r="S99" s="138"/>
      <c r="T99" s="138"/>
      <c r="U99" s="138"/>
      <c r="V99" s="138"/>
      <c r="W99" s="138"/>
      <c r="X99" s="138"/>
      <c r="Y99" s="138"/>
      <c r="Z99" s="138"/>
    </row>
    <row r="100" ht="12.75" customHeight="1">
      <c r="A100" s="5">
        <v>98.0</v>
      </c>
      <c r="B100" s="138">
        <v>894.77</v>
      </c>
      <c r="C100" s="138">
        <v>963.61</v>
      </c>
      <c r="D100" s="138">
        <v>1007.15</v>
      </c>
      <c r="E100" s="138">
        <v>1683.33</v>
      </c>
      <c r="F100" s="138">
        <v>3263.84</v>
      </c>
      <c r="G100" s="138">
        <v>1661.97</v>
      </c>
      <c r="H100" s="138">
        <v>1689.26</v>
      </c>
      <c r="I100" s="138">
        <v>1909.14</v>
      </c>
      <c r="J100" s="138">
        <v>1441.1</v>
      </c>
      <c r="K100" s="138">
        <v>2583.14</v>
      </c>
      <c r="L100" s="138">
        <v>2102.61</v>
      </c>
      <c r="M100" s="138">
        <v>2633.11</v>
      </c>
      <c r="N100" s="138">
        <v>2910.12</v>
      </c>
      <c r="O100" s="138">
        <v>2071.08</v>
      </c>
      <c r="P100" s="138">
        <v>2340.26</v>
      </c>
      <c r="Q100" s="138">
        <v>886.05</v>
      </c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ht="12.75" customHeight="1">
      <c r="A101" s="5">
        <v>99.0</v>
      </c>
      <c r="B101" s="138">
        <v>896.16</v>
      </c>
      <c r="C101" s="138">
        <v>963.98</v>
      </c>
      <c r="D101" s="138">
        <v>1007.64</v>
      </c>
      <c r="E101" s="138">
        <v>1683.94</v>
      </c>
      <c r="F101" s="138">
        <v>3286.07</v>
      </c>
      <c r="G101" s="138">
        <v>1665.55</v>
      </c>
      <c r="H101" s="138">
        <v>1691.67</v>
      </c>
      <c r="I101" s="138">
        <v>1992.64</v>
      </c>
      <c r="J101" s="138">
        <v>1447.52</v>
      </c>
      <c r="K101" s="138">
        <v>2585.35</v>
      </c>
      <c r="L101" s="138">
        <v>2230.19</v>
      </c>
      <c r="M101" s="138">
        <v>2647.0</v>
      </c>
      <c r="N101" s="138">
        <v>3168.51</v>
      </c>
      <c r="O101" s="138">
        <v>2073.45</v>
      </c>
      <c r="P101" s="138">
        <v>2341.78</v>
      </c>
      <c r="Q101" s="138">
        <v>898.15</v>
      </c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ht="12.75" customHeight="1">
      <c r="A102" s="138">
        <v>100.0</v>
      </c>
      <c r="B102" s="138">
        <v>922.0</v>
      </c>
      <c r="C102" s="138">
        <v>970.0</v>
      </c>
      <c r="D102" s="138">
        <v>1017.0</v>
      </c>
      <c r="E102" s="138">
        <v>1694.0</v>
      </c>
      <c r="F102" s="138">
        <v>3354.0</v>
      </c>
      <c r="G102" s="138">
        <v>1733.0</v>
      </c>
      <c r="H102" s="138">
        <v>1729.0</v>
      </c>
      <c r="I102" s="138">
        <v>2001.0</v>
      </c>
      <c r="J102" s="138">
        <v>1564.0</v>
      </c>
      <c r="K102" s="138">
        <v>2624.0</v>
      </c>
      <c r="L102" s="138">
        <v>2409.0</v>
      </c>
      <c r="M102" s="138">
        <v>2899.0</v>
      </c>
      <c r="N102" s="138">
        <v>3603.0</v>
      </c>
      <c r="O102" s="138">
        <v>2094.0</v>
      </c>
      <c r="P102" s="138">
        <v>2372.0</v>
      </c>
      <c r="Q102" s="138">
        <v>979.0</v>
      </c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ht="12.75" customHeight="1">
      <c r="A103" s="138" t="s">
        <v>63</v>
      </c>
      <c r="B103" s="138">
        <v>9.22</v>
      </c>
      <c r="C103" s="138">
        <v>9.7</v>
      </c>
      <c r="D103" s="138">
        <v>10.17</v>
      </c>
      <c r="E103" s="138">
        <v>16.94</v>
      </c>
      <c r="F103" s="138">
        <v>33.54</v>
      </c>
      <c r="G103" s="138">
        <v>17.33</v>
      </c>
      <c r="H103" s="138">
        <v>17.29</v>
      </c>
      <c r="I103" s="138">
        <v>20.01</v>
      </c>
      <c r="J103" s="138">
        <v>15.64</v>
      </c>
      <c r="K103" s="138">
        <v>26.24</v>
      </c>
      <c r="L103" s="138">
        <v>24.09</v>
      </c>
      <c r="M103" s="138">
        <v>28.99</v>
      </c>
      <c r="N103" s="138">
        <v>36.03</v>
      </c>
      <c r="O103" s="138">
        <v>20.94</v>
      </c>
      <c r="P103" s="138">
        <v>23.72</v>
      </c>
      <c r="Q103" s="138">
        <v>9.79</v>
      </c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ht="12.75" customHeight="1">
      <c r="A104" s="138" t="s">
        <v>64</v>
      </c>
      <c r="B104" s="193">
        <v>96.85</v>
      </c>
      <c r="C104" s="193">
        <v>106.94</v>
      </c>
      <c r="D104" s="193">
        <v>101.03</v>
      </c>
      <c r="E104" s="193">
        <v>119.89000000000001</v>
      </c>
      <c r="F104" s="193">
        <v>188.41</v>
      </c>
      <c r="G104" s="193">
        <v>112.16000000000001</v>
      </c>
      <c r="H104" s="193">
        <v>108.12</v>
      </c>
      <c r="I104" s="193">
        <v>137.39000000000001</v>
      </c>
      <c r="J104" s="193">
        <v>106.53999999999999</v>
      </c>
      <c r="K104" s="193">
        <v>129.09</v>
      </c>
      <c r="L104" s="193">
        <v>126.51</v>
      </c>
      <c r="M104" s="193">
        <v>155.53</v>
      </c>
      <c r="N104" s="193">
        <v>200.18</v>
      </c>
      <c r="O104" s="193">
        <v>122.83000000000001</v>
      </c>
      <c r="P104" s="193">
        <v>136.79</v>
      </c>
      <c r="Q104" s="193">
        <v>86.2</v>
      </c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ht="22.5" customHeight="1">
      <c r="A105" s="138" t="s">
        <v>30</v>
      </c>
      <c r="B105" s="193">
        <f t="shared" ref="B105:Q105" si="1">B3-B104</f>
        <v>22.76</v>
      </c>
      <c r="C105" s="193">
        <f t="shared" si="1"/>
        <v>25.08</v>
      </c>
      <c r="D105" s="193">
        <f t="shared" si="1"/>
        <v>20.78</v>
      </c>
      <c r="E105" s="193">
        <f t="shared" si="1"/>
        <v>28.22</v>
      </c>
      <c r="F105" s="193">
        <f t="shared" si="1"/>
        <v>42.97</v>
      </c>
      <c r="G105" s="193">
        <f t="shared" si="1"/>
        <v>26.49</v>
      </c>
      <c r="H105" s="193">
        <f t="shared" si="1"/>
        <v>25.58</v>
      </c>
      <c r="I105" s="193">
        <f t="shared" si="1"/>
        <v>31.06</v>
      </c>
      <c r="J105" s="193">
        <f t="shared" si="1"/>
        <v>26.1</v>
      </c>
      <c r="K105" s="193">
        <f t="shared" si="1"/>
        <v>30.59</v>
      </c>
      <c r="L105" s="193">
        <f t="shared" si="1"/>
        <v>30.02</v>
      </c>
      <c r="M105" s="193">
        <f t="shared" si="1"/>
        <v>35.11</v>
      </c>
      <c r="N105" s="193">
        <f t="shared" si="1"/>
        <v>45.48</v>
      </c>
      <c r="O105" s="193">
        <f t="shared" si="1"/>
        <v>29.18</v>
      </c>
      <c r="P105" s="193">
        <f t="shared" si="1"/>
        <v>32.56</v>
      </c>
      <c r="Q105" s="193">
        <f t="shared" si="1"/>
        <v>4.9</v>
      </c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ht="12.75" customHeight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ht="12.75" customHeight="1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ht="12.75" customHeight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ht="12.75" customHeight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ht="12.75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ht="12.75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ht="12.75" customHeight="1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ht="12.75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</row>
    <row r="114" ht="12.75" customHeight="1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</row>
    <row r="115" ht="12.75" customHeigh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ht="12.7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ht="12.7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ht="12.75" customHeight="1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</row>
    <row r="119" ht="12.75" customHeight="1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</row>
    <row r="120" ht="12.75" customHeight="1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</row>
    <row r="121" ht="12.7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</row>
    <row r="122" ht="12.75" customHeight="1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</row>
    <row r="123" ht="12.7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</row>
    <row r="124" ht="12.75" customHeight="1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ht="12.7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ht="12.75" customHeight="1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</row>
    <row r="127" ht="12.75" customHeight="1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</row>
    <row r="128" ht="12.75" customHeight="1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</row>
    <row r="129" ht="12.75" customHeight="1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</row>
    <row r="130" ht="12.75" customHeight="1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</row>
    <row r="131" ht="12.75" customHeight="1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</row>
    <row r="132" ht="12.75" customHeight="1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</row>
    <row r="133" ht="12.75" customHeight="1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</row>
    <row r="134" ht="12.75" customHeigh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</row>
    <row r="135" ht="12.75" customHeight="1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</row>
    <row r="136" ht="12.75" customHeight="1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</row>
    <row r="137" ht="12.75" customHeight="1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</row>
    <row r="138" ht="12.75" customHeight="1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</row>
    <row r="139" ht="12.75" customHeight="1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</row>
    <row r="140" ht="12.75" customHeight="1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</row>
    <row r="141" ht="12.75" customHeight="1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</row>
    <row r="142" ht="12.75" customHeight="1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</row>
    <row r="143" ht="12.75" customHeight="1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</row>
    <row r="144" ht="12.75" customHeigh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</row>
    <row r="145" ht="12.75" customHeight="1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</row>
    <row r="146" ht="12.75" customHeight="1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</row>
    <row r="147" ht="12.75" customHeight="1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</row>
    <row r="148" ht="12.75" customHeight="1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</row>
    <row r="149" ht="12.75" customHeight="1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</row>
    <row r="150" ht="12.7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</row>
    <row r="151" ht="12.75" customHeight="1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</row>
    <row r="152" ht="12.7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</row>
    <row r="153" ht="12.75" customHeight="1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</row>
    <row r="154" ht="12.75" customHeight="1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</row>
    <row r="155" ht="12.75" customHeight="1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</row>
    <row r="156" ht="12.75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</row>
    <row r="157" ht="12.75" customHeight="1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</row>
    <row r="158" ht="12.75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</row>
    <row r="159" ht="12.75" customHeight="1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</row>
    <row r="160" ht="12.75" customHeigh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</row>
    <row r="161" ht="12.75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</row>
    <row r="162" ht="12.75" customHeight="1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</row>
    <row r="163" ht="12.75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</row>
    <row r="164" ht="12.75" customHeight="1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</row>
    <row r="165" ht="12.75" customHeight="1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</row>
    <row r="166" ht="12.75" customHeight="1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</row>
    <row r="167" ht="12.75" customHeight="1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</row>
    <row r="168" ht="12.75" customHeight="1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</row>
    <row r="169" ht="12.75" customHeight="1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</row>
    <row r="170" ht="12.7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</row>
    <row r="171" ht="12.75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</row>
    <row r="172" ht="12.75" customHeight="1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</row>
    <row r="173" ht="12.75" customHeight="1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</row>
    <row r="174" ht="12.75" customHeight="1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</row>
    <row r="175" ht="12.7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</row>
    <row r="176" ht="12.75" customHeight="1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</row>
    <row r="177" ht="12.7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</row>
    <row r="178" ht="12.75" customHeigh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</row>
    <row r="179" ht="12.75" customHeight="1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</row>
    <row r="180" ht="12.75" customHeight="1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</row>
    <row r="181" ht="12.75" customHeight="1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</row>
    <row r="182" ht="12.75" customHeight="1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</row>
    <row r="183" ht="12.7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</row>
    <row r="184" ht="12.75" customHeight="1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</row>
    <row r="185" ht="12.75" customHeight="1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</row>
    <row r="186" ht="12.75" customHeight="1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</row>
    <row r="187" ht="12.75" customHeight="1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</row>
    <row r="188" ht="12.7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</row>
    <row r="189" ht="12.75" customHeight="1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</row>
    <row r="190" ht="12.75" customHeight="1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</row>
    <row r="191" ht="12.75" customHeight="1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</row>
    <row r="192" ht="12.7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</row>
    <row r="193" ht="12.75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</row>
    <row r="194" ht="12.75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</row>
    <row r="195" ht="12.7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</row>
    <row r="196" ht="12.7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</row>
    <row r="197" ht="12.7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</row>
    <row r="198" ht="12.7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</row>
    <row r="199" ht="12.75" customHeight="1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</row>
    <row r="200" ht="12.75" customHeight="1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</row>
    <row r="201" ht="12.75" customHeight="1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</row>
    <row r="202" ht="12.75" customHeight="1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</row>
    <row r="203" ht="12.75" customHeight="1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</row>
    <row r="204" ht="12.75" customHeight="1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</row>
    <row r="205" ht="12.75" customHeight="1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</row>
    <row r="206" ht="12.75" customHeight="1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</row>
    <row r="207" ht="12.75" customHeight="1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</row>
    <row r="208" ht="12.7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</row>
    <row r="209" ht="12.75" customHeight="1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</row>
    <row r="210" ht="12.75" customHeight="1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</row>
    <row r="211" ht="12.75" customHeight="1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</row>
    <row r="212" ht="12.75" customHeight="1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</row>
    <row r="213" ht="12.75" customHeight="1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</row>
    <row r="214" ht="12.75" customHeight="1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</row>
    <row r="215" ht="12.75" customHeight="1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</row>
    <row r="216" ht="12.75" customHeight="1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</row>
    <row r="217" ht="12.75" customHeight="1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</row>
    <row r="218" ht="12.75" customHeight="1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</row>
    <row r="219" ht="12.75" customHeight="1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</row>
    <row r="220" ht="12.75" customHeight="1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</row>
    <row r="221" ht="12.75" customHeight="1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</row>
    <row r="222" ht="12.75" customHeight="1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</row>
    <row r="223" ht="12.75" customHeight="1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</row>
    <row r="224" ht="12.75" customHeight="1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</row>
    <row r="225" ht="12.75" customHeight="1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</row>
    <row r="226" ht="12.75" customHeight="1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</row>
    <row r="227" ht="12.75" customHeight="1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</row>
    <row r="228" ht="12.75" customHeight="1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</row>
    <row r="229" ht="12.75" customHeight="1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</row>
    <row r="230" ht="12.75" customHeight="1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</row>
    <row r="231" ht="12.75" customHeight="1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</row>
    <row r="232" ht="12.75" customHeight="1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</row>
    <row r="233" ht="12.75" customHeight="1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</row>
    <row r="234" ht="12.75" customHeight="1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</row>
    <row r="235" ht="12.75" customHeight="1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</row>
    <row r="236" ht="12.75" customHeight="1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</row>
    <row r="237" ht="12.75" customHeight="1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</row>
    <row r="238" ht="12.75" customHeight="1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</row>
    <row r="239" ht="12.75" customHeight="1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</row>
    <row r="240" ht="12.75" customHeight="1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</row>
    <row r="241" ht="12.75" customHeight="1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</row>
    <row r="242" ht="12.75" customHeight="1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</row>
    <row r="243" ht="12.75" customHeight="1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</row>
    <row r="244" ht="12.75" customHeight="1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</row>
    <row r="245" ht="12.75" customHeight="1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</row>
    <row r="246" ht="12.75" customHeight="1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</row>
    <row r="247" ht="12.75" customHeight="1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</row>
    <row r="248" ht="12.75" customHeight="1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</row>
    <row r="249" ht="12.75" customHeight="1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</row>
    <row r="250" ht="12.75" customHeight="1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</row>
    <row r="251" ht="12.75" customHeight="1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</row>
    <row r="252" ht="12.75" customHeight="1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</row>
    <row r="253" ht="12.75" customHeight="1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</row>
    <row r="254" ht="12.75" customHeight="1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</row>
    <row r="255" ht="12.75" customHeight="1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</row>
    <row r="256" ht="12.75" customHeight="1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</row>
    <row r="257" ht="12.75" customHeight="1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</row>
    <row r="258" ht="12.75" customHeight="1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</row>
    <row r="259" ht="12.75" customHeight="1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</row>
    <row r="260" ht="12.75" customHeight="1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</row>
    <row r="261" ht="12.75" customHeight="1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</row>
    <row r="262" ht="12.75" customHeight="1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</row>
    <row r="263" ht="12.75" customHeight="1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</row>
    <row r="264" ht="12.75" customHeight="1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</row>
    <row r="265" ht="12.75" customHeight="1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</row>
    <row r="266" ht="12.75" customHeight="1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</row>
    <row r="267" ht="12.75" customHeight="1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</row>
    <row r="268" ht="12.75" customHeight="1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</row>
    <row r="269" ht="12.75" customHeight="1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</row>
    <row r="270" ht="12.75" customHeight="1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</row>
    <row r="271" ht="12.75" customHeight="1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</row>
    <row r="272" ht="12.75" customHeight="1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</row>
    <row r="273" ht="12.75" customHeight="1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</row>
    <row r="274" ht="12.75" customHeight="1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</row>
    <row r="275" ht="12.75" customHeight="1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</row>
    <row r="276" ht="12.75" customHeight="1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</row>
    <row r="277" ht="12.75" customHeight="1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</row>
    <row r="278" ht="12.75" customHeight="1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</row>
    <row r="279" ht="12.75" customHeight="1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</row>
    <row r="280" ht="12.75" customHeight="1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</row>
    <row r="281" ht="12.75" customHeight="1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</row>
    <row r="282" ht="12.75" customHeight="1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</row>
    <row r="283" ht="12.75" customHeight="1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</row>
    <row r="284" ht="12.75" customHeight="1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</row>
    <row r="285" ht="12.75" customHeight="1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</row>
    <row r="286" ht="12.75" customHeight="1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</row>
    <row r="287" ht="12.75" customHeight="1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</row>
    <row r="288" ht="12.75" customHeight="1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</row>
    <row r="289" ht="12.75" customHeight="1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</row>
    <row r="290" ht="12.75" customHeight="1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</row>
    <row r="291" ht="12.75" customHeight="1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</row>
    <row r="292" ht="12.75" customHeight="1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</row>
    <row r="293" ht="12.75" customHeight="1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</row>
    <row r="294" ht="12.75" customHeight="1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</row>
    <row r="295" ht="12.75" customHeight="1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</row>
    <row r="296" ht="12.75" customHeight="1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</row>
    <row r="297" ht="12.75" customHeight="1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</row>
    <row r="298" ht="12.75" customHeight="1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</row>
    <row r="299" ht="12.75" customHeight="1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</row>
    <row r="300" ht="12.75" customHeight="1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</row>
    <row r="301" ht="12.75" customHeight="1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</row>
    <row r="302" ht="12.75" customHeight="1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</row>
    <row r="303" ht="12.75" customHeight="1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</row>
    <row r="304" ht="12.75" customHeight="1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</row>
    <row r="305" ht="12.75" customHeight="1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</row>
    <row r="306" ht="12.75" customHeight="1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</row>
    <row r="307" ht="12.75" customHeight="1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</row>
    <row r="308" ht="12.75" customHeight="1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</row>
    <row r="309" ht="12.75" customHeight="1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</row>
    <row r="310" ht="12.75" customHeight="1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</row>
    <row r="311" ht="12.75" customHeight="1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</row>
    <row r="312" ht="12.75" customHeight="1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</row>
    <row r="313" ht="12.75" customHeight="1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</row>
    <row r="314" ht="12.75" customHeight="1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</row>
    <row r="315" ht="12.75" customHeight="1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</row>
    <row r="316" ht="12.75" customHeight="1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</row>
    <row r="317" ht="12.75" customHeight="1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</row>
    <row r="318" ht="12.75" customHeight="1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</row>
    <row r="319" ht="12.75" customHeight="1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</row>
    <row r="320" ht="12.75" customHeight="1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</row>
    <row r="321" ht="12.75" customHeight="1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</row>
    <row r="322" ht="12.75" customHeight="1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</row>
    <row r="323" ht="12.75" customHeight="1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</row>
    <row r="324" ht="12.75" customHeight="1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</row>
    <row r="325" ht="12.75" customHeight="1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</row>
    <row r="326" ht="12.75" customHeight="1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</row>
    <row r="327" ht="12.75" customHeight="1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</row>
    <row r="328" ht="12.75" customHeight="1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</row>
    <row r="329" ht="12.75" customHeight="1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</row>
    <row r="330" ht="12.75" customHeight="1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</row>
    <row r="331" ht="12.75" customHeight="1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</row>
    <row r="332" ht="12.75" customHeight="1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</row>
    <row r="333" ht="12.75" customHeight="1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</row>
    <row r="334" ht="12.75" customHeight="1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</row>
    <row r="335" ht="12.75" customHeight="1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</row>
    <row r="336" ht="12.75" customHeight="1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</row>
    <row r="337" ht="12.75" customHeight="1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</row>
    <row r="338" ht="12.75" customHeight="1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</row>
    <row r="339" ht="12.75" customHeight="1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</row>
    <row r="340" ht="12.75" customHeight="1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</row>
    <row r="341" ht="12.75" customHeight="1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</row>
    <row r="342" ht="12.75" customHeight="1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</row>
    <row r="343" ht="12.75" customHeight="1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</row>
    <row r="344" ht="12.75" customHeight="1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</row>
    <row r="345" ht="12.75" customHeight="1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</row>
    <row r="346" ht="12.75" customHeight="1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</row>
    <row r="347" ht="12.75" customHeight="1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</row>
    <row r="348" ht="12.75" customHeight="1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</row>
    <row r="349" ht="12.75" customHeight="1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</row>
    <row r="350" ht="12.75" customHeight="1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</row>
    <row r="351" ht="12.75" customHeight="1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</row>
    <row r="352" ht="12.75" customHeight="1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</row>
    <row r="353" ht="12.75" customHeight="1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</row>
    <row r="354" ht="12.75" customHeight="1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</row>
    <row r="355" ht="12.75" customHeight="1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</row>
    <row r="356" ht="12.75" customHeight="1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</row>
    <row r="357" ht="12.75" customHeight="1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</row>
    <row r="358" ht="12.75" customHeight="1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</row>
    <row r="359" ht="12.75" customHeight="1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</row>
    <row r="360" ht="12.75" customHeight="1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</row>
    <row r="361" ht="12.75" customHeight="1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</row>
    <row r="362" ht="12.75" customHeight="1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</row>
    <row r="363" ht="12.75" customHeight="1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</row>
    <row r="364" ht="12.75" customHeight="1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</row>
    <row r="365" ht="12.75" customHeight="1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</row>
    <row r="366" ht="12.75" customHeight="1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</row>
    <row r="367" ht="12.75" customHeight="1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</row>
    <row r="368" ht="12.75" customHeight="1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</row>
    <row r="369" ht="12.75" customHeight="1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</row>
    <row r="370" ht="12.75" customHeight="1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</row>
    <row r="371" ht="12.75" customHeight="1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</row>
    <row r="372" ht="12.75" customHeight="1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</row>
    <row r="373" ht="12.75" customHeight="1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</row>
    <row r="374" ht="12.75" customHeight="1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</row>
    <row r="375" ht="12.75" customHeight="1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</row>
    <row r="376" ht="12.75" customHeight="1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</row>
    <row r="377" ht="12.75" customHeight="1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</row>
    <row r="378" ht="12.75" customHeight="1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</row>
    <row r="379" ht="12.75" customHeight="1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</row>
    <row r="380" ht="12.75" customHeight="1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</row>
    <row r="381" ht="12.75" customHeight="1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</row>
    <row r="382" ht="12.75" customHeight="1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</row>
    <row r="383" ht="12.75" customHeight="1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</row>
    <row r="384" ht="12.75" customHeight="1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</row>
    <row r="385" ht="12.75" customHeight="1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</row>
    <row r="386" ht="12.75" customHeight="1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</row>
    <row r="387" ht="12.75" customHeight="1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</row>
    <row r="388" ht="12.75" customHeight="1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</row>
    <row r="389" ht="12.75" customHeight="1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</row>
    <row r="390" ht="12.75" customHeight="1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</row>
    <row r="391" ht="12.75" customHeight="1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</row>
    <row r="392" ht="12.75" customHeight="1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</row>
    <row r="393" ht="12.75" customHeight="1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</row>
    <row r="394" ht="12.75" customHeight="1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</row>
    <row r="395" ht="12.75" customHeight="1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</row>
    <row r="396" ht="12.75" customHeight="1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</row>
    <row r="397" ht="12.75" customHeight="1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</row>
    <row r="398" ht="12.75" customHeight="1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</row>
    <row r="399" ht="12.75" customHeight="1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</row>
    <row r="400" ht="12.75" customHeight="1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</row>
    <row r="401" ht="12.75" customHeight="1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</row>
    <row r="402" ht="12.75" customHeight="1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</row>
    <row r="403" ht="12.75" customHeight="1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</row>
    <row r="404" ht="12.75" customHeight="1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</row>
    <row r="405" ht="12.75" customHeight="1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</row>
    <row r="406" ht="12.75" customHeight="1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</row>
    <row r="407" ht="12.75" customHeight="1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</row>
    <row r="408" ht="12.75" customHeight="1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</row>
    <row r="409" ht="12.75" customHeight="1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</row>
    <row r="410" ht="12.75" customHeight="1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</row>
    <row r="411" ht="12.75" customHeight="1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</row>
    <row r="412" ht="12.75" customHeight="1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</row>
    <row r="413" ht="12.75" customHeight="1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</row>
    <row r="414" ht="12.75" customHeight="1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</row>
    <row r="415" ht="12.75" customHeight="1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</row>
    <row r="416" ht="12.75" customHeight="1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</row>
    <row r="417" ht="12.75" customHeight="1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</row>
    <row r="418" ht="12.75" customHeight="1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</row>
    <row r="419" ht="12.75" customHeight="1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</row>
    <row r="420" ht="12.75" customHeight="1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</row>
    <row r="421" ht="12.75" customHeight="1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</row>
    <row r="422" ht="12.75" customHeight="1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</row>
    <row r="423" ht="12.75" customHeight="1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</row>
    <row r="424" ht="12.75" customHeight="1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</row>
    <row r="425" ht="12.75" customHeight="1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</row>
    <row r="426" ht="12.75" customHeight="1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</row>
    <row r="427" ht="12.75" customHeight="1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</row>
    <row r="428" ht="12.75" customHeight="1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</row>
    <row r="429" ht="12.75" customHeight="1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</row>
    <row r="430" ht="12.75" customHeight="1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</row>
    <row r="431" ht="12.75" customHeight="1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</row>
    <row r="432" ht="12.75" customHeight="1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</row>
    <row r="433" ht="12.75" customHeight="1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</row>
    <row r="434" ht="12.75" customHeight="1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</row>
    <row r="435" ht="12.75" customHeight="1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</row>
    <row r="436" ht="12.75" customHeight="1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</row>
    <row r="437" ht="12.75" customHeight="1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</row>
    <row r="438" ht="12.75" customHeight="1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</row>
    <row r="439" ht="12.75" customHeight="1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</row>
    <row r="440" ht="12.75" customHeight="1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</row>
    <row r="441" ht="12.75" customHeight="1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</row>
    <row r="442" ht="12.75" customHeight="1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</row>
    <row r="443" ht="12.75" customHeight="1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</row>
    <row r="444" ht="12.75" customHeight="1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</row>
    <row r="445" ht="12.75" customHeight="1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</row>
    <row r="446" ht="12.75" customHeight="1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</row>
    <row r="447" ht="12.75" customHeight="1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</row>
    <row r="448" ht="12.75" customHeight="1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</row>
    <row r="449" ht="12.75" customHeight="1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</row>
    <row r="450" ht="12.75" customHeight="1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</row>
    <row r="451" ht="12.75" customHeight="1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</row>
    <row r="452" ht="12.75" customHeight="1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</row>
    <row r="453" ht="12.75" customHeight="1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</row>
    <row r="454" ht="12.75" customHeight="1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</row>
    <row r="455" ht="12.75" customHeight="1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</row>
    <row r="456" ht="12.75" customHeight="1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</row>
    <row r="457" ht="12.75" customHeight="1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</row>
    <row r="458" ht="12.75" customHeight="1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</row>
    <row r="459" ht="12.75" customHeight="1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</row>
    <row r="460" ht="12.75" customHeight="1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</row>
    <row r="461" ht="12.75" customHeight="1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</row>
    <row r="462" ht="12.75" customHeight="1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</row>
    <row r="463" ht="12.75" customHeight="1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</row>
    <row r="464" ht="12.75" customHeight="1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</row>
    <row r="465" ht="12.75" customHeight="1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</row>
    <row r="466" ht="12.75" customHeight="1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</row>
    <row r="467" ht="12.75" customHeight="1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</row>
    <row r="468" ht="12.75" customHeight="1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</row>
    <row r="469" ht="12.75" customHeight="1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</row>
    <row r="470" ht="12.75" customHeight="1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</row>
    <row r="471" ht="12.75" customHeight="1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</row>
    <row r="472" ht="12.75" customHeight="1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</row>
    <row r="473" ht="12.75" customHeight="1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</row>
    <row r="474" ht="12.75" customHeight="1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</row>
    <row r="475" ht="12.75" customHeight="1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</row>
    <row r="476" ht="12.75" customHeight="1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</row>
    <row r="477" ht="12.75" customHeight="1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</row>
    <row r="478" ht="12.75" customHeight="1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</row>
    <row r="479" ht="12.75" customHeight="1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</row>
    <row r="480" ht="12.75" customHeight="1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</row>
    <row r="481" ht="12.75" customHeight="1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</row>
    <row r="482" ht="12.75" customHeight="1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</row>
    <row r="483" ht="12.75" customHeight="1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</row>
    <row r="484" ht="12.75" customHeight="1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</row>
    <row r="485" ht="12.75" customHeight="1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</row>
    <row r="486" ht="12.75" customHeight="1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</row>
    <row r="487" ht="12.75" customHeight="1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</row>
    <row r="488" ht="12.75" customHeight="1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</row>
    <row r="489" ht="12.75" customHeight="1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</row>
    <row r="490" ht="12.75" customHeight="1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</row>
    <row r="491" ht="12.75" customHeight="1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</row>
    <row r="492" ht="12.75" customHeight="1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</row>
    <row r="493" ht="12.75" customHeight="1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</row>
    <row r="494" ht="12.75" customHeight="1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</row>
    <row r="495" ht="12.75" customHeight="1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</row>
    <row r="496" ht="12.75" customHeight="1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</row>
    <row r="497" ht="12.75" customHeight="1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</row>
    <row r="498" ht="12.75" customHeight="1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</row>
    <row r="499" ht="12.75" customHeight="1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</row>
    <row r="500" ht="12.75" customHeight="1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</row>
    <row r="501" ht="12.75" customHeight="1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</row>
    <row r="502" ht="12.75" customHeight="1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</row>
    <row r="503" ht="12.75" customHeight="1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</row>
    <row r="504" ht="12.75" customHeight="1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</row>
    <row r="505" ht="12.75" customHeight="1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</row>
    <row r="506" ht="12.75" customHeight="1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</row>
    <row r="507" ht="12.75" customHeight="1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</row>
    <row r="508" ht="12.75" customHeight="1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</row>
    <row r="509" ht="12.75" customHeight="1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</row>
    <row r="510" ht="12.75" customHeight="1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</row>
    <row r="511" ht="12.75" customHeight="1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</row>
    <row r="512" ht="12.75" customHeight="1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</row>
    <row r="513" ht="12.75" customHeight="1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</row>
    <row r="514" ht="12.75" customHeight="1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</row>
    <row r="515" ht="12.75" customHeight="1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</row>
    <row r="516" ht="12.75" customHeight="1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</row>
    <row r="517" ht="12.75" customHeight="1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</row>
    <row r="518" ht="12.75" customHeight="1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</row>
    <row r="519" ht="12.75" customHeight="1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</row>
    <row r="520" ht="12.75" customHeight="1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</row>
    <row r="521" ht="12.75" customHeight="1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</row>
    <row r="522" ht="12.75" customHeight="1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</row>
    <row r="523" ht="12.75" customHeight="1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</row>
    <row r="524" ht="12.75" customHeight="1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</row>
    <row r="525" ht="12.75" customHeight="1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</row>
    <row r="526" ht="12.75" customHeight="1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</row>
    <row r="527" ht="12.75" customHeight="1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</row>
    <row r="528" ht="12.75" customHeight="1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</row>
    <row r="529" ht="12.75" customHeight="1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</row>
    <row r="530" ht="12.75" customHeight="1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</row>
    <row r="531" ht="12.75" customHeight="1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</row>
    <row r="532" ht="12.75" customHeight="1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</row>
    <row r="533" ht="12.75" customHeight="1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</row>
    <row r="534" ht="12.75" customHeight="1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</row>
    <row r="535" ht="12.75" customHeight="1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</row>
    <row r="536" ht="12.75" customHeight="1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</row>
    <row r="537" ht="12.75" customHeight="1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</row>
    <row r="538" ht="12.75" customHeight="1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</row>
    <row r="539" ht="12.75" customHeight="1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</row>
    <row r="540" ht="12.75" customHeight="1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</row>
    <row r="541" ht="12.75" customHeight="1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</row>
    <row r="542" ht="12.75" customHeight="1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</row>
    <row r="543" ht="12.75" customHeight="1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</row>
    <row r="544" ht="12.75" customHeight="1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</row>
    <row r="545" ht="12.75" customHeight="1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</row>
    <row r="546" ht="12.75" customHeight="1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</row>
    <row r="547" ht="12.75" customHeight="1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</row>
    <row r="548" ht="12.75" customHeight="1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</row>
    <row r="549" ht="12.75" customHeight="1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</row>
    <row r="550" ht="12.75" customHeight="1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</row>
    <row r="551" ht="12.75" customHeight="1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</row>
    <row r="552" ht="12.75" customHeight="1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</row>
    <row r="553" ht="12.75" customHeight="1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</row>
    <row r="554" ht="12.75" customHeight="1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</row>
    <row r="555" ht="12.75" customHeight="1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</row>
    <row r="556" ht="12.75" customHeight="1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</row>
    <row r="557" ht="12.75" customHeight="1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</row>
    <row r="558" ht="12.75" customHeight="1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</row>
    <row r="559" ht="12.75" customHeight="1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</row>
    <row r="560" ht="12.75" customHeight="1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</row>
    <row r="561" ht="12.75" customHeight="1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</row>
    <row r="562" ht="12.75" customHeight="1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</row>
    <row r="563" ht="12.75" customHeight="1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</row>
    <row r="564" ht="12.75" customHeight="1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</row>
    <row r="565" ht="12.75" customHeight="1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</row>
    <row r="566" ht="12.75" customHeight="1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</row>
    <row r="567" ht="12.75" customHeight="1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</row>
    <row r="568" ht="12.75" customHeight="1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</row>
    <row r="569" ht="12.75" customHeight="1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</row>
    <row r="570" ht="12.75" customHeight="1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</row>
    <row r="571" ht="12.75" customHeight="1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</row>
    <row r="572" ht="12.75" customHeight="1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</row>
    <row r="573" ht="12.75" customHeight="1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</row>
    <row r="574" ht="12.75" customHeight="1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</row>
    <row r="575" ht="12.75" customHeight="1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</row>
    <row r="576" ht="12.75" customHeight="1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</row>
    <row r="577" ht="12.75" customHeight="1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</row>
    <row r="578" ht="12.75" customHeight="1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</row>
    <row r="579" ht="12.75" customHeight="1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</row>
    <row r="580" ht="12.75" customHeight="1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</row>
    <row r="581" ht="12.75" customHeight="1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</row>
    <row r="582" ht="12.75" customHeight="1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</row>
    <row r="583" ht="12.75" customHeight="1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</row>
    <row r="584" ht="12.75" customHeight="1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</row>
    <row r="585" ht="12.75" customHeight="1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</row>
    <row r="586" ht="12.75" customHeight="1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</row>
    <row r="587" ht="12.75" customHeight="1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</row>
    <row r="588" ht="12.75" customHeight="1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</row>
    <row r="589" ht="12.75" customHeight="1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</row>
    <row r="590" ht="12.75" customHeight="1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</row>
    <row r="591" ht="12.75" customHeight="1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</row>
    <row r="592" ht="12.75" customHeight="1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</row>
    <row r="593" ht="12.75" customHeight="1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</row>
    <row r="594" ht="12.75" customHeight="1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</row>
    <row r="595" ht="12.75" customHeight="1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</row>
    <row r="596" ht="12.75" customHeight="1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</row>
    <row r="597" ht="12.75" customHeight="1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</row>
    <row r="598" ht="12.75" customHeight="1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</row>
    <row r="599" ht="12.75" customHeight="1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</row>
    <row r="600" ht="12.75" customHeight="1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</row>
    <row r="601" ht="12.75" customHeight="1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</row>
    <row r="602" ht="12.75" customHeight="1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</row>
    <row r="603" ht="12.75" customHeight="1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</row>
    <row r="604" ht="12.75" customHeight="1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</row>
    <row r="605" ht="12.75" customHeight="1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</row>
    <row r="606" ht="12.75" customHeight="1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</row>
    <row r="607" ht="12.75" customHeight="1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</row>
    <row r="608" ht="12.75" customHeight="1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</row>
    <row r="609" ht="12.75" customHeight="1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</row>
    <row r="610" ht="12.75" customHeight="1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</row>
    <row r="611" ht="12.75" customHeight="1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</row>
    <row r="612" ht="12.75" customHeight="1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</row>
    <row r="613" ht="12.75" customHeight="1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</row>
    <row r="614" ht="12.75" customHeight="1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</row>
    <row r="615" ht="12.75" customHeight="1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</row>
    <row r="616" ht="12.75" customHeight="1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</row>
    <row r="617" ht="12.75" customHeight="1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</row>
    <row r="618" ht="12.75" customHeight="1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</row>
    <row r="619" ht="12.75" customHeight="1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</row>
    <row r="620" ht="12.75" customHeight="1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</row>
    <row r="621" ht="12.75" customHeight="1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</row>
    <row r="622" ht="12.75" customHeight="1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</row>
    <row r="623" ht="12.75" customHeight="1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</row>
    <row r="624" ht="12.75" customHeight="1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</row>
    <row r="625" ht="12.75" customHeight="1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</row>
    <row r="626" ht="12.75" customHeight="1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</row>
    <row r="627" ht="12.75" customHeight="1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</row>
    <row r="628" ht="12.75" customHeight="1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</row>
    <row r="629" ht="12.75" customHeight="1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</row>
    <row r="630" ht="12.75" customHeight="1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</row>
    <row r="631" ht="12.75" customHeight="1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</row>
    <row r="632" ht="12.75" customHeight="1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</row>
    <row r="633" ht="12.75" customHeight="1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</row>
    <row r="634" ht="12.75" customHeight="1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</row>
    <row r="635" ht="12.75" customHeight="1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</row>
    <row r="636" ht="12.75" customHeight="1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</row>
    <row r="637" ht="12.75" customHeight="1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</row>
    <row r="638" ht="12.75" customHeight="1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</row>
    <row r="639" ht="12.75" customHeight="1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</row>
    <row r="640" ht="12.75" customHeight="1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</row>
    <row r="641" ht="12.75" customHeight="1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</row>
    <row r="642" ht="12.75" customHeight="1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</row>
    <row r="643" ht="12.75" customHeight="1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</row>
    <row r="644" ht="12.75" customHeight="1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</row>
    <row r="645" ht="12.75" customHeight="1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</row>
    <row r="646" ht="12.75" customHeight="1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</row>
    <row r="647" ht="12.75" customHeight="1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</row>
    <row r="648" ht="12.75" customHeight="1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</row>
    <row r="649" ht="12.75" customHeight="1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</row>
    <row r="650" ht="12.75" customHeight="1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</row>
    <row r="651" ht="12.75" customHeight="1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</row>
    <row r="652" ht="12.75" customHeight="1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</row>
    <row r="653" ht="12.75" customHeight="1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</row>
    <row r="654" ht="12.75" customHeight="1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</row>
    <row r="655" ht="12.75" customHeight="1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</row>
    <row r="656" ht="12.75" customHeight="1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</row>
    <row r="657" ht="12.75" customHeight="1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</row>
    <row r="658" ht="12.75" customHeight="1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</row>
    <row r="659" ht="12.75" customHeight="1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</row>
    <row r="660" ht="12.75" customHeight="1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</row>
    <row r="661" ht="12.75" customHeight="1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</row>
    <row r="662" ht="12.75" customHeight="1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</row>
    <row r="663" ht="12.75" customHeight="1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</row>
    <row r="664" ht="12.75" customHeight="1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</row>
    <row r="665" ht="12.75" customHeight="1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</row>
    <row r="666" ht="12.75" customHeight="1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</row>
    <row r="667" ht="12.75" customHeight="1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</row>
    <row r="668" ht="12.75" customHeight="1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</row>
    <row r="669" ht="12.75" customHeight="1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</row>
    <row r="670" ht="12.75" customHeight="1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</row>
    <row r="671" ht="12.75" customHeight="1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</row>
    <row r="672" ht="12.75" customHeight="1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</row>
    <row r="673" ht="12.75" customHeight="1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</row>
    <row r="674" ht="12.75" customHeight="1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</row>
    <row r="675" ht="12.75" customHeight="1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</row>
    <row r="676" ht="12.75" customHeight="1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</row>
    <row r="677" ht="12.75" customHeight="1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</row>
    <row r="678" ht="12.75" customHeight="1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</row>
    <row r="679" ht="12.75" customHeight="1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</row>
    <row r="680" ht="12.75" customHeight="1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</row>
    <row r="681" ht="12.75" customHeight="1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</row>
    <row r="682" ht="12.75" customHeight="1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</row>
    <row r="683" ht="12.75" customHeight="1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</row>
    <row r="684" ht="12.75" customHeight="1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</row>
    <row r="685" ht="12.75" customHeight="1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</row>
    <row r="686" ht="12.75" customHeight="1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</row>
    <row r="687" ht="12.75" customHeight="1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</row>
    <row r="688" ht="12.75" customHeight="1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</row>
    <row r="689" ht="12.75" customHeight="1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</row>
    <row r="690" ht="12.75" customHeight="1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</row>
    <row r="691" ht="12.75" customHeight="1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</row>
    <row r="692" ht="12.75" customHeight="1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</row>
    <row r="693" ht="12.75" customHeight="1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</row>
    <row r="694" ht="12.75" customHeight="1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</row>
    <row r="695" ht="12.75" customHeight="1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</row>
    <row r="696" ht="12.75" customHeight="1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</row>
    <row r="697" ht="12.75" customHeight="1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</row>
    <row r="698" ht="12.75" customHeight="1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</row>
    <row r="699" ht="12.75" customHeight="1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</row>
    <row r="700" ht="12.75" customHeight="1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</row>
    <row r="701" ht="12.75" customHeight="1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</row>
    <row r="702" ht="12.75" customHeight="1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</row>
    <row r="703" ht="12.75" customHeight="1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</row>
    <row r="704" ht="12.75" customHeight="1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</row>
    <row r="705" ht="12.75" customHeight="1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</row>
    <row r="706" ht="12.75" customHeight="1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</row>
    <row r="707" ht="12.75" customHeight="1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</row>
    <row r="708" ht="12.75" customHeight="1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</row>
    <row r="709" ht="12.75" customHeight="1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</row>
    <row r="710" ht="12.75" customHeight="1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</row>
    <row r="711" ht="12.75" customHeight="1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</row>
    <row r="712" ht="12.75" customHeight="1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</row>
    <row r="713" ht="12.75" customHeight="1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</row>
    <row r="714" ht="12.75" customHeight="1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</row>
    <row r="715" ht="12.75" customHeight="1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</row>
    <row r="716" ht="12.75" customHeight="1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</row>
    <row r="717" ht="12.75" customHeight="1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</row>
    <row r="718" ht="12.75" customHeight="1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</row>
    <row r="719" ht="12.75" customHeight="1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</row>
    <row r="720" ht="12.75" customHeight="1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</row>
    <row r="721" ht="12.75" customHeight="1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</row>
    <row r="722" ht="12.75" customHeight="1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</row>
    <row r="723" ht="12.75" customHeight="1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</row>
    <row r="724" ht="12.75" customHeight="1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</row>
    <row r="725" ht="12.75" customHeight="1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</row>
    <row r="726" ht="12.75" customHeight="1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</row>
    <row r="727" ht="12.75" customHeight="1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</row>
    <row r="728" ht="12.75" customHeight="1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</row>
    <row r="729" ht="12.75" customHeight="1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</row>
    <row r="730" ht="12.75" customHeight="1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</row>
    <row r="731" ht="12.75" customHeight="1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</row>
    <row r="732" ht="12.75" customHeight="1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</row>
    <row r="733" ht="12.75" customHeight="1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</row>
    <row r="734" ht="12.75" customHeight="1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</row>
    <row r="735" ht="12.75" customHeight="1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</row>
    <row r="736" ht="12.75" customHeight="1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</row>
    <row r="737" ht="12.75" customHeight="1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</row>
    <row r="738" ht="12.75" customHeight="1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</row>
    <row r="739" ht="12.75" customHeight="1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</row>
    <row r="740" ht="12.75" customHeight="1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</row>
    <row r="741" ht="12.75" customHeight="1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</row>
    <row r="742" ht="12.75" customHeight="1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</row>
    <row r="743" ht="12.75" customHeight="1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</row>
    <row r="744" ht="12.75" customHeight="1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</row>
    <row r="745" ht="12.75" customHeight="1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</row>
    <row r="746" ht="12.75" customHeight="1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</row>
    <row r="747" ht="12.75" customHeight="1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</row>
    <row r="748" ht="12.75" customHeight="1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</row>
    <row r="749" ht="12.75" customHeight="1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</row>
    <row r="750" ht="12.75" customHeight="1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</row>
    <row r="751" ht="12.75" customHeight="1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</row>
    <row r="752" ht="12.75" customHeight="1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</row>
    <row r="753" ht="12.75" customHeight="1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</row>
    <row r="754" ht="12.75" customHeight="1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</row>
    <row r="755" ht="12.75" customHeight="1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</row>
    <row r="756" ht="12.75" customHeight="1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</row>
    <row r="757" ht="12.75" customHeight="1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</row>
    <row r="758" ht="12.75" customHeight="1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</row>
    <row r="759" ht="12.75" customHeight="1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</row>
    <row r="760" ht="12.75" customHeight="1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</row>
    <row r="761" ht="12.75" customHeight="1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</row>
    <row r="762" ht="12.75" customHeight="1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</row>
    <row r="763" ht="12.75" customHeight="1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</row>
    <row r="764" ht="12.75" customHeight="1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</row>
    <row r="765" ht="12.75" customHeight="1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</row>
    <row r="766" ht="12.75" customHeight="1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</row>
    <row r="767" ht="12.75" customHeight="1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</row>
    <row r="768" ht="12.75" customHeight="1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</row>
    <row r="769" ht="12.75" customHeight="1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</row>
    <row r="770" ht="12.75" customHeight="1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</row>
    <row r="771" ht="12.75" customHeight="1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</row>
    <row r="772" ht="12.75" customHeight="1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</row>
    <row r="773" ht="12.75" customHeight="1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</row>
    <row r="774" ht="12.75" customHeight="1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</row>
    <row r="775" ht="12.75" customHeight="1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</row>
    <row r="776" ht="12.75" customHeight="1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</row>
    <row r="777" ht="12.75" customHeight="1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</row>
    <row r="778" ht="12.75" customHeight="1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</row>
    <row r="779" ht="12.75" customHeight="1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</row>
    <row r="780" ht="12.75" customHeight="1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</row>
    <row r="781" ht="12.75" customHeight="1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</row>
    <row r="782" ht="12.75" customHeight="1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</row>
    <row r="783" ht="12.75" customHeight="1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</row>
    <row r="784" ht="12.75" customHeight="1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</row>
    <row r="785" ht="12.75" customHeight="1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</row>
    <row r="786" ht="12.75" customHeight="1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</row>
    <row r="787" ht="12.75" customHeight="1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</row>
    <row r="788" ht="12.75" customHeight="1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</row>
    <row r="789" ht="12.75" customHeight="1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</row>
    <row r="790" ht="12.75" customHeight="1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</row>
    <row r="791" ht="12.75" customHeight="1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</row>
    <row r="792" ht="12.75" customHeight="1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</row>
    <row r="793" ht="12.75" customHeight="1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</row>
    <row r="794" ht="12.75" customHeight="1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</row>
    <row r="795" ht="12.75" customHeight="1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</row>
    <row r="796" ht="12.75" customHeight="1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</row>
    <row r="797" ht="12.75" customHeight="1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</row>
    <row r="798" ht="12.75" customHeight="1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</row>
    <row r="799" ht="12.75" customHeight="1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</row>
    <row r="800" ht="12.75" customHeight="1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</row>
    <row r="801" ht="12.75" customHeight="1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</row>
    <row r="802" ht="12.75" customHeight="1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</row>
    <row r="803" ht="12.75" customHeight="1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</row>
    <row r="804" ht="12.75" customHeight="1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</row>
    <row r="805" ht="12.75" customHeight="1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</row>
    <row r="806" ht="12.75" customHeight="1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</row>
    <row r="807" ht="12.75" customHeight="1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</row>
    <row r="808" ht="12.75" customHeight="1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</row>
    <row r="809" ht="12.75" customHeight="1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</row>
    <row r="810" ht="12.75" customHeight="1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</row>
    <row r="811" ht="12.75" customHeight="1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</row>
    <row r="812" ht="12.75" customHeight="1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</row>
    <row r="813" ht="12.75" customHeight="1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</row>
    <row r="814" ht="12.75" customHeight="1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</row>
    <row r="815" ht="12.75" customHeight="1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</row>
    <row r="816" ht="12.75" customHeight="1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</row>
    <row r="817" ht="12.75" customHeight="1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</row>
    <row r="818" ht="12.75" customHeight="1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</row>
    <row r="819" ht="12.75" customHeight="1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</row>
    <row r="820" ht="12.75" customHeight="1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</row>
    <row r="821" ht="12.75" customHeight="1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</row>
    <row r="822" ht="12.75" customHeight="1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</row>
    <row r="823" ht="12.75" customHeight="1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</row>
    <row r="824" ht="12.75" customHeight="1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</row>
    <row r="825" ht="12.75" customHeight="1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</row>
    <row r="826" ht="12.75" customHeight="1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</row>
    <row r="827" ht="12.75" customHeight="1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</row>
    <row r="828" ht="12.75" customHeight="1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</row>
    <row r="829" ht="12.75" customHeight="1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</row>
    <row r="830" ht="12.75" customHeight="1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</row>
    <row r="831" ht="12.75" customHeight="1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</row>
    <row r="832" ht="12.75" customHeight="1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</row>
    <row r="833" ht="12.75" customHeight="1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</row>
    <row r="834" ht="12.75" customHeight="1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</row>
    <row r="835" ht="12.75" customHeight="1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</row>
    <row r="836" ht="12.75" customHeight="1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</row>
    <row r="837" ht="12.75" customHeight="1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</row>
    <row r="838" ht="12.75" customHeight="1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</row>
    <row r="839" ht="12.75" customHeight="1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</row>
    <row r="840" ht="12.75" customHeight="1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</row>
    <row r="841" ht="12.75" customHeight="1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</row>
    <row r="842" ht="12.75" customHeight="1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</row>
    <row r="843" ht="12.75" customHeight="1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</row>
    <row r="844" ht="12.75" customHeight="1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</row>
    <row r="845" ht="12.75" customHeight="1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</row>
    <row r="846" ht="12.75" customHeight="1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</row>
    <row r="847" ht="12.75" customHeight="1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</row>
    <row r="848" ht="12.75" customHeight="1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</row>
    <row r="849" ht="12.75" customHeight="1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</row>
    <row r="850" ht="12.75" customHeight="1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</row>
    <row r="851" ht="12.75" customHeight="1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</row>
    <row r="852" ht="12.75" customHeight="1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</row>
    <row r="853" ht="12.75" customHeight="1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</row>
    <row r="854" ht="12.75" customHeight="1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</row>
    <row r="855" ht="12.75" customHeight="1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</row>
    <row r="856" ht="12.75" customHeight="1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</row>
    <row r="857" ht="12.75" customHeight="1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</row>
    <row r="858" ht="12.75" customHeight="1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</row>
    <row r="859" ht="12.75" customHeight="1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</row>
    <row r="860" ht="12.75" customHeight="1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</row>
    <row r="861" ht="12.75" customHeight="1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</row>
    <row r="862" ht="12.75" customHeight="1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</row>
    <row r="863" ht="12.75" customHeight="1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</row>
    <row r="864" ht="12.75" customHeight="1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</row>
    <row r="865" ht="12.75" customHeight="1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</row>
    <row r="866" ht="12.75" customHeight="1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</row>
    <row r="867" ht="12.75" customHeight="1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</row>
    <row r="868" ht="12.75" customHeight="1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</row>
    <row r="869" ht="12.75" customHeight="1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</row>
    <row r="870" ht="12.75" customHeight="1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</row>
    <row r="871" ht="12.75" customHeight="1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</row>
    <row r="872" ht="12.75" customHeight="1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</row>
    <row r="873" ht="12.75" customHeight="1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</row>
    <row r="874" ht="12.75" customHeight="1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</row>
    <row r="875" ht="12.75" customHeight="1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</row>
    <row r="876" ht="12.75" customHeight="1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</row>
    <row r="877" ht="12.75" customHeight="1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</row>
    <row r="878" ht="12.75" customHeight="1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</row>
    <row r="879" ht="12.75" customHeight="1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</row>
    <row r="880" ht="12.75" customHeight="1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</row>
    <row r="881" ht="12.75" customHeight="1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</row>
    <row r="882" ht="12.75" customHeight="1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</row>
    <row r="883" ht="12.75" customHeight="1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</row>
    <row r="884" ht="12.75" customHeight="1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</row>
    <row r="885" ht="12.75" customHeight="1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</row>
    <row r="886" ht="12.75" customHeight="1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</row>
    <row r="887" ht="12.75" customHeight="1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</row>
    <row r="888" ht="12.75" customHeight="1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</row>
    <row r="889" ht="12.75" customHeight="1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</row>
    <row r="890" ht="12.75" customHeight="1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</row>
    <row r="891" ht="12.75" customHeight="1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</row>
    <row r="892" ht="12.75" customHeight="1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</row>
    <row r="893" ht="12.75" customHeight="1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</row>
    <row r="894" ht="12.75" customHeight="1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</row>
    <row r="895" ht="12.75" customHeight="1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</row>
    <row r="896" ht="12.75" customHeight="1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</row>
    <row r="897" ht="12.75" customHeight="1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</row>
    <row r="898" ht="12.75" customHeight="1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</row>
    <row r="899" ht="12.75" customHeight="1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</row>
    <row r="900" ht="12.75" customHeight="1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</row>
    <row r="901" ht="12.75" customHeight="1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</row>
    <row r="902" ht="12.75" customHeight="1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</row>
    <row r="903" ht="12.75" customHeight="1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</row>
    <row r="904" ht="12.75" customHeight="1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</row>
    <row r="905" ht="12.75" customHeight="1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</row>
    <row r="906" ht="12.75" customHeight="1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</row>
    <row r="907" ht="12.75" customHeight="1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</row>
    <row r="908" ht="12.75" customHeight="1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</row>
    <row r="909" ht="12.75" customHeight="1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</row>
    <row r="910" ht="12.75" customHeight="1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</row>
    <row r="911" ht="12.75" customHeight="1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</row>
    <row r="912" ht="12.75" customHeight="1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</row>
    <row r="913" ht="12.75" customHeight="1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</row>
    <row r="914" ht="12.75" customHeight="1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</row>
    <row r="915" ht="12.75" customHeight="1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</row>
    <row r="916" ht="12.75" customHeight="1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</row>
    <row r="917" ht="12.75" customHeight="1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</row>
    <row r="918" ht="12.75" customHeight="1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</row>
    <row r="919" ht="12.75" customHeight="1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</row>
    <row r="920" ht="12.75" customHeight="1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</row>
    <row r="921" ht="12.75" customHeight="1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</row>
    <row r="922" ht="12.75" customHeight="1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</row>
    <row r="923" ht="12.75" customHeight="1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</row>
    <row r="924" ht="12.75" customHeight="1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</row>
    <row r="925" ht="12.75" customHeight="1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</row>
    <row r="926" ht="12.75" customHeight="1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</row>
    <row r="927" ht="12.75" customHeight="1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</row>
    <row r="928" ht="12.75" customHeight="1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</row>
    <row r="929" ht="12.75" customHeight="1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</row>
    <row r="930" ht="12.75" customHeight="1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</row>
    <row r="931" ht="12.75" customHeight="1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</row>
    <row r="932" ht="12.75" customHeight="1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</row>
    <row r="933" ht="12.75" customHeight="1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</row>
    <row r="934" ht="12.75" customHeight="1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</row>
    <row r="935" ht="12.75" customHeight="1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</row>
    <row r="936" ht="12.75" customHeight="1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</row>
    <row r="937" ht="12.75" customHeight="1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</row>
    <row r="938" ht="12.75" customHeight="1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</row>
    <row r="939" ht="12.75" customHeight="1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</row>
    <row r="940" ht="12.75" customHeight="1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</row>
    <row r="941" ht="12.75" customHeight="1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</row>
    <row r="942" ht="12.75" customHeight="1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</row>
    <row r="943" ht="12.75" customHeight="1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</row>
    <row r="944" ht="12.75" customHeight="1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</row>
    <row r="945" ht="12.75" customHeight="1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</row>
    <row r="946" ht="12.75" customHeight="1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</row>
    <row r="947" ht="12.75" customHeight="1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</row>
    <row r="948" ht="12.75" customHeight="1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</row>
    <row r="949" ht="12.75" customHeight="1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</row>
    <row r="950" ht="12.75" customHeight="1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</row>
    <row r="951" ht="12.75" customHeight="1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</row>
    <row r="952" ht="12.75" customHeight="1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</row>
    <row r="953" ht="12.75" customHeight="1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</row>
    <row r="954" ht="12.75" customHeight="1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</row>
    <row r="955" ht="12.75" customHeight="1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</row>
    <row r="956" ht="12.75" customHeight="1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</row>
    <row r="957" ht="12.75" customHeight="1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</row>
    <row r="958" ht="12.75" customHeight="1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</row>
    <row r="959" ht="12.75" customHeight="1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</row>
    <row r="960" ht="12.75" customHeight="1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</row>
    <row r="961" ht="12.75" customHeight="1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</row>
    <row r="962" ht="12.75" customHeight="1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</row>
    <row r="963" ht="12.75" customHeight="1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</row>
    <row r="964" ht="12.75" customHeight="1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</row>
    <row r="965" ht="12.75" customHeight="1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</row>
    <row r="966" ht="12.75" customHeight="1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</row>
    <row r="967" ht="12.75" customHeight="1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</row>
    <row r="968" ht="12.75" customHeight="1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</row>
    <row r="969" ht="12.75" customHeight="1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</row>
    <row r="970" ht="12.75" customHeight="1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</row>
    <row r="971" ht="12.75" customHeight="1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</row>
    <row r="972" ht="12.75" customHeight="1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</row>
    <row r="973" ht="12.75" customHeight="1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</row>
    <row r="974" ht="12.75" customHeight="1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</row>
    <row r="975" ht="12.75" customHeight="1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</row>
    <row r="976" ht="12.75" customHeight="1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</row>
    <row r="977" ht="12.75" customHeight="1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</row>
    <row r="978" ht="12.75" customHeight="1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</row>
    <row r="979" ht="12.75" customHeight="1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</row>
    <row r="980" ht="12.75" customHeight="1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</row>
    <row r="981" ht="12.75" customHeight="1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</row>
    <row r="982" ht="12.75" customHeight="1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</row>
    <row r="983" ht="12.75" customHeight="1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</row>
    <row r="984" ht="12.75" customHeight="1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</row>
    <row r="985" ht="12.75" customHeight="1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</row>
    <row r="986" ht="12.75" customHeight="1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</row>
    <row r="987" ht="12.75" customHeight="1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</row>
    <row r="988" ht="12.75" customHeight="1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</row>
    <row r="989" ht="12.75" customHeight="1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</row>
    <row r="990" ht="12.75" customHeight="1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</row>
    <row r="991" ht="12.75" customHeight="1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</row>
    <row r="992" ht="12.75" customHeight="1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  <c r="Z992" s="138"/>
    </row>
    <row r="993" ht="12.75" customHeight="1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  <c r="Z993" s="138"/>
    </row>
    <row r="994" ht="12.75" customHeight="1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  <c r="Z994" s="138"/>
    </row>
    <row r="995" ht="12.75" customHeight="1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</row>
    <row r="996" ht="12.75" customHeight="1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  <c r="Z996" s="138"/>
    </row>
    <row r="997" ht="12.75" customHeight="1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  <c r="Z997" s="138"/>
    </row>
    <row r="998" ht="12.75" customHeight="1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  <c r="Z998" s="138"/>
    </row>
    <row r="999" ht="12.75" customHeight="1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  <c r="Z999" s="138"/>
    </row>
    <row r="1000" ht="12.75" customHeight="1">
      <c r="A1000" s="138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</row>
  </sheetData>
  <printOptions/>
  <pageMargins bottom="0.57" footer="0.0" header="0.0" left="0.75" right="0.75" top="0.51"/>
  <pageSetup scale="66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8" width="8.63"/>
    <col customWidth="1" min="9" max="9" width="10.63"/>
    <col customWidth="1" min="10" max="22" width="8.63"/>
    <col customWidth="1" min="23" max="23" width="9.38"/>
    <col customWidth="1" min="24" max="24" width="19.63"/>
    <col customWidth="1" min="25" max="25" width="5.63"/>
    <col customWidth="1" min="26" max="49" width="8.63"/>
  </cols>
  <sheetData>
    <row r="1" ht="12.75" customHeight="1">
      <c r="A1" s="67"/>
      <c r="B1" s="194" t="s">
        <v>65</v>
      </c>
      <c r="C1" s="194" t="s">
        <v>65</v>
      </c>
      <c r="D1" s="194" t="s">
        <v>65</v>
      </c>
      <c r="E1" s="194" t="s">
        <v>65</v>
      </c>
      <c r="F1" s="194" t="s">
        <v>65</v>
      </c>
      <c r="G1" s="194" t="s">
        <v>65</v>
      </c>
      <c r="H1" s="194" t="s">
        <v>65</v>
      </c>
      <c r="I1" s="194" t="s">
        <v>65</v>
      </c>
      <c r="J1" s="137" t="s">
        <v>66</v>
      </c>
      <c r="L1" s="195" t="s">
        <v>67</v>
      </c>
      <c r="N1" s="196">
        <v>1.0</v>
      </c>
      <c r="O1" s="196">
        <v>2.0</v>
      </c>
      <c r="P1" s="196">
        <v>3.0</v>
      </c>
      <c r="Q1" s="196">
        <v>4.0</v>
      </c>
      <c r="R1" s="196">
        <v>5.0</v>
      </c>
      <c r="S1" s="196">
        <v>6.0</v>
      </c>
      <c r="T1" s="196">
        <v>7.0</v>
      </c>
      <c r="U1" s="196">
        <v>8.0</v>
      </c>
      <c r="V1" s="196">
        <v>9.0</v>
      </c>
      <c r="Y1" s="195" t="s">
        <v>68</v>
      </c>
      <c r="Z1" s="63" t="s">
        <v>69</v>
      </c>
      <c r="AA1" s="193" t="s">
        <v>70</v>
      </c>
      <c r="AC1" s="197" t="s">
        <v>71</v>
      </c>
      <c r="AD1" s="198">
        <v>1.0</v>
      </c>
      <c r="AE1" s="198">
        <v>2.0</v>
      </c>
      <c r="AF1" s="199">
        <v>3.0</v>
      </c>
      <c r="AG1" s="199">
        <v>4.0</v>
      </c>
      <c r="AH1" s="199">
        <v>5.0</v>
      </c>
      <c r="AI1" s="199">
        <v>6.0</v>
      </c>
      <c r="AJ1" s="199">
        <v>7.0</v>
      </c>
      <c r="AK1" s="199">
        <v>8.0</v>
      </c>
      <c r="AL1" s="199">
        <v>9.0</v>
      </c>
      <c r="AM1" s="199">
        <v>10.0</v>
      </c>
      <c r="AN1" s="199">
        <v>11.0</v>
      </c>
      <c r="AO1" s="199">
        <v>12.0</v>
      </c>
      <c r="AP1" s="199">
        <v>13.0</v>
      </c>
      <c r="AQ1" s="199">
        <v>14.0</v>
      </c>
      <c r="AR1" s="199">
        <v>15.0</v>
      </c>
      <c r="AS1" s="199">
        <v>16.0</v>
      </c>
      <c r="AT1" s="199">
        <v>17.0</v>
      </c>
      <c r="AU1" s="199">
        <v>18.0</v>
      </c>
      <c r="AV1" s="199">
        <v>19.0</v>
      </c>
      <c r="AW1" s="199">
        <v>20.0</v>
      </c>
    </row>
    <row r="2" ht="12.75" customHeight="1">
      <c r="A2" s="67" t="s">
        <v>72</v>
      </c>
      <c r="B2" s="1">
        <v>1.0</v>
      </c>
      <c r="C2" s="1">
        <v>2.0</v>
      </c>
      <c r="D2" s="3">
        <v>3.0</v>
      </c>
      <c r="E2" s="3">
        <v>4.0</v>
      </c>
      <c r="F2" s="3">
        <v>5.0</v>
      </c>
      <c r="G2" s="3">
        <v>6.0</v>
      </c>
      <c r="H2" s="3">
        <v>7.0</v>
      </c>
      <c r="I2" s="3">
        <v>8.0</v>
      </c>
      <c r="J2" s="3">
        <v>9.0</v>
      </c>
      <c r="L2" s="63">
        <f t="shared" ref="L2:L17" si="1">M2/16</f>
        <v>0.0625</v>
      </c>
      <c r="M2" s="200">
        <v>1.0</v>
      </c>
      <c r="N2" s="96">
        <v>3.91</v>
      </c>
      <c r="O2" s="201">
        <v>3.96</v>
      </c>
      <c r="P2" s="202">
        <v>3.98</v>
      </c>
      <c r="Q2" s="202">
        <v>4.08</v>
      </c>
      <c r="R2" s="202">
        <v>4.14</v>
      </c>
      <c r="S2" s="202">
        <v>4.25</v>
      </c>
      <c r="T2" s="202">
        <v>4.33</v>
      </c>
      <c r="U2" s="202">
        <v>4.51</v>
      </c>
      <c r="V2" s="202">
        <v>4.51</v>
      </c>
      <c r="W2" s="203"/>
      <c r="X2" s="203"/>
      <c r="Z2" s="63">
        <v>1.0</v>
      </c>
      <c r="AA2" s="193">
        <v>4.4</v>
      </c>
      <c r="AC2" s="204">
        <v>1.0</v>
      </c>
      <c r="AD2" s="205">
        <v>17.85</v>
      </c>
      <c r="AE2" s="206">
        <v>18.05</v>
      </c>
      <c r="AF2" s="205">
        <v>20.0</v>
      </c>
      <c r="AG2" s="207">
        <v>19.05</v>
      </c>
      <c r="AH2" s="207">
        <v>19.05</v>
      </c>
      <c r="AI2" s="207">
        <v>19.05</v>
      </c>
      <c r="AJ2" s="207">
        <v>19.3</v>
      </c>
      <c r="AK2" s="207">
        <v>21.35</v>
      </c>
      <c r="AL2" s="207">
        <v>22.5</v>
      </c>
      <c r="AM2" s="207">
        <v>19.35</v>
      </c>
      <c r="AN2" s="207">
        <v>23.8</v>
      </c>
      <c r="AO2" s="207">
        <v>22.6</v>
      </c>
      <c r="AP2" s="207">
        <v>24.35</v>
      </c>
      <c r="AQ2" s="207">
        <v>19.9</v>
      </c>
      <c r="AR2" s="207">
        <v>22.05</v>
      </c>
      <c r="AS2" s="207">
        <v>20.6</v>
      </c>
      <c r="AT2" s="207">
        <v>21.05</v>
      </c>
      <c r="AU2" s="207">
        <v>21.85</v>
      </c>
      <c r="AV2" s="207">
        <v>20.55</v>
      </c>
      <c r="AW2" s="63">
        <v>21.0</v>
      </c>
    </row>
    <row r="3" ht="12.75" customHeight="1">
      <c r="A3" s="5">
        <v>1.0</v>
      </c>
      <c r="B3" s="208">
        <v>7.99</v>
      </c>
      <c r="C3" s="208">
        <v>8.09</v>
      </c>
      <c r="D3" s="208">
        <v>8.18</v>
      </c>
      <c r="E3" s="208">
        <v>8.34</v>
      </c>
      <c r="F3" s="208">
        <v>9.63</v>
      </c>
      <c r="G3" s="208">
        <v>9.92</v>
      </c>
      <c r="H3" s="208">
        <v>10.21</v>
      </c>
      <c r="I3" s="208">
        <v>11.0</v>
      </c>
      <c r="J3" s="84">
        <v>23.48</v>
      </c>
      <c r="L3" s="63">
        <f t="shared" si="1"/>
        <v>0.125</v>
      </c>
      <c r="M3" s="200">
        <v>2.0</v>
      </c>
      <c r="N3" s="96">
        <v>3.91</v>
      </c>
      <c r="O3" s="201">
        <v>3.96</v>
      </c>
      <c r="P3" s="202">
        <v>3.98</v>
      </c>
      <c r="Q3" s="202">
        <v>4.08</v>
      </c>
      <c r="R3" s="202">
        <v>4.14</v>
      </c>
      <c r="S3" s="202">
        <v>4.25</v>
      </c>
      <c r="T3" s="202">
        <v>4.33</v>
      </c>
      <c r="U3" s="202">
        <v>4.51</v>
      </c>
      <c r="V3" s="202">
        <v>4.51</v>
      </c>
      <c r="W3" s="203"/>
      <c r="X3" s="203"/>
      <c r="Z3" s="63">
        <v>2.0</v>
      </c>
      <c r="AA3" s="193">
        <v>5.15</v>
      </c>
      <c r="AC3" s="209">
        <v>2.0</v>
      </c>
      <c r="AD3" s="205">
        <v>17.85</v>
      </c>
      <c r="AE3" s="206">
        <v>18.05</v>
      </c>
      <c r="AF3" s="205">
        <v>20.0</v>
      </c>
      <c r="AG3" s="207">
        <v>19.05</v>
      </c>
      <c r="AH3" s="207">
        <v>19.05</v>
      </c>
      <c r="AI3" s="207">
        <v>19.05</v>
      </c>
      <c r="AJ3" s="207">
        <v>19.3</v>
      </c>
      <c r="AK3" s="207">
        <v>21.35</v>
      </c>
      <c r="AL3" s="207">
        <v>22.5</v>
      </c>
      <c r="AM3" s="207">
        <v>19.35</v>
      </c>
      <c r="AN3" s="207">
        <v>23.8</v>
      </c>
      <c r="AO3" s="207">
        <v>22.6</v>
      </c>
      <c r="AP3" s="207">
        <v>24.35</v>
      </c>
      <c r="AQ3" s="207">
        <v>19.9</v>
      </c>
      <c r="AR3" s="207">
        <v>22.05</v>
      </c>
      <c r="AS3" s="207">
        <v>20.6</v>
      </c>
      <c r="AT3" s="207">
        <v>21.05</v>
      </c>
      <c r="AU3" s="207">
        <v>21.85</v>
      </c>
      <c r="AV3" s="207">
        <v>20.55</v>
      </c>
      <c r="AW3" s="63">
        <v>21.0</v>
      </c>
    </row>
    <row r="4" ht="12.75" customHeight="1">
      <c r="A4" s="9">
        <v>2.0</v>
      </c>
      <c r="B4" s="210">
        <v>8.44</v>
      </c>
      <c r="C4" s="210">
        <v>8.57</v>
      </c>
      <c r="D4" s="210">
        <v>8.82</v>
      </c>
      <c r="E4" s="85">
        <v>9.07</v>
      </c>
      <c r="F4" s="85">
        <v>10.65</v>
      </c>
      <c r="G4" s="85">
        <v>12.06</v>
      </c>
      <c r="H4" s="85">
        <v>13.47</v>
      </c>
      <c r="I4" s="85">
        <v>14.96</v>
      </c>
      <c r="J4" s="211">
        <v>31.93</v>
      </c>
      <c r="L4" s="63">
        <f t="shared" si="1"/>
        <v>0.1875</v>
      </c>
      <c r="M4" s="200">
        <v>3.0</v>
      </c>
      <c r="N4" s="96">
        <v>3.91</v>
      </c>
      <c r="O4" s="201">
        <v>3.96</v>
      </c>
      <c r="P4" s="202">
        <v>3.98</v>
      </c>
      <c r="Q4" s="202">
        <v>4.08</v>
      </c>
      <c r="R4" s="202">
        <v>4.14</v>
      </c>
      <c r="S4" s="202">
        <v>4.25</v>
      </c>
      <c r="T4" s="202">
        <v>4.33</v>
      </c>
      <c r="U4" s="202">
        <v>4.51</v>
      </c>
      <c r="V4" s="202">
        <v>4.51</v>
      </c>
      <c r="W4" s="203"/>
      <c r="X4" s="203"/>
      <c r="Z4" s="63">
        <v>3.0</v>
      </c>
      <c r="AA4" s="193">
        <v>5.9</v>
      </c>
      <c r="AC4" s="209">
        <v>3.0</v>
      </c>
      <c r="AD4" s="205">
        <v>17.85</v>
      </c>
      <c r="AE4" s="206">
        <v>18.05</v>
      </c>
      <c r="AF4" s="205">
        <v>20.0</v>
      </c>
      <c r="AG4" s="207">
        <v>19.05</v>
      </c>
      <c r="AH4" s="207">
        <v>19.05</v>
      </c>
      <c r="AI4" s="207">
        <v>19.05</v>
      </c>
      <c r="AJ4" s="207">
        <v>19.3</v>
      </c>
      <c r="AK4" s="207">
        <v>21.35</v>
      </c>
      <c r="AL4" s="207">
        <v>22.5</v>
      </c>
      <c r="AM4" s="207">
        <v>19.35</v>
      </c>
      <c r="AN4" s="207">
        <v>23.8</v>
      </c>
      <c r="AO4" s="207">
        <v>22.6</v>
      </c>
      <c r="AP4" s="207">
        <v>24.35</v>
      </c>
      <c r="AQ4" s="207">
        <v>19.9</v>
      </c>
      <c r="AR4" s="207">
        <v>22.05</v>
      </c>
      <c r="AS4" s="207">
        <v>20.6</v>
      </c>
      <c r="AT4" s="207">
        <v>21.05</v>
      </c>
      <c r="AU4" s="207">
        <v>21.85</v>
      </c>
      <c r="AV4" s="207">
        <v>20.55</v>
      </c>
      <c r="AW4" s="63">
        <v>21.0</v>
      </c>
    </row>
    <row r="5" ht="12.75" customHeight="1">
      <c r="A5" s="13">
        <v>3.0</v>
      </c>
      <c r="B5" s="212">
        <v>8.85</v>
      </c>
      <c r="C5" s="212">
        <v>8.96</v>
      </c>
      <c r="D5" s="212">
        <v>9.55</v>
      </c>
      <c r="E5" s="82">
        <v>9.96</v>
      </c>
      <c r="F5" s="82">
        <v>11.87</v>
      </c>
      <c r="G5" s="82">
        <v>14.44</v>
      </c>
      <c r="H5" s="82">
        <v>17.0</v>
      </c>
      <c r="I5" s="212">
        <v>19.52</v>
      </c>
      <c r="J5" s="86">
        <v>41.66</v>
      </c>
      <c r="L5" s="63">
        <f t="shared" si="1"/>
        <v>0.25</v>
      </c>
      <c r="M5" s="200">
        <v>4.0</v>
      </c>
      <c r="N5" s="96">
        <v>3.91</v>
      </c>
      <c r="O5" s="213">
        <v>3.96</v>
      </c>
      <c r="P5" s="202">
        <v>3.98</v>
      </c>
      <c r="Q5" s="202">
        <v>4.08</v>
      </c>
      <c r="R5" s="202">
        <v>4.14</v>
      </c>
      <c r="S5" s="202">
        <v>4.25</v>
      </c>
      <c r="T5" s="202">
        <v>4.33</v>
      </c>
      <c r="U5" s="202">
        <v>4.51</v>
      </c>
      <c r="V5" s="202">
        <v>4.51</v>
      </c>
      <c r="W5" s="203"/>
      <c r="X5" s="203"/>
      <c r="Z5" s="63">
        <v>4.0</v>
      </c>
      <c r="AA5" s="193">
        <v>6.65</v>
      </c>
      <c r="AC5" s="209">
        <v>4.0</v>
      </c>
      <c r="AD5" s="205">
        <v>17.85</v>
      </c>
      <c r="AE5" s="206">
        <v>18.05</v>
      </c>
      <c r="AF5" s="205">
        <v>20.0</v>
      </c>
      <c r="AG5" s="207">
        <v>19.05</v>
      </c>
      <c r="AH5" s="207">
        <v>19.05</v>
      </c>
      <c r="AI5" s="207">
        <v>19.05</v>
      </c>
      <c r="AJ5" s="207">
        <v>19.3</v>
      </c>
      <c r="AK5" s="207">
        <v>21.35</v>
      </c>
      <c r="AL5" s="207">
        <v>22.5</v>
      </c>
      <c r="AM5" s="207">
        <v>19.35</v>
      </c>
      <c r="AN5" s="207">
        <v>23.8</v>
      </c>
      <c r="AO5" s="207">
        <v>22.6</v>
      </c>
      <c r="AP5" s="207">
        <v>24.35</v>
      </c>
      <c r="AQ5" s="207">
        <v>19.9</v>
      </c>
      <c r="AR5" s="207">
        <v>22.05</v>
      </c>
      <c r="AS5" s="207">
        <v>20.6</v>
      </c>
      <c r="AT5" s="207">
        <v>21.05</v>
      </c>
      <c r="AU5" s="207">
        <v>21.85</v>
      </c>
      <c r="AV5" s="207">
        <v>20.55</v>
      </c>
      <c r="AW5" s="63">
        <v>21.0</v>
      </c>
    </row>
    <row r="6" ht="12.75" customHeight="1">
      <c r="A6" s="13">
        <v>4.0</v>
      </c>
      <c r="B6" s="212">
        <v>9.14</v>
      </c>
      <c r="C6" s="212">
        <v>9.23</v>
      </c>
      <c r="D6" s="212">
        <v>10.02</v>
      </c>
      <c r="E6" s="82">
        <v>10.57</v>
      </c>
      <c r="F6" s="212">
        <v>12.68</v>
      </c>
      <c r="G6" s="86">
        <v>16.55</v>
      </c>
      <c r="H6" s="82">
        <v>20.41</v>
      </c>
      <c r="I6" s="82">
        <v>23.49</v>
      </c>
      <c r="J6" s="86">
        <v>50.13</v>
      </c>
      <c r="L6" s="63">
        <f t="shared" si="1"/>
        <v>0.3125</v>
      </c>
      <c r="M6" s="200">
        <v>5.0</v>
      </c>
      <c r="N6" s="96">
        <v>4.33</v>
      </c>
      <c r="O6" s="214">
        <v>4.41</v>
      </c>
      <c r="P6" s="202">
        <v>4.44</v>
      </c>
      <c r="Q6" s="202">
        <v>4.52</v>
      </c>
      <c r="R6" s="202">
        <v>4.57</v>
      </c>
      <c r="S6" s="202">
        <v>4.62</v>
      </c>
      <c r="T6" s="202">
        <v>4.71</v>
      </c>
      <c r="U6" s="202">
        <v>4.84</v>
      </c>
      <c r="V6" s="202">
        <v>4.84</v>
      </c>
      <c r="W6" s="203"/>
      <c r="X6" s="203"/>
      <c r="Z6" s="63">
        <v>5.0</v>
      </c>
      <c r="AA6" s="193">
        <v>7.4</v>
      </c>
      <c r="AC6" s="209">
        <v>5.0</v>
      </c>
      <c r="AD6" s="205">
        <v>17.85</v>
      </c>
      <c r="AE6" s="206">
        <v>18.05</v>
      </c>
      <c r="AF6" s="205">
        <v>20.0</v>
      </c>
      <c r="AG6" s="207">
        <v>19.05</v>
      </c>
      <c r="AH6" s="207">
        <v>19.05</v>
      </c>
      <c r="AI6" s="207">
        <v>19.05</v>
      </c>
      <c r="AJ6" s="207">
        <v>19.3</v>
      </c>
      <c r="AK6" s="207">
        <v>21.35</v>
      </c>
      <c r="AL6" s="207">
        <v>22.5</v>
      </c>
      <c r="AM6" s="207">
        <v>19.35</v>
      </c>
      <c r="AN6" s="207">
        <v>23.8</v>
      </c>
      <c r="AO6" s="207">
        <v>22.6</v>
      </c>
      <c r="AP6" s="207">
        <v>24.35</v>
      </c>
      <c r="AQ6" s="207">
        <v>19.9</v>
      </c>
      <c r="AR6" s="207">
        <v>22.05</v>
      </c>
      <c r="AS6" s="207">
        <v>20.6</v>
      </c>
      <c r="AT6" s="207">
        <v>21.05</v>
      </c>
      <c r="AU6" s="207">
        <v>21.85</v>
      </c>
      <c r="AV6" s="207">
        <v>20.55</v>
      </c>
      <c r="AW6" s="63">
        <v>21.0</v>
      </c>
    </row>
    <row r="7" ht="12.75" customHeight="1">
      <c r="A7" s="16">
        <v>5.0</v>
      </c>
      <c r="B7" s="215">
        <v>9.35</v>
      </c>
      <c r="C7" s="215">
        <v>9.43</v>
      </c>
      <c r="D7" s="215">
        <v>10.37</v>
      </c>
      <c r="E7" s="83">
        <v>11.01</v>
      </c>
      <c r="F7" s="82">
        <v>13.43</v>
      </c>
      <c r="G7" s="82">
        <v>18.59</v>
      </c>
      <c r="H7" s="82">
        <v>23.75</v>
      </c>
      <c r="I7" s="82">
        <v>27.52</v>
      </c>
      <c r="J7" s="216">
        <v>58.73</v>
      </c>
      <c r="L7" s="63">
        <f t="shared" si="1"/>
        <v>0.375</v>
      </c>
      <c r="M7" s="200">
        <v>6.0</v>
      </c>
      <c r="N7" s="96">
        <v>4.33</v>
      </c>
      <c r="O7" s="214">
        <v>4.41</v>
      </c>
      <c r="P7" s="202">
        <v>4.44</v>
      </c>
      <c r="Q7" s="202">
        <v>4.52</v>
      </c>
      <c r="R7" s="202">
        <v>4.57</v>
      </c>
      <c r="S7" s="202">
        <v>4.62</v>
      </c>
      <c r="T7" s="202">
        <v>4.71</v>
      </c>
      <c r="U7" s="202">
        <v>4.84</v>
      </c>
      <c r="V7" s="202">
        <v>4.84</v>
      </c>
      <c r="W7" s="203"/>
      <c r="X7" s="203"/>
      <c r="Z7" s="63">
        <v>6.0</v>
      </c>
      <c r="AA7" s="193">
        <v>8.15</v>
      </c>
      <c r="AC7" s="209">
        <v>6.0</v>
      </c>
      <c r="AD7" s="205">
        <v>17.85</v>
      </c>
      <c r="AE7" s="206">
        <v>18.05</v>
      </c>
      <c r="AF7" s="205">
        <v>20.0</v>
      </c>
      <c r="AG7" s="207">
        <v>19.05</v>
      </c>
      <c r="AH7" s="207">
        <v>19.05</v>
      </c>
      <c r="AI7" s="207">
        <v>19.05</v>
      </c>
      <c r="AJ7" s="207">
        <v>19.3</v>
      </c>
      <c r="AK7" s="207">
        <v>21.35</v>
      </c>
      <c r="AL7" s="207">
        <v>22.5</v>
      </c>
      <c r="AM7" s="207">
        <v>19.35</v>
      </c>
      <c r="AN7" s="207">
        <v>23.8</v>
      </c>
      <c r="AO7" s="207">
        <v>22.6</v>
      </c>
      <c r="AP7" s="207">
        <v>24.35</v>
      </c>
      <c r="AQ7" s="207">
        <v>19.9</v>
      </c>
      <c r="AR7" s="207">
        <v>22.05</v>
      </c>
      <c r="AS7" s="207">
        <v>20.6</v>
      </c>
      <c r="AT7" s="207">
        <v>21.05</v>
      </c>
      <c r="AU7" s="207">
        <v>21.85</v>
      </c>
      <c r="AV7" s="207">
        <v>20.55</v>
      </c>
      <c r="AW7" s="63">
        <v>21.0</v>
      </c>
    </row>
    <row r="8" ht="12.75" customHeight="1">
      <c r="A8" s="19">
        <v>6.0</v>
      </c>
      <c r="B8" s="217">
        <v>9.56</v>
      </c>
      <c r="C8" s="217">
        <v>9.63</v>
      </c>
      <c r="D8" s="217">
        <v>10.73</v>
      </c>
      <c r="E8" s="218">
        <v>11.46</v>
      </c>
      <c r="F8" s="218">
        <v>14.35</v>
      </c>
      <c r="G8" s="219">
        <v>20.76</v>
      </c>
      <c r="H8" s="218">
        <v>27.16</v>
      </c>
      <c r="I8" s="218">
        <v>31.61</v>
      </c>
      <c r="J8" s="87">
        <v>67.46</v>
      </c>
      <c r="L8" s="63">
        <f t="shared" si="1"/>
        <v>0.4375</v>
      </c>
      <c r="M8" s="200">
        <v>7.0</v>
      </c>
      <c r="N8" s="96">
        <v>4.33</v>
      </c>
      <c r="O8" s="214">
        <v>4.41</v>
      </c>
      <c r="P8" s="202">
        <v>4.44</v>
      </c>
      <c r="Q8" s="202">
        <v>4.52</v>
      </c>
      <c r="R8" s="202">
        <v>4.57</v>
      </c>
      <c r="S8" s="202">
        <v>4.62</v>
      </c>
      <c r="T8" s="202">
        <v>4.71</v>
      </c>
      <c r="U8" s="202">
        <v>4.84</v>
      </c>
      <c r="V8" s="202">
        <v>4.84</v>
      </c>
      <c r="W8" s="203"/>
      <c r="X8" s="203"/>
      <c r="Z8" s="63">
        <v>7.0</v>
      </c>
      <c r="AA8" s="193">
        <v>8.9</v>
      </c>
      <c r="AC8" s="209">
        <v>7.0</v>
      </c>
      <c r="AD8" s="205">
        <v>17.85</v>
      </c>
      <c r="AE8" s="206">
        <v>18.05</v>
      </c>
      <c r="AF8" s="205">
        <v>20.0</v>
      </c>
      <c r="AG8" s="207">
        <v>19.05</v>
      </c>
      <c r="AH8" s="207">
        <v>19.05</v>
      </c>
      <c r="AI8" s="207">
        <v>19.05</v>
      </c>
      <c r="AJ8" s="207">
        <v>19.3</v>
      </c>
      <c r="AK8" s="207">
        <v>21.35</v>
      </c>
      <c r="AL8" s="207">
        <v>22.5</v>
      </c>
      <c r="AM8" s="207">
        <v>19.35</v>
      </c>
      <c r="AN8" s="207">
        <v>23.8</v>
      </c>
      <c r="AO8" s="207">
        <v>22.6</v>
      </c>
      <c r="AP8" s="207">
        <v>24.35</v>
      </c>
      <c r="AQ8" s="207">
        <v>19.9</v>
      </c>
      <c r="AR8" s="207">
        <v>22.05</v>
      </c>
      <c r="AS8" s="207">
        <v>20.6</v>
      </c>
      <c r="AT8" s="207">
        <v>21.05</v>
      </c>
      <c r="AU8" s="207">
        <v>21.85</v>
      </c>
      <c r="AV8" s="207">
        <v>20.55</v>
      </c>
      <c r="AW8" s="63">
        <v>21.0</v>
      </c>
    </row>
    <row r="9" ht="12.75" customHeight="1">
      <c r="A9" s="23">
        <v>7.0</v>
      </c>
      <c r="B9" s="220">
        <v>9.86</v>
      </c>
      <c r="C9" s="220">
        <v>9.95</v>
      </c>
      <c r="D9" s="220">
        <v>11.22</v>
      </c>
      <c r="E9" s="221">
        <v>12.08</v>
      </c>
      <c r="F9" s="221">
        <v>15.34</v>
      </c>
      <c r="G9" s="222">
        <v>22.34</v>
      </c>
      <c r="H9" s="221">
        <v>29.33</v>
      </c>
      <c r="I9" s="221">
        <v>34.17</v>
      </c>
      <c r="J9" s="80">
        <v>72.92</v>
      </c>
      <c r="L9" s="63">
        <f t="shared" si="1"/>
        <v>0.5</v>
      </c>
      <c r="M9" s="200">
        <v>8.0</v>
      </c>
      <c r="N9" s="96">
        <v>4.33</v>
      </c>
      <c r="O9" s="214">
        <v>4.41</v>
      </c>
      <c r="P9" s="202">
        <v>4.44</v>
      </c>
      <c r="Q9" s="202">
        <v>4.52</v>
      </c>
      <c r="R9" s="202">
        <v>4.57</v>
      </c>
      <c r="S9" s="202">
        <v>4.62</v>
      </c>
      <c r="T9" s="202">
        <v>4.71</v>
      </c>
      <c r="U9" s="202">
        <v>4.84</v>
      </c>
      <c r="V9" s="202">
        <v>4.84</v>
      </c>
      <c r="W9" s="203"/>
      <c r="X9" s="203"/>
      <c r="Z9" s="63">
        <v>8.0</v>
      </c>
      <c r="AA9" s="193">
        <v>9.65</v>
      </c>
      <c r="AC9" s="209">
        <v>8.0</v>
      </c>
      <c r="AD9" s="205">
        <v>17.85</v>
      </c>
      <c r="AE9" s="206">
        <v>18.05</v>
      </c>
      <c r="AF9" s="205">
        <v>20.0</v>
      </c>
      <c r="AG9" s="207">
        <v>19.05</v>
      </c>
      <c r="AH9" s="207">
        <v>19.05</v>
      </c>
      <c r="AI9" s="207">
        <v>19.05</v>
      </c>
      <c r="AJ9" s="207">
        <v>19.3</v>
      </c>
      <c r="AK9" s="207">
        <v>21.35</v>
      </c>
      <c r="AL9" s="207">
        <v>22.5</v>
      </c>
      <c r="AM9" s="207">
        <v>19.35</v>
      </c>
      <c r="AN9" s="207">
        <v>23.8</v>
      </c>
      <c r="AO9" s="207">
        <v>22.6</v>
      </c>
      <c r="AP9" s="207">
        <v>24.35</v>
      </c>
      <c r="AQ9" s="207">
        <v>19.9</v>
      </c>
      <c r="AR9" s="207">
        <v>22.05</v>
      </c>
      <c r="AS9" s="207">
        <v>20.6</v>
      </c>
      <c r="AT9" s="207">
        <v>21.05</v>
      </c>
      <c r="AU9" s="207">
        <v>21.85</v>
      </c>
      <c r="AV9" s="207">
        <v>20.55</v>
      </c>
      <c r="AW9" s="63">
        <v>21.0</v>
      </c>
    </row>
    <row r="10" ht="12.75" customHeight="1">
      <c r="A10" s="19">
        <v>8.0</v>
      </c>
      <c r="B10" s="220">
        <v>10.29</v>
      </c>
      <c r="C10" s="220">
        <v>10.34</v>
      </c>
      <c r="D10" s="220">
        <v>11.76</v>
      </c>
      <c r="E10" s="221">
        <v>12.72</v>
      </c>
      <c r="F10" s="221">
        <v>16.39</v>
      </c>
      <c r="G10" s="222">
        <v>23.94</v>
      </c>
      <c r="H10" s="221">
        <v>31.49</v>
      </c>
      <c r="I10" s="221">
        <v>36.74</v>
      </c>
      <c r="J10" s="80">
        <v>78.41</v>
      </c>
      <c r="L10" s="63">
        <f t="shared" si="1"/>
        <v>0.5625</v>
      </c>
      <c r="M10" s="200">
        <v>9.0</v>
      </c>
      <c r="N10" s="96">
        <v>5.0</v>
      </c>
      <c r="O10" s="214">
        <v>5.09</v>
      </c>
      <c r="P10" s="202">
        <v>5.14</v>
      </c>
      <c r="Q10" s="202">
        <v>5.21</v>
      </c>
      <c r="R10" s="202">
        <v>5.31</v>
      </c>
      <c r="S10" s="202">
        <v>5.49</v>
      </c>
      <c r="T10" s="202">
        <v>5.62</v>
      </c>
      <c r="U10" s="202">
        <v>5.8</v>
      </c>
      <c r="V10" s="202">
        <v>5.8</v>
      </c>
      <c r="W10" s="203"/>
      <c r="X10" s="203"/>
      <c r="Z10" s="63">
        <v>9.0</v>
      </c>
      <c r="AA10" s="193">
        <v>10.4</v>
      </c>
      <c r="AC10" s="209">
        <v>12.0</v>
      </c>
      <c r="AD10" s="205">
        <v>17.85</v>
      </c>
      <c r="AE10" s="206">
        <v>18.05</v>
      </c>
      <c r="AF10" s="205">
        <v>20.0</v>
      </c>
      <c r="AG10" s="207">
        <v>19.05</v>
      </c>
      <c r="AH10" s="207">
        <v>19.05</v>
      </c>
      <c r="AI10" s="207">
        <v>19.05</v>
      </c>
      <c r="AJ10" s="207">
        <v>19.3</v>
      </c>
      <c r="AK10" s="207">
        <v>21.35</v>
      </c>
      <c r="AL10" s="207">
        <v>22.5</v>
      </c>
      <c r="AM10" s="207">
        <v>19.35</v>
      </c>
      <c r="AN10" s="207">
        <v>23.8</v>
      </c>
      <c r="AO10" s="207">
        <v>22.6</v>
      </c>
      <c r="AP10" s="207">
        <v>24.35</v>
      </c>
      <c r="AQ10" s="207">
        <v>19.9</v>
      </c>
      <c r="AR10" s="207">
        <v>22.05</v>
      </c>
      <c r="AS10" s="207">
        <v>20.6</v>
      </c>
      <c r="AT10" s="207">
        <v>21.05</v>
      </c>
      <c r="AU10" s="207">
        <v>21.85</v>
      </c>
      <c r="AV10" s="207">
        <v>20.55</v>
      </c>
      <c r="AW10" s="63">
        <v>21.0</v>
      </c>
    </row>
    <row r="11" ht="12.75" customHeight="1">
      <c r="A11" s="19">
        <v>9.0</v>
      </c>
      <c r="B11" s="220">
        <v>10.86</v>
      </c>
      <c r="C11" s="220">
        <v>10.94</v>
      </c>
      <c r="D11" s="220">
        <v>12.36</v>
      </c>
      <c r="E11" s="221">
        <v>13.41</v>
      </c>
      <c r="F11" s="221">
        <v>17.49</v>
      </c>
      <c r="G11" s="222">
        <v>25.58</v>
      </c>
      <c r="H11" s="221">
        <v>33.66</v>
      </c>
      <c r="I11" s="221">
        <v>39.3</v>
      </c>
      <c r="J11" s="80">
        <v>83.87</v>
      </c>
      <c r="L11" s="63">
        <f t="shared" si="1"/>
        <v>0.625</v>
      </c>
      <c r="M11" s="200">
        <v>10.0</v>
      </c>
      <c r="N11" s="96">
        <v>5.0</v>
      </c>
      <c r="O11" s="214">
        <v>5.09</v>
      </c>
      <c r="P11" s="202">
        <v>5.14</v>
      </c>
      <c r="Q11" s="202">
        <v>5.21</v>
      </c>
      <c r="R11" s="202">
        <v>5.31</v>
      </c>
      <c r="S11" s="202">
        <v>5.49</v>
      </c>
      <c r="T11" s="202">
        <v>5.62</v>
      </c>
      <c r="U11" s="202">
        <v>5.8</v>
      </c>
      <c r="V11" s="202">
        <v>5.8</v>
      </c>
      <c r="W11" s="203"/>
      <c r="X11" s="203"/>
      <c r="Z11" s="63">
        <v>10.0</v>
      </c>
      <c r="AA11" s="193">
        <v>11.15</v>
      </c>
      <c r="AC11" s="209">
        <v>16.0</v>
      </c>
      <c r="AD11" s="205">
        <v>17.85</v>
      </c>
      <c r="AE11" s="206">
        <v>18.05</v>
      </c>
      <c r="AF11" s="205">
        <v>20.0</v>
      </c>
      <c r="AG11" s="207">
        <v>19.05</v>
      </c>
      <c r="AH11" s="207">
        <v>19.05</v>
      </c>
      <c r="AI11" s="207">
        <v>19.05</v>
      </c>
      <c r="AJ11" s="207">
        <v>19.3</v>
      </c>
      <c r="AK11" s="207">
        <v>21.35</v>
      </c>
      <c r="AL11" s="207">
        <v>22.5</v>
      </c>
      <c r="AM11" s="207">
        <v>19.35</v>
      </c>
      <c r="AN11" s="207">
        <v>23.8</v>
      </c>
      <c r="AO11" s="207">
        <v>22.6</v>
      </c>
      <c r="AP11" s="207">
        <v>24.35</v>
      </c>
      <c r="AQ11" s="207">
        <v>19.9</v>
      </c>
      <c r="AR11" s="207">
        <v>22.05</v>
      </c>
      <c r="AS11" s="207">
        <v>20.6</v>
      </c>
      <c r="AT11" s="207">
        <v>21.05</v>
      </c>
      <c r="AU11" s="207">
        <v>21.85</v>
      </c>
      <c r="AV11" s="207">
        <v>20.55</v>
      </c>
      <c r="AW11" s="63">
        <v>21.0</v>
      </c>
    </row>
    <row r="12" ht="12.75" customHeight="1">
      <c r="A12" s="27">
        <v>10.0</v>
      </c>
      <c r="B12" s="220">
        <v>11.58</v>
      </c>
      <c r="C12" s="220">
        <v>11.65</v>
      </c>
      <c r="D12" s="223">
        <v>12.98</v>
      </c>
      <c r="E12" s="224">
        <v>14.11</v>
      </c>
      <c r="F12" s="224">
        <v>18.57</v>
      </c>
      <c r="G12" s="225">
        <v>27.2</v>
      </c>
      <c r="H12" s="224">
        <v>35.82</v>
      </c>
      <c r="I12" s="224">
        <v>41.8</v>
      </c>
      <c r="J12" s="81">
        <v>89.21</v>
      </c>
      <c r="L12" s="63">
        <f t="shared" si="1"/>
        <v>0.6875</v>
      </c>
      <c r="M12" s="200">
        <v>11.0</v>
      </c>
      <c r="N12" s="96">
        <v>5.0</v>
      </c>
      <c r="O12" s="214">
        <v>5.09</v>
      </c>
      <c r="P12" s="202">
        <v>5.14</v>
      </c>
      <c r="Q12" s="202">
        <v>5.21</v>
      </c>
      <c r="R12" s="202">
        <v>5.31</v>
      </c>
      <c r="S12" s="202">
        <v>5.49</v>
      </c>
      <c r="T12" s="202">
        <v>5.62</v>
      </c>
      <c r="U12" s="202">
        <v>5.8</v>
      </c>
      <c r="V12" s="202">
        <v>5.8</v>
      </c>
      <c r="W12" s="203"/>
      <c r="X12" s="203"/>
      <c r="Z12" s="63">
        <v>11.0</v>
      </c>
      <c r="AA12" s="193">
        <v>11.9</v>
      </c>
      <c r="AC12" s="209">
        <v>20.0</v>
      </c>
      <c r="AD12" s="205">
        <v>17.85</v>
      </c>
      <c r="AE12" s="206">
        <v>18.05</v>
      </c>
      <c r="AF12" s="205">
        <v>20.0</v>
      </c>
      <c r="AG12" s="207">
        <v>19.05</v>
      </c>
      <c r="AH12" s="207">
        <v>19.05</v>
      </c>
      <c r="AI12" s="207">
        <v>19.05</v>
      </c>
      <c r="AJ12" s="207">
        <v>19.3</v>
      </c>
      <c r="AK12" s="207">
        <v>21.35</v>
      </c>
      <c r="AL12" s="207">
        <v>22.5</v>
      </c>
      <c r="AM12" s="207">
        <v>19.35</v>
      </c>
      <c r="AN12" s="207">
        <v>23.8</v>
      </c>
      <c r="AO12" s="207">
        <v>22.6</v>
      </c>
      <c r="AP12" s="207">
        <v>24.35</v>
      </c>
      <c r="AQ12" s="207">
        <v>19.9</v>
      </c>
      <c r="AR12" s="207">
        <v>22.05</v>
      </c>
      <c r="AS12" s="207">
        <v>20.6</v>
      </c>
      <c r="AT12" s="207">
        <v>21.05</v>
      </c>
      <c r="AU12" s="207">
        <v>21.85</v>
      </c>
      <c r="AV12" s="207">
        <v>20.55</v>
      </c>
      <c r="AW12" s="63">
        <v>21.0</v>
      </c>
    </row>
    <row r="13" ht="12.75" customHeight="1">
      <c r="A13" s="13">
        <v>11.0</v>
      </c>
      <c r="B13" s="210">
        <v>12.61</v>
      </c>
      <c r="C13" s="210">
        <v>12.67</v>
      </c>
      <c r="D13" s="212">
        <v>13.62</v>
      </c>
      <c r="E13" s="212">
        <v>14.84</v>
      </c>
      <c r="F13" s="212">
        <v>19.65</v>
      </c>
      <c r="G13" s="226">
        <v>28.81</v>
      </c>
      <c r="H13" s="212">
        <v>37.97</v>
      </c>
      <c r="I13" s="212">
        <v>44.3</v>
      </c>
      <c r="J13" s="82">
        <v>94.54</v>
      </c>
      <c r="L13" s="63">
        <f t="shared" si="1"/>
        <v>0.75</v>
      </c>
      <c r="M13" s="200">
        <v>12.0</v>
      </c>
      <c r="N13" s="96">
        <v>5.0</v>
      </c>
      <c r="O13" s="214">
        <v>5.09</v>
      </c>
      <c r="P13" s="202">
        <v>5.14</v>
      </c>
      <c r="Q13" s="202">
        <v>5.21</v>
      </c>
      <c r="R13" s="202">
        <v>5.31</v>
      </c>
      <c r="S13" s="202">
        <v>5.49</v>
      </c>
      <c r="T13" s="202">
        <v>5.62</v>
      </c>
      <c r="U13" s="202">
        <v>5.8</v>
      </c>
      <c r="V13" s="202">
        <v>5.8</v>
      </c>
      <c r="W13" s="203"/>
      <c r="X13" s="203"/>
      <c r="Z13" s="63">
        <v>12.0</v>
      </c>
      <c r="AA13" s="193">
        <v>12.65</v>
      </c>
      <c r="AC13" s="209">
        <v>24.0</v>
      </c>
      <c r="AD13" s="205">
        <v>17.85</v>
      </c>
      <c r="AE13" s="206">
        <v>18.05</v>
      </c>
      <c r="AF13" s="205">
        <v>20.0</v>
      </c>
      <c r="AG13" s="207">
        <v>19.05</v>
      </c>
      <c r="AH13" s="207">
        <v>19.05</v>
      </c>
      <c r="AI13" s="207">
        <v>19.05</v>
      </c>
      <c r="AJ13" s="207">
        <v>19.3</v>
      </c>
      <c r="AK13" s="207">
        <v>21.35</v>
      </c>
      <c r="AL13" s="207">
        <v>22.5</v>
      </c>
      <c r="AM13" s="207">
        <v>19.35</v>
      </c>
      <c r="AN13" s="207">
        <v>23.8</v>
      </c>
      <c r="AO13" s="207">
        <v>22.6</v>
      </c>
      <c r="AP13" s="207">
        <v>24.35</v>
      </c>
      <c r="AQ13" s="207">
        <v>19.9</v>
      </c>
      <c r="AR13" s="207">
        <v>22.05</v>
      </c>
      <c r="AS13" s="207">
        <v>20.6</v>
      </c>
      <c r="AT13" s="207">
        <v>21.05</v>
      </c>
      <c r="AU13" s="207">
        <v>21.85</v>
      </c>
      <c r="AV13" s="207">
        <v>20.55</v>
      </c>
      <c r="AW13" s="63">
        <v>21.0</v>
      </c>
    </row>
    <row r="14" ht="12.75" customHeight="1">
      <c r="A14" s="13">
        <v>12.0</v>
      </c>
      <c r="B14" s="212">
        <v>13.26</v>
      </c>
      <c r="C14" s="212">
        <v>13.33</v>
      </c>
      <c r="D14" s="212">
        <v>14.23</v>
      </c>
      <c r="E14" s="212">
        <v>15.54</v>
      </c>
      <c r="F14" s="212">
        <v>20.8</v>
      </c>
      <c r="G14" s="226">
        <v>30.44</v>
      </c>
      <c r="H14" s="212">
        <v>40.08</v>
      </c>
      <c r="I14" s="212">
        <v>46.8</v>
      </c>
      <c r="J14" s="82">
        <v>99.88</v>
      </c>
      <c r="L14" s="63">
        <f t="shared" si="1"/>
        <v>0.8125</v>
      </c>
      <c r="M14" s="200">
        <v>13.0</v>
      </c>
      <c r="N14" s="96">
        <v>6.33</v>
      </c>
      <c r="O14" s="214">
        <v>6.42</v>
      </c>
      <c r="P14" s="202">
        <v>6.49</v>
      </c>
      <c r="Q14" s="202">
        <v>6.57</v>
      </c>
      <c r="R14" s="202">
        <v>6.74</v>
      </c>
      <c r="S14" s="202">
        <v>6.99</v>
      </c>
      <c r="T14" s="202">
        <v>7.16</v>
      </c>
      <c r="U14" s="202">
        <v>7.36</v>
      </c>
      <c r="V14" s="202">
        <v>7.36</v>
      </c>
      <c r="W14" s="203"/>
      <c r="X14" s="203"/>
      <c r="Z14" s="63">
        <v>13.0</v>
      </c>
      <c r="AA14" s="193">
        <v>13.4</v>
      </c>
      <c r="AC14" s="209">
        <v>28.0</v>
      </c>
      <c r="AD14" s="205">
        <v>17.85</v>
      </c>
      <c r="AE14" s="206">
        <v>18.05</v>
      </c>
      <c r="AF14" s="205">
        <v>20.0</v>
      </c>
      <c r="AG14" s="207">
        <v>19.05</v>
      </c>
      <c r="AH14" s="207">
        <v>19.05</v>
      </c>
      <c r="AI14" s="207">
        <v>19.05</v>
      </c>
      <c r="AJ14" s="207">
        <v>19.3</v>
      </c>
      <c r="AK14" s="207">
        <v>21.35</v>
      </c>
      <c r="AL14" s="207">
        <v>22.5</v>
      </c>
      <c r="AM14" s="207">
        <v>19.35</v>
      </c>
      <c r="AN14" s="207">
        <v>23.8</v>
      </c>
      <c r="AO14" s="207">
        <v>22.6</v>
      </c>
      <c r="AP14" s="207">
        <v>24.35</v>
      </c>
      <c r="AQ14" s="207">
        <v>19.9</v>
      </c>
      <c r="AR14" s="207">
        <v>22.05</v>
      </c>
      <c r="AS14" s="207">
        <v>20.6</v>
      </c>
      <c r="AT14" s="207">
        <v>21.05</v>
      </c>
      <c r="AU14" s="207">
        <v>21.85</v>
      </c>
      <c r="AV14" s="207">
        <v>20.55</v>
      </c>
      <c r="AW14" s="63">
        <v>21.0</v>
      </c>
    </row>
    <row r="15" ht="12.75" customHeight="1">
      <c r="A15" s="13">
        <v>13.0</v>
      </c>
      <c r="B15" s="212">
        <v>13.85</v>
      </c>
      <c r="C15" s="212">
        <v>13.95</v>
      </c>
      <c r="D15" s="212">
        <v>14.84</v>
      </c>
      <c r="E15" s="212">
        <v>16.22</v>
      </c>
      <c r="F15" s="212">
        <v>21.93</v>
      </c>
      <c r="G15" s="226">
        <v>32.07</v>
      </c>
      <c r="H15" s="212">
        <v>42.2</v>
      </c>
      <c r="I15" s="212">
        <v>49.3</v>
      </c>
      <c r="J15" s="82">
        <v>105.21</v>
      </c>
      <c r="L15" s="63">
        <f t="shared" si="1"/>
        <v>0.875</v>
      </c>
      <c r="M15" s="200">
        <v>14.0</v>
      </c>
      <c r="N15" s="96">
        <v>6.33</v>
      </c>
      <c r="O15" s="214">
        <v>6.42</v>
      </c>
      <c r="P15" s="202">
        <v>6.49</v>
      </c>
      <c r="Q15" s="202">
        <v>6.57</v>
      </c>
      <c r="R15" s="202">
        <v>6.74</v>
      </c>
      <c r="S15" s="202">
        <v>6.99</v>
      </c>
      <c r="T15" s="202">
        <v>7.16</v>
      </c>
      <c r="U15" s="202">
        <v>7.36</v>
      </c>
      <c r="V15" s="202">
        <v>7.36</v>
      </c>
      <c r="W15" s="203"/>
      <c r="X15" s="203"/>
      <c r="Z15" s="63">
        <v>14.0</v>
      </c>
      <c r="AA15" s="193">
        <v>14.15</v>
      </c>
      <c r="AC15" s="209">
        <v>32.0</v>
      </c>
      <c r="AD15" s="205">
        <v>17.85</v>
      </c>
      <c r="AE15" s="206">
        <v>18.05</v>
      </c>
      <c r="AF15" s="205">
        <v>20.0</v>
      </c>
      <c r="AG15" s="207">
        <v>19.05</v>
      </c>
      <c r="AH15" s="207">
        <v>19.05</v>
      </c>
      <c r="AI15" s="207">
        <v>19.05</v>
      </c>
      <c r="AJ15" s="207">
        <v>19.3</v>
      </c>
      <c r="AK15" s="207">
        <v>21.35</v>
      </c>
      <c r="AL15" s="207">
        <v>22.5</v>
      </c>
      <c r="AM15" s="207">
        <v>19.35</v>
      </c>
      <c r="AN15" s="207">
        <v>23.8</v>
      </c>
      <c r="AO15" s="207">
        <v>22.6</v>
      </c>
      <c r="AP15" s="207">
        <v>24.35</v>
      </c>
      <c r="AQ15" s="207">
        <v>19.9</v>
      </c>
      <c r="AR15" s="207">
        <v>22.05</v>
      </c>
      <c r="AS15" s="207">
        <v>20.6</v>
      </c>
      <c r="AT15" s="207">
        <v>21.05</v>
      </c>
      <c r="AU15" s="207">
        <v>21.85</v>
      </c>
      <c r="AV15" s="207">
        <v>20.55</v>
      </c>
      <c r="AW15" s="63">
        <v>21.0</v>
      </c>
    </row>
    <row r="16" ht="12.75" customHeight="1">
      <c r="A16" s="13">
        <v>14.0</v>
      </c>
      <c r="B16" s="212">
        <v>14.37</v>
      </c>
      <c r="C16" s="212">
        <v>14.51</v>
      </c>
      <c r="D16" s="212">
        <v>15.39</v>
      </c>
      <c r="E16" s="212">
        <v>16.84</v>
      </c>
      <c r="F16" s="212">
        <v>23.05</v>
      </c>
      <c r="G16" s="226">
        <v>33.68</v>
      </c>
      <c r="H16" s="212">
        <v>44.31</v>
      </c>
      <c r="I16" s="212">
        <v>51.81</v>
      </c>
      <c r="J16" s="82">
        <v>110.57</v>
      </c>
      <c r="L16" s="63">
        <f t="shared" si="1"/>
        <v>0.9375</v>
      </c>
      <c r="M16" s="200">
        <v>15.0</v>
      </c>
      <c r="N16" s="96">
        <v>6.33</v>
      </c>
      <c r="O16" s="214">
        <v>6.42</v>
      </c>
      <c r="P16" s="202">
        <v>6.49</v>
      </c>
      <c r="Q16" s="202">
        <v>6.57</v>
      </c>
      <c r="R16" s="202">
        <v>6.74</v>
      </c>
      <c r="S16" s="202">
        <v>6.99</v>
      </c>
      <c r="T16" s="202">
        <v>7.16</v>
      </c>
      <c r="U16" s="202">
        <v>7.36</v>
      </c>
      <c r="V16" s="202">
        <v>7.36</v>
      </c>
      <c r="W16" s="203"/>
      <c r="X16" s="203"/>
      <c r="Z16" s="63">
        <v>15.0</v>
      </c>
      <c r="AA16" s="193">
        <v>14.9</v>
      </c>
      <c r="AC16" s="209">
        <v>36.0</v>
      </c>
      <c r="AD16" s="227">
        <v>38.5</v>
      </c>
      <c r="AE16" s="228">
        <v>39.0</v>
      </c>
      <c r="AF16" s="229">
        <v>56.25</v>
      </c>
      <c r="AG16" s="227">
        <v>54.45</v>
      </c>
      <c r="AH16" s="227">
        <v>52.2</v>
      </c>
      <c r="AI16" s="227">
        <v>51.95</v>
      </c>
      <c r="AJ16" s="227">
        <v>48.9</v>
      </c>
      <c r="AK16" s="227">
        <v>50.1</v>
      </c>
      <c r="AL16" s="227">
        <v>54.4</v>
      </c>
      <c r="AM16" s="227">
        <v>50.15</v>
      </c>
      <c r="AN16" s="227">
        <v>55.95</v>
      </c>
      <c r="AO16" s="227">
        <v>65.25</v>
      </c>
      <c r="AP16" s="227">
        <v>56.4</v>
      </c>
      <c r="AQ16" s="227">
        <v>48.8</v>
      </c>
      <c r="AR16" s="227">
        <v>47.75</v>
      </c>
      <c r="AS16" s="227">
        <v>48.6</v>
      </c>
      <c r="AT16" s="227">
        <v>52.65</v>
      </c>
      <c r="AU16" s="227">
        <v>51.65</v>
      </c>
      <c r="AV16" s="227">
        <v>50.7</v>
      </c>
      <c r="AW16" s="227">
        <v>49.25</v>
      </c>
    </row>
    <row r="17" ht="12.75" customHeight="1">
      <c r="A17" s="13">
        <v>15.0</v>
      </c>
      <c r="B17" s="215">
        <v>14.8</v>
      </c>
      <c r="C17" s="215">
        <v>14.95</v>
      </c>
      <c r="D17" s="215">
        <v>15.87</v>
      </c>
      <c r="E17" s="215">
        <v>17.39</v>
      </c>
      <c r="F17" s="215">
        <v>24.17</v>
      </c>
      <c r="G17" s="230">
        <v>35.3</v>
      </c>
      <c r="H17" s="215">
        <v>46.43</v>
      </c>
      <c r="I17" s="215">
        <v>54.31</v>
      </c>
      <c r="J17" s="83">
        <v>115.91</v>
      </c>
      <c r="L17" s="231">
        <f t="shared" si="1"/>
        <v>0.9999375</v>
      </c>
      <c r="M17" s="232">
        <v>15.999</v>
      </c>
      <c r="N17" s="96">
        <v>6.33</v>
      </c>
      <c r="O17" s="214">
        <v>6.42</v>
      </c>
      <c r="P17" s="202">
        <v>6.49</v>
      </c>
      <c r="Q17" s="202">
        <v>6.57</v>
      </c>
      <c r="R17" s="202">
        <v>6.74</v>
      </c>
      <c r="S17" s="202">
        <v>6.99</v>
      </c>
      <c r="T17" s="202">
        <v>7.16</v>
      </c>
      <c r="U17" s="202">
        <v>7.36</v>
      </c>
      <c r="V17" s="202">
        <v>7.36</v>
      </c>
      <c r="W17" s="203"/>
      <c r="X17" s="203"/>
      <c r="Z17" s="63">
        <v>16.0</v>
      </c>
      <c r="AA17" s="193">
        <v>15.65</v>
      </c>
      <c r="AC17" s="209">
        <v>40.0</v>
      </c>
      <c r="AD17" s="227">
        <v>38.5</v>
      </c>
      <c r="AE17" s="228">
        <v>39.0</v>
      </c>
      <c r="AF17" s="229">
        <v>56.25</v>
      </c>
      <c r="AG17" s="227">
        <v>54.45</v>
      </c>
      <c r="AH17" s="227">
        <v>52.2</v>
      </c>
      <c r="AI17" s="227">
        <v>51.95</v>
      </c>
      <c r="AJ17" s="227">
        <v>48.9</v>
      </c>
      <c r="AK17" s="227">
        <v>50.1</v>
      </c>
      <c r="AL17" s="227">
        <v>54.4</v>
      </c>
      <c r="AM17" s="227">
        <v>50.15</v>
      </c>
      <c r="AN17" s="227">
        <v>55.95</v>
      </c>
      <c r="AO17" s="227">
        <v>65.25</v>
      </c>
      <c r="AP17" s="227">
        <v>56.4</v>
      </c>
      <c r="AQ17" s="227">
        <v>48.8</v>
      </c>
      <c r="AR17" s="227">
        <v>47.75</v>
      </c>
      <c r="AS17" s="227">
        <v>48.6</v>
      </c>
      <c r="AT17" s="227">
        <v>52.65</v>
      </c>
      <c r="AU17" s="227">
        <v>51.65</v>
      </c>
      <c r="AV17" s="227">
        <v>50.7</v>
      </c>
      <c r="AW17" s="227">
        <v>49.25</v>
      </c>
    </row>
    <row r="18" ht="12.75" customHeight="1">
      <c r="A18" s="31">
        <v>16.0</v>
      </c>
      <c r="B18" s="217">
        <v>15.14</v>
      </c>
      <c r="C18" s="217">
        <v>15.32</v>
      </c>
      <c r="D18" s="217">
        <v>16.26</v>
      </c>
      <c r="E18" s="221">
        <v>17.88</v>
      </c>
      <c r="F18" s="221">
        <v>25.29</v>
      </c>
      <c r="G18" s="222">
        <v>36.92</v>
      </c>
      <c r="H18" s="221">
        <v>48.54</v>
      </c>
      <c r="I18" s="221">
        <v>56.81</v>
      </c>
      <c r="J18" s="80">
        <v>121.24</v>
      </c>
      <c r="M18" s="200">
        <v>1.0</v>
      </c>
      <c r="N18" s="63">
        <v>6.21</v>
      </c>
      <c r="O18" s="63">
        <v>6.21</v>
      </c>
      <c r="P18" s="63">
        <v>7.84</v>
      </c>
      <c r="Q18" s="63">
        <v>6.53</v>
      </c>
      <c r="R18" s="63">
        <v>7.67</v>
      </c>
      <c r="S18" s="63">
        <v>10.09</v>
      </c>
      <c r="T18" s="63">
        <v>9.31</v>
      </c>
      <c r="U18" s="63">
        <v>10.0</v>
      </c>
      <c r="V18" s="63">
        <v>9.29</v>
      </c>
      <c r="Z18" s="63">
        <v>17.0</v>
      </c>
      <c r="AA18" s="193">
        <v>16.4</v>
      </c>
      <c r="AC18" s="209">
        <v>44.0</v>
      </c>
      <c r="AD18" s="227">
        <v>38.5</v>
      </c>
      <c r="AE18" s="228">
        <v>39.0</v>
      </c>
      <c r="AF18" s="229">
        <v>56.25</v>
      </c>
      <c r="AG18" s="227">
        <v>54.45</v>
      </c>
      <c r="AH18" s="227">
        <v>52.2</v>
      </c>
      <c r="AI18" s="227">
        <v>51.95</v>
      </c>
      <c r="AJ18" s="227">
        <v>48.9</v>
      </c>
      <c r="AK18" s="227">
        <v>50.1</v>
      </c>
      <c r="AL18" s="227">
        <v>54.4</v>
      </c>
      <c r="AM18" s="227">
        <v>50.15</v>
      </c>
      <c r="AN18" s="227">
        <v>55.95</v>
      </c>
      <c r="AO18" s="227">
        <v>65.25</v>
      </c>
      <c r="AP18" s="227">
        <v>56.4</v>
      </c>
      <c r="AQ18" s="227">
        <v>48.8</v>
      </c>
      <c r="AR18" s="227">
        <v>47.75</v>
      </c>
      <c r="AS18" s="227">
        <v>48.6</v>
      </c>
      <c r="AT18" s="227">
        <v>52.65</v>
      </c>
      <c r="AU18" s="227">
        <v>51.65</v>
      </c>
      <c r="AV18" s="227">
        <v>50.7</v>
      </c>
      <c r="AW18" s="227">
        <v>49.25</v>
      </c>
    </row>
    <row r="19" ht="12.75" customHeight="1">
      <c r="A19" s="19">
        <v>17.0</v>
      </c>
      <c r="B19" s="220">
        <v>15.48</v>
      </c>
      <c r="C19" s="220">
        <v>15.68</v>
      </c>
      <c r="D19" s="220">
        <v>16.69</v>
      </c>
      <c r="E19" s="221">
        <v>18.37</v>
      </c>
      <c r="F19" s="221">
        <v>26.39</v>
      </c>
      <c r="G19" s="222">
        <v>38.53</v>
      </c>
      <c r="H19" s="221">
        <v>50.66</v>
      </c>
      <c r="I19" s="221">
        <v>59.31</v>
      </c>
      <c r="J19" s="80">
        <v>126.58</v>
      </c>
      <c r="M19" s="200">
        <v>2.0</v>
      </c>
      <c r="N19" s="63">
        <v>6.51</v>
      </c>
      <c r="O19" s="63">
        <v>6.51</v>
      </c>
      <c r="P19" s="63">
        <v>8.45</v>
      </c>
      <c r="Q19" s="63">
        <v>7.16</v>
      </c>
      <c r="R19" s="63">
        <v>8.58</v>
      </c>
      <c r="S19" s="63">
        <v>11.0</v>
      </c>
      <c r="T19" s="63">
        <v>10.67</v>
      </c>
      <c r="U19" s="63">
        <v>11.71</v>
      </c>
      <c r="V19" s="63">
        <v>10.85</v>
      </c>
      <c r="Z19" s="63">
        <v>18.0</v>
      </c>
      <c r="AA19" s="193">
        <v>17.15</v>
      </c>
      <c r="AC19" s="209">
        <v>48.0</v>
      </c>
      <c r="AD19" s="227">
        <v>38.5</v>
      </c>
      <c r="AE19" s="228">
        <v>39.0</v>
      </c>
      <c r="AF19" s="229">
        <v>56.25</v>
      </c>
      <c r="AG19" s="227">
        <v>54.45</v>
      </c>
      <c r="AH19" s="227">
        <v>52.2</v>
      </c>
      <c r="AI19" s="227">
        <v>51.95</v>
      </c>
      <c r="AJ19" s="227">
        <v>48.9</v>
      </c>
      <c r="AK19" s="227">
        <v>50.1</v>
      </c>
      <c r="AL19" s="227">
        <v>54.4</v>
      </c>
      <c r="AM19" s="227">
        <v>50.15</v>
      </c>
      <c r="AN19" s="227">
        <v>55.95</v>
      </c>
      <c r="AO19" s="227">
        <v>65.25</v>
      </c>
      <c r="AP19" s="227">
        <v>56.4</v>
      </c>
      <c r="AQ19" s="227">
        <v>48.8</v>
      </c>
      <c r="AR19" s="227">
        <v>47.75</v>
      </c>
      <c r="AS19" s="227">
        <v>48.6</v>
      </c>
      <c r="AT19" s="227">
        <v>52.65</v>
      </c>
      <c r="AU19" s="227">
        <v>51.65</v>
      </c>
      <c r="AV19" s="227">
        <v>50.7</v>
      </c>
      <c r="AW19" s="227">
        <v>49.25</v>
      </c>
    </row>
    <row r="20" ht="12.75" customHeight="1">
      <c r="A20" s="19">
        <v>18.0</v>
      </c>
      <c r="B20" s="220">
        <v>15.88</v>
      </c>
      <c r="C20" s="220">
        <v>16.09</v>
      </c>
      <c r="D20" s="220">
        <v>17.13</v>
      </c>
      <c r="E20" s="221">
        <v>18.87</v>
      </c>
      <c r="F20" s="221">
        <v>27.5</v>
      </c>
      <c r="G20" s="222">
        <v>40.14</v>
      </c>
      <c r="H20" s="221">
        <v>52.77</v>
      </c>
      <c r="I20" s="221">
        <v>61.81</v>
      </c>
      <c r="J20" s="80">
        <v>131.91</v>
      </c>
      <c r="M20" s="200">
        <v>3.0</v>
      </c>
      <c r="N20" s="63">
        <v>7.28</v>
      </c>
      <c r="O20" s="63">
        <v>7.28</v>
      </c>
      <c r="P20" s="63">
        <v>8.9</v>
      </c>
      <c r="Q20" s="63">
        <v>8.0</v>
      </c>
      <c r="R20" s="63">
        <v>9.27</v>
      </c>
      <c r="S20" s="63">
        <v>11.67</v>
      </c>
      <c r="T20" s="63">
        <v>11.7</v>
      </c>
      <c r="U20" s="63">
        <v>13.28</v>
      </c>
      <c r="V20" s="63">
        <v>12.52</v>
      </c>
      <c r="Z20" s="63">
        <v>19.0</v>
      </c>
      <c r="AA20" s="193">
        <v>17.9</v>
      </c>
      <c r="AC20" s="209">
        <v>52.0</v>
      </c>
      <c r="AD20" s="227">
        <v>47.6</v>
      </c>
      <c r="AE20" s="228">
        <v>51.05</v>
      </c>
      <c r="AF20" s="229">
        <v>74.35</v>
      </c>
      <c r="AG20" s="227">
        <v>78.3</v>
      </c>
      <c r="AH20" s="227">
        <v>72.6</v>
      </c>
      <c r="AI20" s="227">
        <v>69.85</v>
      </c>
      <c r="AJ20" s="227">
        <v>66.25</v>
      </c>
      <c r="AK20" s="227">
        <v>67.5</v>
      </c>
      <c r="AL20" s="227">
        <v>75.55</v>
      </c>
      <c r="AM20" s="227">
        <v>68.65</v>
      </c>
      <c r="AN20" s="227">
        <v>72.0</v>
      </c>
      <c r="AO20" s="227">
        <v>79.1</v>
      </c>
      <c r="AP20" s="227">
        <v>75.7</v>
      </c>
      <c r="AQ20" s="227">
        <v>66.7</v>
      </c>
      <c r="AR20" s="227">
        <v>65.05</v>
      </c>
      <c r="AS20" s="227">
        <v>66.25</v>
      </c>
      <c r="AT20" s="227">
        <v>71.9</v>
      </c>
      <c r="AU20" s="227">
        <v>67.3</v>
      </c>
      <c r="AV20" s="227">
        <v>70.0</v>
      </c>
      <c r="AW20" s="227">
        <v>64.25</v>
      </c>
    </row>
    <row r="21" ht="12.75" customHeight="1">
      <c r="A21" s="19">
        <v>19.0</v>
      </c>
      <c r="B21" s="220">
        <v>16.24</v>
      </c>
      <c r="C21" s="220">
        <v>16.49</v>
      </c>
      <c r="D21" s="220">
        <v>17.56</v>
      </c>
      <c r="E21" s="221">
        <v>19.37</v>
      </c>
      <c r="F21" s="221">
        <v>28.62</v>
      </c>
      <c r="G21" s="222">
        <v>41.75</v>
      </c>
      <c r="H21" s="221">
        <v>54.88</v>
      </c>
      <c r="I21" s="221">
        <v>64.3</v>
      </c>
      <c r="J21" s="80">
        <v>137.23</v>
      </c>
      <c r="M21" s="200">
        <v>4.0</v>
      </c>
      <c r="N21" s="63">
        <v>7.42</v>
      </c>
      <c r="O21" s="63">
        <v>7.42</v>
      </c>
      <c r="P21" s="63">
        <v>9.18</v>
      </c>
      <c r="Q21" s="63">
        <v>8.2</v>
      </c>
      <c r="R21" s="63">
        <v>9.72</v>
      </c>
      <c r="S21" s="63">
        <v>12.22</v>
      </c>
      <c r="T21" s="63">
        <v>12.36</v>
      </c>
      <c r="U21" s="63">
        <v>13.92</v>
      </c>
      <c r="V21" s="63">
        <v>13.68</v>
      </c>
      <c r="Z21" s="63">
        <v>20.0</v>
      </c>
      <c r="AA21" s="193">
        <v>18.65</v>
      </c>
      <c r="AC21" s="209">
        <v>56.0</v>
      </c>
      <c r="AD21" s="227">
        <v>47.6</v>
      </c>
      <c r="AE21" s="228">
        <v>51.05</v>
      </c>
      <c r="AF21" s="229">
        <v>74.35</v>
      </c>
      <c r="AG21" s="227">
        <v>78.3</v>
      </c>
      <c r="AH21" s="227">
        <v>72.6</v>
      </c>
      <c r="AI21" s="227">
        <v>69.85</v>
      </c>
      <c r="AJ21" s="227">
        <v>66.25</v>
      </c>
      <c r="AK21" s="227">
        <v>67.5</v>
      </c>
      <c r="AL21" s="227">
        <v>75.55</v>
      </c>
      <c r="AM21" s="227">
        <v>68.65</v>
      </c>
      <c r="AN21" s="227">
        <v>72.0</v>
      </c>
      <c r="AO21" s="227">
        <v>79.1</v>
      </c>
      <c r="AP21" s="227">
        <v>75.7</v>
      </c>
      <c r="AQ21" s="227">
        <v>66.7</v>
      </c>
      <c r="AR21" s="227">
        <v>65.05</v>
      </c>
      <c r="AS21" s="227">
        <v>66.25</v>
      </c>
      <c r="AT21" s="227">
        <v>71.9</v>
      </c>
      <c r="AU21" s="227">
        <v>67.3</v>
      </c>
      <c r="AV21" s="227">
        <v>70.0</v>
      </c>
      <c r="AW21" s="227">
        <v>64.25</v>
      </c>
    </row>
    <row r="22" ht="12.75" customHeight="1">
      <c r="A22" s="19">
        <v>20.0</v>
      </c>
      <c r="B22" s="223">
        <v>16.97</v>
      </c>
      <c r="C22" s="223">
        <v>17.43</v>
      </c>
      <c r="D22" s="223">
        <v>18.66</v>
      </c>
      <c r="E22" s="224">
        <v>20.03</v>
      </c>
      <c r="F22" s="224">
        <v>29.72</v>
      </c>
      <c r="G22" s="225">
        <v>43.36</v>
      </c>
      <c r="H22" s="224">
        <v>56.99</v>
      </c>
      <c r="I22" s="224">
        <v>66.81</v>
      </c>
      <c r="J22" s="81">
        <v>142.58</v>
      </c>
      <c r="M22" s="200">
        <v>5.0</v>
      </c>
      <c r="N22" s="63">
        <v>7.67</v>
      </c>
      <c r="O22" s="63">
        <v>7.67</v>
      </c>
      <c r="P22" s="63">
        <v>9.47</v>
      </c>
      <c r="Q22" s="63">
        <v>8.55</v>
      </c>
      <c r="R22" s="63">
        <v>10.3</v>
      </c>
      <c r="S22" s="63">
        <v>12.81</v>
      </c>
      <c r="T22" s="63">
        <v>13.22</v>
      </c>
      <c r="U22" s="63">
        <v>15.02</v>
      </c>
      <c r="V22" s="63">
        <v>14.66</v>
      </c>
      <c r="Z22" s="63">
        <v>21.0</v>
      </c>
      <c r="AA22" s="193">
        <v>19.4</v>
      </c>
      <c r="AC22" s="209">
        <v>60.0</v>
      </c>
      <c r="AD22" s="227">
        <v>47.6</v>
      </c>
      <c r="AE22" s="228">
        <v>51.05</v>
      </c>
      <c r="AF22" s="229">
        <v>74.35</v>
      </c>
      <c r="AG22" s="227">
        <v>78.3</v>
      </c>
      <c r="AH22" s="227">
        <v>72.6</v>
      </c>
      <c r="AI22" s="227">
        <v>69.85</v>
      </c>
      <c r="AJ22" s="227">
        <v>66.25</v>
      </c>
      <c r="AK22" s="227">
        <v>67.5</v>
      </c>
      <c r="AL22" s="227">
        <v>75.55</v>
      </c>
      <c r="AM22" s="227">
        <v>68.65</v>
      </c>
      <c r="AN22" s="227">
        <v>72.0</v>
      </c>
      <c r="AO22" s="227">
        <v>79.1</v>
      </c>
      <c r="AP22" s="227">
        <v>75.7</v>
      </c>
      <c r="AQ22" s="227">
        <v>66.7</v>
      </c>
      <c r="AR22" s="227">
        <v>65.05</v>
      </c>
      <c r="AS22" s="227">
        <v>66.25</v>
      </c>
      <c r="AT22" s="227">
        <v>71.9</v>
      </c>
      <c r="AU22" s="227">
        <v>67.3</v>
      </c>
      <c r="AV22" s="227">
        <v>70.0</v>
      </c>
      <c r="AW22" s="227">
        <v>64.25</v>
      </c>
    </row>
    <row r="23" ht="12.75" customHeight="1">
      <c r="A23" s="32">
        <v>21.0</v>
      </c>
      <c r="B23" s="210">
        <v>18.02</v>
      </c>
      <c r="C23" s="210">
        <v>19.06</v>
      </c>
      <c r="D23" s="210">
        <v>20.16</v>
      </c>
      <c r="E23" s="212">
        <v>21.26</v>
      </c>
      <c r="F23" s="212">
        <v>30.97</v>
      </c>
      <c r="G23" s="226">
        <v>46.2</v>
      </c>
      <c r="H23" s="212">
        <v>61.43</v>
      </c>
      <c r="I23" s="212">
        <v>71.94</v>
      </c>
      <c r="J23" s="82">
        <v>153.53</v>
      </c>
      <c r="M23" s="200">
        <v>6.0</v>
      </c>
      <c r="N23" s="63">
        <v>7.77</v>
      </c>
      <c r="O23" s="63">
        <v>7.77</v>
      </c>
      <c r="P23" s="63">
        <v>9.89</v>
      </c>
      <c r="Q23" s="63">
        <v>9.04</v>
      </c>
      <c r="R23" s="63">
        <v>10.88</v>
      </c>
      <c r="S23" s="63">
        <v>13.51</v>
      </c>
      <c r="T23" s="63">
        <v>14.14</v>
      </c>
      <c r="U23" s="63">
        <v>15.79</v>
      </c>
      <c r="V23" s="63">
        <v>15.67</v>
      </c>
      <c r="Z23" s="63">
        <v>22.0</v>
      </c>
      <c r="AA23" s="193">
        <v>20.15</v>
      </c>
      <c r="AC23" s="233">
        <v>64.0</v>
      </c>
      <c r="AD23" s="227">
        <v>47.6</v>
      </c>
      <c r="AE23" s="228">
        <v>51.05</v>
      </c>
      <c r="AF23" s="229">
        <v>74.35</v>
      </c>
      <c r="AG23" s="227">
        <v>78.3</v>
      </c>
      <c r="AH23" s="227">
        <v>72.6</v>
      </c>
      <c r="AI23" s="227">
        <v>69.85</v>
      </c>
      <c r="AJ23" s="227">
        <v>66.25</v>
      </c>
      <c r="AK23" s="227">
        <v>67.5</v>
      </c>
      <c r="AL23" s="227">
        <v>75.55</v>
      </c>
      <c r="AM23" s="227">
        <v>68.65</v>
      </c>
      <c r="AN23" s="227">
        <v>72.0</v>
      </c>
      <c r="AO23" s="227">
        <v>79.1</v>
      </c>
      <c r="AP23" s="227">
        <v>75.7</v>
      </c>
      <c r="AQ23" s="227">
        <v>66.7</v>
      </c>
      <c r="AR23" s="227">
        <v>65.05</v>
      </c>
      <c r="AS23" s="227">
        <v>66.25</v>
      </c>
      <c r="AT23" s="227">
        <v>71.9</v>
      </c>
      <c r="AU23" s="227">
        <v>67.3</v>
      </c>
      <c r="AV23" s="227">
        <v>70.0</v>
      </c>
      <c r="AW23" s="227">
        <v>64.25</v>
      </c>
    </row>
    <row r="24" ht="12.75" customHeight="1">
      <c r="A24" s="13">
        <v>22.0</v>
      </c>
      <c r="B24" s="212">
        <v>19.35</v>
      </c>
      <c r="C24" s="212">
        <v>20.72</v>
      </c>
      <c r="D24" s="212">
        <v>22.04</v>
      </c>
      <c r="E24" s="212">
        <v>23.47</v>
      </c>
      <c r="F24" s="212">
        <v>32.68</v>
      </c>
      <c r="G24" s="226">
        <v>49.29</v>
      </c>
      <c r="H24" s="212">
        <v>65.89</v>
      </c>
      <c r="I24" s="212">
        <v>77.09</v>
      </c>
      <c r="J24" s="82">
        <v>164.52</v>
      </c>
      <c r="M24" s="200">
        <v>7.0</v>
      </c>
      <c r="N24" s="63">
        <v>8.18</v>
      </c>
      <c r="O24" s="63">
        <v>8.18</v>
      </c>
      <c r="P24" s="63">
        <v>10.34</v>
      </c>
      <c r="Q24" s="63">
        <v>10.01</v>
      </c>
      <c r="R24" s="63">
        <v>11.51</v>
      </c>
      <c r="S24" s="63">
        <v>14.21</v>
      </c>
      <c r="T24" s="63">
        <v>15.08</v>
      </c>
      <c r="U24" s="63">
        <v>16.92</v>
      </c>
      <c r="V24" s="63">
        <v>16.81</v>
      </c>
      <c r="Z24" s="63">
        <v>23.0</v>
      </c>
      <c r="AA24" s="193">
        <v>20.9</v>
      </c>
    </row>
    <row r="25" ht="12.75" customHeight="1">
      <c r="A25" s="13">
        <v>23.0</v>
      </c>
      <c r="B25" s="212">
        <v>20.97</v>
      </c>
      <c r="C25" s="212">
        <v>22.59</v>
      </c>
      <c r="D25" s="212">
        <v>24.31</v>
      </c>
      <c r="E25" s="212">
        <v>26.67</v>
      </c>
      <c r="F25" s="212">
        <v>36.45</v>
      </c>
      <c r="G25" s="226">
        <v>53.41</v>
      </c>
      <c r="H25" s="212">
        <v>70.37</v>
      </c>
      <c r="I25" s="212">
        <v>82.26</v>
      </c>
      <c r="J25" s="82">
        <v>175.55</v>
      </c>
      <c r="M25" s="200">
        <v>8.0</v>
      </c>
      <c r="N25" s="63">
        <v>8.89</v>
      </c>
      <c r="O25" s="63">
        <v>8.89</v>
      </c>
      <c r="P25" s="63">
        <v>10.85</v>
      </c>
      <c r="Q25" s="63">
        <v>10.99</v>
      </c>
      <c r="R25" s="63">
        <v>12.15</v>
      </c>
      <c r="S25" s="63">
        <v>14.94</v>
      </c>
      <c r="T25" s="63">
        <v>15.99</v>
      </c>
      <c r="U25" s="63">
        <v>18.09</v>
      </c>
      <c r="V25" s="63">
        <v>17.95</v>
      </c>
      <c r="Z25" s="63">
        <v>24.0</v>
      </c>
      <c r="AA25" s="193">
        <v>21.65</v>
      </c>
    </row>
    <row r="26" ht="12.75" customHeight="1">
      <c r="A26" s="13">
        <v>24.0</v>
      </c>
      <c r="B26" s="212">
        <v>22.85</v>
      </c>
      <c r="C26" s="212">
        <v>24.67</v>
      </c>
      <c r="D26" s="212">
        <v>26.97</v>
      </c>
      <c r="E26" s="212">
        <v>30.84</v>
      </c>
      <c r="F26" s="212">
        <v>42.75</v>
      </c>
      <c r="G26" s="226">
        <v>58.81</v>
      </c>
      <c r="H26" s="212">
        <v>74.86</v>
      </c>
      <c r="I26" s="212">
        <v>87.45</v>
      </c>
      <c r="J26" s="82">
        <v>186.63</v>
      </c>
      <c r="M26" s="200">
        <v>9.0</v>
      </c>
      <c r="N26" s="63">
        <v>9.61</v>
      </c>
      <c r="O26" s="63">
        <v>9.61</v>
      </c>
      <c r="P26" s="63">
        <v>11.38</v>
      </c>
      <c r="Q26" s="63">
        <v>11.63</v>
      </c>
      <c r="R26" s="63">
        <v>12.82</v>
      </c>
      <c r="S26" s="63">
        <v>15.66</v>
      </c>
      <c r="T26" s="63">
        <v>16.85</v>
      </c>
      <c r="U26" s="63">
        <v>19.49</v>
      </c>
      <c r="V26" s="63">
        <v>19.11</v>
      </c>
      <c r="Z26" s="63">
        <v>25.0</v>
      </c>
      <c r="AA26" s="193">
        <v>22.4</v>
      </c>
    </row>
    <row r="27" ht="12.75" customHeight="1">
      <c r="A27" s="16">
        <v>25.0</v>
      </c>
      <c r="B27" s="215">
        <v>24.69</v>
      </c>
      <c r="C27" s="215">
        <v>26.9</v>
      </c>
      <c r="D27" s="215">
        <v>29.99</v>
      </c>
      <c r="E27" s="215">
        <v>35.71</v>
      </c>
      <c r="F27" s="215">
        <v>50.25</v>
      </c>
      <c r="G27" s="230">
        <v>64.82</v>
      </c>
      <c r="H27" s="215">
        <v>79.39</v>
      </c>
      <c r="I27" s="215">
        <v>92.66</v>
      </c>
      <c r="J27" s="83">
        <v>197.75</v>
      </c>
      <c r="M27" s="200">
        <v>10.0</v>
      </c>
      <c r="N27" s="63">
        <v>9.71</v>
      </c>
      <c r="O27" s="63">
        <v>9.71</v>
      </c>
      <c r="P27" s="63">
        <v>11.45</v>
      </c>
      <c r="Q27" s="63">
        <v>11.71</v>
      </c>
      <c r="R27" s="63">
        <v>12.9</v>
      </c>
      <c r="S27" s="63">
        <v>15.76</v>
      </c>
      <c r="T27" s="63">
        <v>16.97</v>
      </c>
      <c r="U27" s="63">
        <v>20.07</v>
      </c>
      <c r="V27" s="63">
        <v>20.28</v>
      </c>
      <c r="Z27" s="63">
        <v>26.0</v>
      </c>
      <c r="AA27" s="193">
        <v>23.15</v>
      </c>
    </row>
    <row r="28" ht="12.75" customHeight="1">
      <c r="A28" s="19">
        <v>26.0</v>
      </c>
      <c r="B28" s="217">
        <v>25.61</v>
      </c>
      <c r="C28" s="217">
        <v>28.01</v>
      </c>
      <c r="D28" s="217">
        <v>31.5</v>
      </c>
      <c r="E28" s="221">
        <v>38.13</v>
      </c>
      <c r="F28" s="221">
        <v>54.01</v>
      </c>
      <c r="G28" s="222">
        <v>70.69</v>
      </c>
      <c r="H28" s="221">
        <v>87.37</v>
      </c>
      <c r="I28" s="221">
        <v>102.29</v>
      </c>
      <c r="J28" s="80">
        <v>218.3</v>
      </c>
      <c r="M28" s="200">
        <v>11.0</v>
      </c>
      <c r="N28" s="63">
        <v>9.71</v>
      </c>
      <c r="O28" s="63">
        <v>9.71</v>
      </c>
      <c r="P28" s="63">
        <v>11.45</v>
      </c>
      <c r="Q28" s="63">
        <v>11.71</v>
      </c>
      <c r="R28" s="63">
        <v>12.9</v>
      </c>
      <c r="S28" s="63">
        <v>15.76</v>
      </c>
      <c r="T28" s="63">
        <v>16.97</v>
      </c>
      <c r="U28" s="63">
        <v>20.07</v>
      </c>
      <c r="V28" s="63">
        <v>21.45</v>
      </c>
      <c r="Z28" s="63">
        <v>27.0</v>
      </c>
      <c r="AA28" s="193">
        <v>23.9</v>
      </c>
    </row>
    <row r="29" ht="12.75" customHeight="1">
      <c r="A29" s="23">
        <v>27.0</v>
      </c>
      <c r="B29" s="220">
        <v>26.54</v>
      </c>
      <c r="C29" s="220">
        <v>29.12</v>
      </c>
      <c r="D29" s="220">
        <v>33.01</v>
      </c>
      <c r="E29" s="221">
        <v>40.57</v>
      </c>
      <c r="F29" s="221">
        <v>57.75</v>
      </c>
      <c r="G29" s="222">
        <v>73.43</v>
      </c>
      <c r="H29" s="221">
        <v>89.11</v>
      </c>
      <c r="I29" s="221">
        <v>104.64</v>
      </c>
      <c r="J29" s="80">
        <v>223.32</v>
      </c>
      <c r="M29" s="200">
        <v>12.0</v>
      </c>
      <c r="N29" s="63">
        <v>9.71</v>
      </c>
      <c r="O29" s="63">
        <v>9.71</v>
      </c>
      <c r="P29" s="63">
        <v>11.45</v>
      </c>
      <c r="Q29" s="63">
        <v>11.71</v>
      </c>
      <c r="R29" s="63">
        <v>12.9</v>
      </c>
      <c r="S29" s="63">
        <v>15.76</v>
      </c>
      <c r="T29" s="63">
        <v>16.97</v>
      </c>
      <c r="U29" s="63">
        <v>20.07</v>
      </c>
      <c r="V29" s="63">
        <v>22.62</v>
      </c>
      <c r="Z29" s="63">
        <v>28.0</v>
      </c>
      <c r="AA29" s="193">
        <v>24.65</v>
      </c>
    </row>
    <row r="30" ht="12.75" customHeight="1">
      <c r="A30" s="23">
        <v>28.0</v>
      </c>
      <c r="B30" s="220">
        <v>27.28</v>
      </c>
      <c r="C30" s="220">
        <v>29.98</v>
      </c>
      <c r="D30" s="220">
        <v>34.01</v>
      </c>
      <c r="E30" s="221">
        <v>41.81</v>
      </c>
      <c r="F30" s="221">
        <v>59.67</v>
      </c>
      <c r="G30" s="222">
        <v>75.25</v>
      </c>
      <c r="H30" s="221">
        <v>90.83</v>
      </c>
      <c r="I30" s="222">
        <v>107.1</v>
      </c>
      <c r="J30" s="80">
        <v>228.57</v>
      </c>
      <c r="M30" s="200">
        <v>13.0</v>
      </c>
      <c r="N30" s="63">
        <v>9.71</v>
      </c>
      <c r="O30" s="63">
        <v>9.71</v>
      </c>
      <c r="P30" s="63">
        <v>11.45</v>
      </c>
      <c r="Q30" s="63">
        <v>11.71</v>
      </c>
      <c r="R30" s="63">
        <v>12.9</v>
      </c>
      <c r="S30" s="63">
        <v>15.76</v>
      </c>
      <c r="T30" s="63">
        <v>16.97</v>
      </c>
      <c r="U30" s="63">
        <v>20.07</v>
      </c>
      <c r="V30" s="63">
        <v>23.79</v>
      </c>
      <c r="Z30" s="63">
        <v>29.0</v>
      </c>
      <c r="AA30" s="193">
        <v>25.4</v>
      </c>
    </row>
    <row r="31" ht="12.75" customHeight="1">
      <c r="A31" s="23">
        <v>29.0</v>
      </c>
      <c r="B31" s="220">
        <v>28.0</v>
      </c>
      <c r="C31" s="220">
        <v>30.81</v>
      </c>
      <c r="D31" s="220">
        <v>35.01</v>
      </c>
      <c r="E31" s="221">
        <v>43.02</v>
      </c>
      <c r="F31" s="221">
        <v>61.57</v>
      </c>
      <c r="G31" s="222">
        <v>77.07</v>
      </c>
      <c r="H31" s="221">
        <v>92.56</v>
      </c>
      <c r="I31" s="222">
        <v>109.29</v>
      </c>
      <c r="J31" s="80">
        <v>233.24</v>
      </c>
      <c r="M31" s="200">
        <v>14.0</v>
      </c>
      <c r="N31" s="63">
        <v>9.71</v>
      </c>
      <c r="O31" s="63">
        <v>9.71</v>
      </c>
      <c r="P31" s="63">
        <v>11.45</v>
      </c>
      <c r="Q31" s="63">
        <v>11.71</v>
      </c>
      <c r="R31" s="63">
        <v>12.9</v>
      </c>
      <c r="S31" s="63">
        <v>15.76</v>
      </c>
      <c r="T31" s="63">
        <v>16.97</v>
      </c>
      <c r="U31" s="63">
        <v>20.07</v>
      </c>
      <c r="V31" s="63">
        <v>24.98</v>
      </c>
      <c r="Z31" s="63">
        <v>30.0</v>
      </c>
      <c r="AA31" s="193">
        <v>26.15</v>
      </c>
    </row>
    <row r="32" ht="12.75" customHeight="1">
      <c r="A32" s="23">
        <v>30.0</v>
      </c>
      <c r="B32" s="223">
        <v>28.73</v>
      </c>
      <c r="C32" s="223">
        <v>31.63</v>
      </c>
      <c r="D32" s="223">
        <v>35.99</v>
      </c>
      <c r="E32" s="224">
        <v>44.23</v>
      </c>
      <c r="F32" s="224">
        <v>63.45</v>
      </c>
      <c r="G32" s="225">
        <v>78.87</v>
      </c>
      <c r="H32" s="224">
        <v>94.28</v>
      </c>
      <c r="I32" s="225">
        <v>111.31</v>
      </c>
      <c r="J32" s="81">
        <v>237.55</v>
      </c>
      <c r="M32" s="200">
        <v>15.0</v>
      </c>
      <c r="N32" s="63">
        <v>9.71</v>
      </c>
      <c r="O32" s="63">
        <v>9.71</v>
      </c>
      <c r="P32" s="63">
        <v>11.45</v>
      </c>
      <c r="Q32" s="63">
        <v>11.71</v>
      </c>
      <c r="R32" s="63">
        <v>12.9</v>
      </c>
      <c r="S32" s="63">
        <v>15.76</v>
      </c>
      <c r="T32" s="63">
        <v>16.97</v>
      </c>
      <c r="U32" s="63">
        <v>20.07</v>
      </c>
      <c r="V32" s="63">
        <v>26.14</v>
      </c>
      <c r="Z32" s="63">
        <v>31.0</v>
      </c>
      <c r="AA32" s="193">
        <v>26.9</v>
      </c>
    </row>
    <row r="33" ht="12.75" customHeight="1">
      <c r="A33" s="9">
        <v>31.0</v>
      </c>
      <c r="B33" s="210">
        <v>29.44</v>
      </c>
      <c r="C33" s="210">
        <v>32.45</v>
      </c>
      <c r="D33" s="210">
        <v>36.95</v>
      </c>
      <c r="E33" s="212">
        <v>45.41</v>
      </c>
      <c r="F33" s="212">
        <v>65.29</v>
      </c>
      <c r="G33" s="226">
        <v>80.65</v>
      </c>
      <c r="H33" s="212">
        <v>96.01</v>
      </c>
      <c r="I33" s="226">
        <v>113.4</v>
      </c>
      <c r="J33" s="82">
        <v>242.01</v>
      </c>
      <c r="M33" s="200">
        <v>16.0</v>
      </c>
      <c r="N33" s="63">
        <v>9.71</v>
      </c>
      <c r="O33" s="63">
        <v>9.71</v>
      </c>
      <c r="P33" s="63">
        <v>11.45</v>
      </c>
      <c r="Q33" s="63">
        <v>11.71</v>
      </c>
      <c r="R33" s="63">
        <v>12.9</v>
      </c>
      <c r="S33" s="63">
        <v>15.76</v>
      </c>
      <c r="T33" s="63">
        <v>16.97</v>
      </c>
      <c r="U33" s="63">
        <v>20.07</v>
      </c>
      <c r="V33" s="63">
        <v>27.27</v>
      </c>
      <c r="Z33" s="63">
        <v>32.0</v>
      </c>
      <c r="AA33" s="193">
        <v>27.65</v>
      </c>
    </row>
    <row r="34" ht="12.75" customHeight="1">
      <c r="A34" s="33">
        <v>32.0</v>
      </c>
      <c r="B34" s="212">
        <v>30.15</v>
      </c>
      <c r="C34" s="212">
        <v>33.25</v>
      </c>
      <c r="D34" s="212">
        <v>37.9</v>
      </c>
      <c r="E34" s="212">
        <v>46.57</v>
      </c>
      <c r="F34" s="212">
        <v>67.11</v>
      </c>
      <c r="G34" s="226">
        <v>82.43</v>
      </c>
      <c r="H34" s="212">
        <v>97.74</v>
      </c>
      <c r="I34" s="226">
        <v>115.35</v>
      </c>
      <c r="J34" s="82">
        <v>246.17</v>
      </c>
      <c r="M34" s="200">
        <v>17.0</v>
      </c>
      <c r="N34" s="63">
        <v>9.71</v>
      </c>
      <c r="O34" s="63">
        <v>9.71</v>
      </c>
      <c r="P34" s="63">
        <v>11.45</v>
      </c>
      <c r="Q34" s="63">
        <v>11.71</v>
      </c>
      <c r="R34" s="63">
        <v>12.9</v>
      </c>
      <c r="S34" s="63">
        <v>15.76</v>
      </c>
      <c r="T34" s="63">
        <v>16.97</v>
      </c>
      <c r="U34" s="63">
        <v>20.07</v>
      </c>
      <c r="V34" s="63">
        <v>28.13</v>
      </c>
      <c r="Z34" s="63">
        <v>33.0</v>
      </c>
      <c r="AA34" s="193">
        <v>28.4</v>
      </c>
    </row>
    <row r="35" ht="12.75" customHeight="1">
      <c r="A35" s="33">
        <v>33.0</v>
      </c>
      <c r="B35" s="212">
        <v>30.86</v>
      </c>
      <c r="C35" s="212">
        <v>34.05</v>
      </c>
      <c r="D35" s="212">
        <v>38.84</v>
      </c>
      <c r="E35" s="212">
        <v>47.72</v>
      </c>
      <c r="F35" s="212">
        <v>68.91</v>
      </c>
      <c r="G35" s="226">
        <v>84.18</v>
      </c>
      <c r="H35" s="212">
        <v>99.45</v>
      </c>
      <c r="I35" s="226">
        <v>117.4</v>
      </c>
      <c r="J35" s="82">
        <v>250.55</v>
      </c>
      <c r="M35" s="200">
        <v>18.0</v>
      </c>
      <c r="N35" s="63">
        <v>9.71</v>
      </c>
      <c r="O35" s="63">
        <v>9.71</v>
      </c>
      <c r="P35" s="63">
        <v>11.45</v>
      </c>
      <c r="Q35" s="63">
        <v>11.71</v>
      </c>
      <c r="R35" s="63">
        <v>12.9</v>
      </c>
      <c r="S35" s="63">
        <v>15.76</v>
      </c>
      <c r="T35" s="63">
        <v>16.97</v>
      </c>
      <c r="U35" s="63">
        <v>20.07</v>
      </c>
      <c r="V35" s="63">
        <v>29.08</v>
      </c>
      <c r="Z35" s="63">
        <v>34.0</v>
      </c>
      <c r="AA35" s="193">
        <v>29.15</v>
      </c>
    </row>
    <row r="36" ht="12.75" customHeight="1">
      <c r="A36" s="33">
        <v>34.0</v>
      </c>
      <c r="B36" s="212">
        <v>31.55</v>
      </c>
      <c r="C36" s="212">
        <v>34.83</v>
      </c>
      <c r="D36" s="212">
        <v>39.75</v>
      </c>
      <c r="E36" s="212">
        <v>48.84</v>
      </c>
      <c r="F36" s="212">
        <v>70.7</v>
      </c>
      <c r="G36" s="226">
        <v>85.94</v>
      </c>
      <c r="H36" s="212">
        <v>101.18</v>
      </c>
      <c r="I36" s="226">
        <v>119.42</v>
      </c>
      <c r="J36" s="82">
        <v>254.86</v>
      </c>
      <c r="M36" s="200">
        <v>19.0</v>
      </c>
      <c r="N36" s="63">
        <v>9.71</v>
      </c>
      <c r="O36" s="63">
        <v>9.71</v>
      </c>
      <c r="P36" s="63">
        <v>11.45</v>
      </c>
      <c r="Q36" s="63">
        <v>11.71</v>
      </c>
      <c r="R36" s="63">
        <v>12.9</v>
      </c>
      <c r="S36" s="63">
        <v>15.76</v>
      </c>
      <c r="T36" s="63">
        <v>16.97</v>
      </c>
      <c r="U36" s="63">
        <v>20.07</v>
      </c>
      <c r="V36" s="63">
        <v>30.02</v>
      </c>
      <c r="Z36" s="63">
        <v>35.0</v>
      </c>
      <c r="AA36" s="193">
        <v>29.9</v>
      </c>
    </row>
    <row r="37" ht="12.75" customHeight="1">
      <c r="A37" s="16">
        <v>35.0</v>
      </c>
      <c r="B37" s="215">
        <v>32.24</v>
      </c>
      <c r="C37" s="215">
        <v>35.61</v>
      </c>
      <c r="D37" s="215">
        <v>40.65</v>
      </c>
      <c r="E37" s="215">
        <v>49.95</v>
      </c>
      <c r="F37" s="215">
        <v>72.45</v>
      </c>
      <c r="G37" s="230">
        <v>87.68</v>
      </c>
      <c r="H37" s="215">
        <v>102.91</v>
      </c>
      <c r="I37" s="230">
        <v>121.32</v>
      </c>
      <c r="J37" s="83">
        <v>258.91</v>
      </c>
      <c r="M37" s="200">
        <v>20.0</v>
      </c>
      <c r="N37" s="63">
        <v>12.84</v>
      </c>
      <c r="O37" s="63">
        <v>13.31</v>
      </c>
      <c r="P37" s="63">
        <v>14.06</v>
      </c>
      <c r="Q37" s="63">
        <v>15.34</v>
      </c>
      <c r="R37" s="63">
        <v>17.8</v>
      </c>
      <c r="S37" s="63">
        <v>21.05</v>
      </c>
      <c r="T37" s="63">
        <v>24.23</v>
      </c>
      <c r="U37" s="63">
        <v>28.62</v>
      </c>
      <c r="V37" s="63">
        <v>32.48</v>
      </c>
      <c r="Z37" s="63">
        <v>36.0</v>
      </c>
      <c r="AA37" s="193">
        <v>30.65</v>
      </c>
    </row>
    <row r="38" ht="12.75" customHeight="1">
      <c r="A38" s="5">
        <v>36.0</v>
      </c>
      <c r="B38" s="208">
        <v>32.93</v>
      </c>
      <c r="C38" s="208">
        <v>36.37</v>
      </c>
      <c r="D38" s="208">
        <v>41.54</v>
      </c>
      <c r="E38" s="208">
        <v>51.04</v>
      </c>
      <c r="F38" s="208">
        <v>74.17</v>
      </c>
      <c r="G38" s="208">
        <v>89.32</v>
      </c>
      <c r="H38" s="208">
        <v>104.47</v>
      </c>
      <c r="I38" s="208">
        <v>123.31</v>
      </c>
      <c r="J38" s="84">
        <v>263.16</v>
      </c>
      <c r="M38" s="200">
        <v>21.0</v>
      </c>
      <c r="N38" s="63">
        <v>15.74</v>
      </c>
      <c r="O38" s="63">
        <v>16.63</v>
      </c>
      <c r="P38" s="63">
        <v>17.59</v>
      </c>
      <c r="Q38" s="63">
        <v>18.56</v>
      </c>
      <c r="R38" s="63">
        <v>22.24</v>
      </c>
      <c r="S38" s="63">
        <v>26.98</v>
      </c>
      <c r="T38" s="63">
        <v>32.32</v>
      </c>
      <c r="U38" s="63">
        <v>36.62</v>
      </c>
      <c r="V38" s="63">
        <v>36.62</v>
      </c>
      <c r="Z38" s="63">
        <v>37.0</v>
      </c>
      <c r="AA38" s="193">
        <v>31.4</v>
      </c>
    </row>
    <row r="39" ht="12.75" customHeight="1">
      <c r="A39" s="9">
        <v>37.0</v>
      </c>
      <c r="B39" s="210">
        <v>33.59</v>
      </c>
      <c r="C39" s="210">
        <v>37.13</v>
      </c>
      <c r="D39" s="210">
        <v>42.42</v>
      </c>
      <c r="E39" s="85">
        <v>52.12</v>
      </c>
      <c r="F39" s="85">
        <v>75.89</v>
      </c>
      <c r="G39" s="85">
        <v>90.96</v>
      </c>
      <c r="H39" s="85">
        <v>106.02</v>
      </c>
      <c r="I39" s="85">
        <v>125.28</v>
      </c>
      <c r="J39" s="85">
        <v>267.37</v>
      </c>
      <c r="M39" s="200">
        <v>22.0</v>
      </c>
      <c r="N39" s="63">
        <v>16.91</v>
      </c>
      <c r="O39" s="63">
        <v>18.07</v>
      </c>
      <c r="P39" s="63">
        <v>19.24</v>
      </c>
      <c r="Q39" s="63">
        <v>20.49</v>
      </c>
      <c r="R39" s="63">
        <v>25.07</v>
      </c>
      <c r="S39" s="63">
        <v>31.28</v>
      </c>
      <c r="T39" s="63">
        <v>37.75</v>
      </c>
      <c r="U39" s="63">
        <v>42.36</v>
      </c>
      <c r="V39" s="63">
        <v>42.36</v>
      </c>
      <c r="Z39" s="63">
        <v>38.0</v>
      </c>
      <c r="AA39" s="193">
        <v>32.15</v>
      </c>
    </row>
    <row r="40" ht="12.75" customHeight="1">
      <c r="A40" s="13">
        <v>38.0</v>
      </c>
      <c r="B40" s="212">
        <v>34.26</v>
      </c>
      <c r="C40" s="212">
        <v>37.86</v>
      </c>
      <c r="D40" s="212">
        <v>43.27</v>
      </c>
      <c r="E40" s="82">
        <v>53.17</v>
      </c>
      <c r="F40" s="82">
        <v>77.56</v>
      </c>
      <c r="G40" s="82">
        <v>92.55</v>
      </c>
      <c r="H40" s="82">
        <v>107.53</v>
      </c>
      <c r="I40" s="212">
        <v>127.25</v>
      </c>
      <c r="J40" s="86">
        <v>271.57</v>
      </c>
      <c r="M40" s="200">
        <v>23.0</v>
      </c>
      <c r="N40" s="63">
        <v>18.31</v>
      </c>
      <c r="O40" s="63">
        <v>19.71</v>
      </c>
      <c r="P40" s="63">
        <v>21.21</v>
      </c>
      <c r="Q40" s="63">
        <v>23.27</v>
      </c>
      <c r="R40" s="63">
        <v>28.99</v>
      </c>
      <c r="S40" s="63">
        <v>36.85</v>
      </c>
      <c r="T40" s="63">
        <v>44.4</v>
      </c>
      <c r="U40" s="63">
        <v>49.73</v>
      </c>
      <c r="V40" s="63">
        <v>49.73</v>
      </c>
      <c r="Z40" s="63">
        <v>39.0</v>
      </c>
      <c r="AA40" s="193">
        <v>32.9</v>
      </c>
    </row>
    <row r="41" ht="12.75" customHeight="1">
      <c r="A41" s="13">
        <v>39.0</v>
      </c>
      <c r="B41" s="212">
        <v>34.93</v>
      </c>
      <c r="C41" s="212">
        <v>38.6</v>
      </c>
      <c r="D41" s="212">
        <v>44.11</v>
      </c>
      <c r="E41" s="82">
        <v>54.2</v>
      </c>
      <c r="F41" s="212">
        <v>79.22</v>
      </c>
      <c r="G41" s="86">
        <v>94.34</v>
      </c>
      <c r="H41" s="82">
        <v>109.46</v>
      </c>
      <c r="I41" s="82">
        <v>129.19</v>
      </c>
      <c r="J41" s="82">
        <v>275.71</v>
      </c>
      <c r="M41" s="200">
        <v>24.0</v>
      </c>
      <c r="N41" s="63">
        <v>19.96</v>
      </c>
      <c r="O41" s="63">
        <v>21.51</v>
      </c>
      <c r="P41" s="63">
        <v>23.53</v>
      </c>
      <c r="Q41" s="63">
        <v>26.92</v>
      </c>
      <c r="R41" s="63">
        <v>34.0</v>
      </c>
      <c r="S41" s="63">
        <v>43.66</v>
      </c>
      <c r="T41" s="63">
        <v>52.28</v>
      </c>
      <c r="U41" s="63">
        <v>58.72</v>
      </c>
      <c r="V41" s="63">
        <v>58.72</v>
      </c>
      <c r="Z41" s="63">
        <v>40.0</v>
      </c>
      <c r="AA41" s="193">
        <v>33.65</v>
      </c>
    </row>
    <row r="42" ht="12.75" customHeight="1">
      <c r="A42" s="16">
        <v>40.0</v>
      </c>
      <c r="B42" s="215">
        <v>35.58</v>
      </c>
      <c r="C42" s="215">
        <v>39.33</v>
      </c>
      <c r="D42" s="215">
        <v>44.94</v>
      </c>
      <c r="E42" s="83">
        <v>55.22</v>
      </c>
      <c r="F42" s="82">
        <v>80.85</v>
      </c>
      <c r="G42" s="82">
        <v>96.08</v>
      </c>
      <c r="H42" s="82">
        <v>111.3</v>
      </c>
      <c r="I42" s="82">
        <v>131.1</v>
      </c>
      <c r="J42" s="83">
        <v>279.79</v>
      </c>
      <c r="M42" s="200">
        <v>25.0</v>
      </c>
      <c r="N42" s="63">
        <v>21.55</v>
      </c>
      <c r="O42" s="63">
        <v>23.45</v>
      </c>
      <c r="P42" s="63">
        <v>26.15</v>
      </c>
      <c r="Q42" s="63">
        <v>31.16</v>
      </c>
      <c r="R42" s="63">
        <v>39.96</v>
      </c>
      <c r="S42" s="63">
        <v>49.59</v>
      </c>
      <c r="T42" s="63">
        <v>58.63</v>
      </c>
      <c r="U42" s="63">
        <v>66.57</v>
      </c>
      <c r="V42" s="63">
        <v>66.57</v>
      </c>
      <c r="Z42" s="63">
        <v>41.0</v>
      </c>
      <c r="AA42" s="193">
        <v>34.4</v>
      </c>
    </row>
    <row r="43" ht="12.75" customHeight="1">
      <c r="A43" s="19">
        <v>41.0</v>
      </c>
      <c r="B43" s="217">
        <v>36.23</v>
      </c>
      <c r="C43" s="217">
        <v>40.04</v>
      </c>
      <c r="D43" s="217">
        <v>45.75</v>
      </c>
      <c r="E43" s="218">
        <v>56.22</v>
      </c>
      <c r="F43" s="218">
        <v>82.46</v>
      </c>
      <c r="G43" s="219">
        <v>97.79</v>
      </c>
      <c r="H43" s="218">
        <v>113.12</v>
      </c>
      <c r="I43" s="218">
        <v>133.07</v>
      </c>
      <c r="J43" s="87">
        <v>283.99</v>
      </c>
      <c r="M43" s="200">
        <v>26.0</v>
      </c>
      <c r="N43" s="63">
        <v>22.36</v>
      </c>
      <c r="O43" s="63">
        <v>24.42</v>
      </c>
      <c r="P43" s="63">
        <v>27.47</v>
      </c>
      <c r="Q43" s="63">
        <v>33.27</v>
      </c>
      <c r="R43" s="63">
        <v>42.96</v>
      </c>
      <c r="S43" s="63">
        <v>52.56</v>
      </c>
      <c r="T43" s="63">
        <v>61.82</v>
      </c>
      <c r="U43" s="63">
        <v>70.5</v>
      </c>
      <c r="V43" s="63">
        <v>70.5</v>
      </c>
      <c r="Z43" s="63">
        <v>42.0</v>
      </c>
      <c r="AA43" s="193">
        <v>35.15</v>
      </c>
    </row>
    <row r="44" ht="12.75" customHeight="1">
      <c r="A44" s="23">
        <v>42.0</v>
      </c>
      <c r="B44" s="220">
        <v>36.87</v>
      </c>
      <c r="C44" s="220">
        <v>40.74</v>
      </c>
      <c r="D44" s="220">
        <v>46.55</v>
      </c>
      <c r="E44" s="221">
        <v>57.19</v>
      </c>
      <c r="F44" s="221">
        <v>84.04</v>
      </c>
      <c r="G44" s="222">
        <v>99.38</v>
      </c>
      <c r="H44" s="221">
        <v>114.72</v>
      </c>
      <c r="I44" s="221">
        <v>134.95</v>
      </c>
      <c r="J44" s="80">
        <v>288.0</v>
      </c>
      <c r="M44" s="200">
        <v>27.0</v>
      </c>
      <c r="N44" s="63">
        <v>23.17</v>
      </c>
      <c r="O44" s="63">
        <v>25.4</v>
      </c>
      <c r="P44" s="63">
        <v>28.79</v>
      </c>
      <c r="Q44" s="63">
        <v>35.4</v>
      </c>
      <c r="R44" s="63">
        <v>45.94</v>
      </c>
      <c r="S44" s="63">
        <v>55.55</v>
      </c>
      <c r="T44" s="63">
        <v>65.01</v>
      </c>
      <c r="U44" s="63">
        <v>74.46</v>
      </c>
      <c r="V44" s="63">
        <v>74.46</v>
      </c>
      <c r="Z44" s="63">
        <v>43.0</v>
      </c>
      <c r="AA44" s="193">
        <v>35.9</v>
      </c>
    </row>
    <row r="45" ht="12.75" customHeight="1">
      <c r="A45" s="19">
        <v>43.0</v>
      </c>
      <c r="B45" s="220">
        <v>37.5</v>
      </c>
      <c r="C45" s="220">
        <v>41.43</v>
      </c>
      <c r="D45" s="220">
        <v>47.33</v>
      </c>
      <c r="E45" s="221">
        <v>58.15</v>
      </c>
      <c r="F45" s="221">
        <v>85.6</v>
      </c>
      <c r="G45" s="222">
        <v>100.95</v>
      </c>
      <c r="H45" s="221">
        <v>116.3</v>
      </c>
      <c r="I45" s="221">
        <v>136.75</v>
      </c>
      <c r="J45" s="80">
        <v>291.84</v>
      </c>
      <c r="M45" s="200">
        <v>28.0</v>
      </c>
      <c r="N45" s="63">
        <v>23.82</v>
      </c>
      <c r="O45" s="63">
        <v>26.14</v>
      </c>
      <c r="P45" s="63">
        <v>29.67</v>
      </c>
      <c r="Q45" s="63">
        <v>36.49</v>
      </c>
      <c r="R45" s="63">
        <v>47.47</v>
      </c>
      <c r="S45" s="63">
        <v>57.46</v>
      </c>
      <c r="T45" s="63">
        <v>67.28</v>
      </c>
      <c r="U45" s="63">
        <v>77.08</v>
      </c>
      <c r="V45" s="63">
        <v>77.08</v>
      </c>
      <c r="Z45" s="63">
        <v>44.0</v>
      </c>
      <c r="AA45" s="193">
        <v>36.65</v>
      </c>
    </row>
    <row r="46" ht="12.75" customHeight="1">
      <c r="A46" s="19">
        <v>44.0</v>
      </c>
      <c r="B46" s="220">
        <v>38.13</v>
      </c>
      <c r="C46" s="220">
        <v>42.11</v>
      </c>
      <c r="D46" s="220">
        <v>48.09</v>
      </c>
      <c r="E46" s="221">
        <v>59.1</v>
      </c>
      <c r="F46" s="221">
        <v>87.13</v>
      </c>
      <c r="G46" s="222">
        <v>102.5</v>
      </c>
      <c r="H46" s="221">
        <v>117.87</v>
      </c>
      <c r="I46" s="221">
        <v>138.69</v>
      </c>
      <c r="J46" s="80">
        <v>295.98</v>
      </c>
      <c r="M46" s="200">
        <v>29.0</v>
      </c>
      <c r="N46" s="63">
        <v>24.45</v>
      </c>
      <c r="O46" s="63">
        <v>26.86</v>
      </c>
      <c r="P46" s="63">
        <v>30.54</v>
      </c>
      <c r="Q46" s="63">
        <v>37.55</v>
      </c>
      <c r="R46" s="63">
        <v>48.99</v>
      </c>
      <c r="S46" s="63">
        <v>59.34</v>
      </c>
      <c r="T46" s="63">
        <v>69.52</v>
      </c>
      <c r="U46" s="63">
        <v>79.68</v>
      </c>
      <c r="V46" s="63">
        <v>79.68</v>
      </c>
      <c r="Z46" s="63">
        <v>45.0</v>
      </c>
      <c r="AA46" s="193">
        <v>37.4</v>
      </c>
    </row>
    <row r="47" ht="12.75" customHeight="1">
      <c r="A47" s="27">
        <v>45.0</v>
      </c>
      <c r="B47" s="220">
        <v>38.75</v>
      </c>
      <c r="C47" s="220">
        <v>42.79</v>
      </c>
      <c r="D47" s="223">
        <v>48.85</v>
      </c>
      <c r="E47" s="224">
        <v>60.03</v>
      </c>
      <c r="F47" s="224">
        <v>88.64</v>
      </c>
      <c r="G47" s="225">
        <v>104.02</v>
      </c>
      <c r="H47" s="224">
        <v>119.4</v>
      </c>
      <c r="I47" s="224">
        <v>140.57</v>
      </c>
      <c r="J47" s="81">
        <v>300.0</v>
      </c>
      <c r="M47" s="200">
        <v>30.0</v>
      </c>
      <c r="N47" s="63">
        <v>25.08</v>
      </c>
      <c r="O47" s="63">
        <v>27.57</v>
      </c>
      <c r="P47" s="63">
        <v>31.39</v>
      </c>
      <c r="Q47" s="63">
        <v>38.6</v>
      </c>
      <c r="R47" s="63">
        <v>50.48</v>
      </c>
      <c r="S47" s="63">
        <v>61.2</v>
      </c>
      <c r="T47" s="63">
        <v>71.73</v>
      </c>
      <c r="U47" s="63">
        <v>82.24</v>
      </c>
      <c r="V47" s="63">
        <v>82.24</v>
      </c>
      <c r="Z47" s="63">
        <v>46.0</v>
      </c>
      <c r="AA47" s="193">
        <v>38.15</v>
      </c>
    </row>
    <row r="48" ht="12.75" customHeight="1">
      <c r="A48" s="13">
        <v>46.0</v>
      </c>
      <c r="B48" s="210">
        <v>39.36</v>
      </c>
      <c r="C48" s="210">
        <v>43.45</v>
      </c>
      <c r="D48" s="212">
        <v>49.59</v>
      </c>
      <c r="E48" s="212">
        <v>60.93</v>
      </c>
      <c r="F48" s="212">
        <v>90.12</v>
      </c>
      <c r="G48" s="226">
        <v>105.53</v>
      </c>
      <c r="H48" s="212">
        <v>120.93</v>
      </c>
      <c r="I48" s="212">
        <v>142.42</v>
      </c>
      <c r="J48" s="82">
        <v>303.94</v>
      </c>
      <c r="M48" s="200">
        <v>31.0</v>
      </c>
      <c r="N48" s="63">
        <v>25.7</v>
      </c>
      <c r="O48" s="63">
        <v>28.28</v>
      </c>
      <c r="P48" s="63">
        <v>32.22</v>
      </c>
      <c r="Q48" s="63">
        <v>39.63</v>
      </c>
      <c r="R48" s="63">
        <v>51.94</v>
      </c>
      <c r="S48" s="63">
        <v>63.02</v>
      </c>
      <c r="T48" s="63">
        <v>73.91</v>
      </c>
      <c r="U48" s="63">
        <v>84.77</v>
      </c>
      <c r="V48" s="63">
        <v>84.77</v>
      </c>
      <c r="Z48" s="63">
        <v>47.0</v>
      </c>
      <c r="AA48" s="193">
        <v>38.9</v>
      </c>
    </row>
    <row r="49" ht="12.75" customHeight="1">
      <c r="A49" s="13">
        <v>47.0</v>
      </c>
      <c r="B49" s="212">
        <v>39.97</v>
      </c>
      <c r="C49" s="212">
        <v>44.1</v>
      </c>
      <c r="D49" s="212">
        <v>50.3</v>
      </c>
      <c r="E49" s="212">
        <v>61.82</v>
      </c>
      <c r="F49" s="212">
        <v>91.59</v>
      </c>
      <c r="G49" s="226">
        <v>107.05</v>
      </c>
      <c r="H49" s="212">
        <v>122.5</v>
      </c>
      <c r="I49" s="212">
        <v>144.29</v>
      </c>
      <c r="J49" s="82">
        <v>307.94</v>
      </c>
      <c r="M49" s="200">
        <v>32.0</v>
      </c>
      <c r="N49" s="63">
        <v>26.31</v>
      </c>
      <c r="O49" s="63">
        <v>28.98</v>
      </c>
      <c r="P49" s="63">
        <v>33.04</v>
      </c>
      <c r="Q49" s="63">
        <v>40.63</v>
      </c>
      <c r="R49" s="63">
        <v>53.38</v>
      </c>
      <c r="S49" s="63">
        <v>64.82</v>
      </c>
      <c r="T49" s="63">
        <v>76.06</v>
      </c>
      <c r="U49" s="63">
        <v>87.28</v>
      </c>
      <c r="V49" s="63">
        <v>87.28</v>
      </c>
      <c r="Z49" s="63">
        <v>48.0</v>
      </c>
      <c r="AA49" s="193">
        <v>39.65</v>
      </c>
    </row>
    <row r="50" ht="12.75" customHeight="1">
      <c r="A50" s="13">
        <v>48.0</v>
      </c>
      <c r="B50" s="212">
        <v>40.57</v>
      </c>
      <c r="C50" s="212">
        <v>44.74</v>
      </c>
      <c r="D50" s="212">
        <v>51.02</v>
      </c>
      <c r="E50" s="212">
        <v>62.68</v>
      </c>
      <c r="F50" s="212">
        <v>93.03</v>
      </c>
      <c r="G50" s="226">
        <v>108.52</v>
      </c>
      <c r="H50" s="212">
        <v>124.01</v>
      </c>
      <c r="I50" s="212">
        <v>146.1</v>
      </c>
      <c r="J50" s="82">
        <v>311.8</v>
      </c>
      <c r="M50" s="200">
        <v>33.0</v>
      </c>
      <c r="N50" s="63">
        <v>26.92</v>
      </c>
      <c r="O50" s="63">
        <v>29.66</v>
      </c>
      <c r="P50" s="63">
        <v>33.85</v>
      </c>
      <c r="Q50" s="63">
        <v>41.62</v>
      </c>
      <c r="R50" s="63">
        <v>54.82</v>
      </c>
      <c r="S50" s="63">
        <v>66.61</v>
      </c>
      <c r="T50" s="63">
        <v>78.19</v>
      </c>
      <c r="U50" s="63">
        <v>89.76</v>
      </c>
      <c r="V50" s="63">
        <v>89.76</v>
      </c>
      <c r="Z50" s="63">
        <v>49.0</v>
      </c>
      <c r="AA50" s="193">
        <v>40.4</v>
      </c>
    </row>
    <row r="51" ht="12.75" customHeight="1">
      <c r="A51" s="13">
        <v>49.0</v>
      </c>
      <c r="B51" s="212">
        <v>41.16</v>
      </c>
      <c r="C51" s="212">
        <v>45.38</v>
      </c>
      <c r="D51" s="212">
        <v>51.71</v>
      </c>
      <c r="E51" s="212">
        <v>63.54</v>
      </c>
      <c r="F51" s="212">
        <v>94.45</v>
      </c>
      <c r="G51" s="226">
        <v>110.0</v>
      </c>
      <c r="H51" s="212">
        <v>125.54</v>
      </c>
      <c r="I51" s="212">
        <v>147.9</v>
      </c>
      <c r="J51" s="82">
        <v>315.64</v>
      </c>
      <c r="M51" s="200">
        <v>34.0</v>
      </c>
      <c r="N51" s="63">
        <v>27.52</v>
      </c>
      <c r="O51" s="63">
        <v>30.35</v>
      </c>
      <c r="P51" s="63">
        <v>34.64</v>
      </c>
      <c r="Q51" s="63">
        <v>42.6</v>
      </c>
      <c r="R51" s="63">
        <v>56.23</v>
      </c>
      <c r="S51" s="63">
        <v>68.37</v>
      </c>
      <c r="T51" s="63">
        <v>80.29</v>
      </c>
      <c r="U51" s="63">
        <v>92.2</v>
      </c>
      <c r="V51" s="63">
        <v>92.2</v>
      </c>
      <c r="Z51" s="63">
        <v>50.0</v>
      </c>
      <c r="AA51" s="193">
        <v>41.15</v>
      </c>
    </row>
    <row r="52" ht="12.75" customHeight="1">
      <c r="A52" s="13">
        <v>50.0</v>
      </c>
      <c r="B52" s="215">
        <v>41.75</v>
      </c>
      <c r="C52" s="215">
        <v>46.0</v>
      </c>
      <c r="D52" s="215">
        <v>52.39</v>
      </c>
      <c r="E52" s="215">
        <v>64.37</v>
      </c>
      <c r="F52" s="215">
        <v>95.83</v>
      </c>
      <c r="G52" s="230">
        <v>111.5</v>
      </c>
      <c r="H52" s="215">
        <v>127.16</v>
      </c>
      <c r="I52" s="215">
        <v>149.74</v>
      </c>
      <c r="J52" s="83">
        <v>319.57</v>
      </c>
      <c r="M52" s="200">
        <v>35.0</v>
      </c>
      <c r="N52" s="63">
        <v>28.13</v>
      </c>
      <c r="O52" s="63">
        <v>31.02</v>
      </c>
      <c r="P52" s="63">
        <v>35.43</v>
      </c>
      <c r="Q52" s="63">
        <v>43.58</v>
      </c>
      <c r="R52" s="63">
        <v>57.64</v>
      </c>
      <c r="S52" s="63">
        <v>70.13</v>
      </c>
      <c r="T52" s="63">
        <v>82.39</v>
      </c>
      <c r="U52" s="63">
        <v>94.65</v>
      </c>
      <c r="V52" s="63">
        <v>94.65</v>
      </c>
      <c r="Z52" s="63">
        <v>51.0</v>
      </c>
      <c r="AA52" s="193">
        <v>41.9</v>
      </c>
    </row>
    <row r="53" ht="12.75" customHeight="1">
      <c r="A53" s="31">
        <v>51.0</v>
      </c>
      <c r="B53" s="217">
        <v>42.32</v>
      </c>
      <c r="C53" s="217">
        <v>46.62</v>
      </c>
      <c r="D53" s="217">
        <v>53.04</v>
      </c>
      <c r="E53" s="221">
        <v>65.17</v>
      </c>
      <c r="F53" s="221">
        <v>97.2</v>
      </c>
      <c r="G53" s="222">
        <v>113.02</v>
      </c>
      <c r="H53" s="221">
        <v>128.83</v>
      </c>
      <c r="I53" s="221">
        <v>151.55</v>
      </c>
      <c r="J53" s="80">
        <v>323.43</v>
      </c>
      <c r="M53" s="200">
        <v>36.0</v>
      </c>
      <c r="N53" s="63">
        <v>28.7</v>
      </c>
      <c r="O53" s="63">
        <v>31.68</v>
      </c>
      <c r="P53" s="63">
        <v>36.19</v>
      </c>
      <c r="Q53" s="63">
        <v>44.49</v>
      </c>
      <c r="R53" s="63">
        <v>58.97</v>
      </c>
      <c r="S53" s="63">
        <v>71.8</v>
      </c>
      <c r="T53" s="63">
        <v>84.41</v>
      </c>
      <c r="U53" s="63">
        <v>97.02</v>
      </c>
      <c r="V53" s="63">
        <v>97.02</v>
      </c>
      <c r="Z53" s="63">
        <v>52.0</v>
      </c>
      <c r="AA53" s="193">
        <v>42.65</v>
      </c>
    </row>
    <row r="54" ht="12.75" customHeight="1">
      <c r="A54" s="19">
        <v>52.0</v>
      </c>
      <c r="B54" s="220">
        <v>42.9</v>
      </c>
      <c r="C54" s="220">
        <v>47.21</v>
      </c>
      <c r="D54" s="220">
        <v>53.68</v>
      </c>
      <c r="E54" s="221">
        <v>65.97</v>
      </c>
      <c r="F54" s="221">
        <v>98.54</v>
      </c>
      <c r="G54" s="222">
        <v>114.54</v>
      </c>
      <c r="H54" s="221">
        <v>130.53</v>
      </c>
      <c r="I54" s="221">
        <v>153.42</v>
      </c>
      <c r="J54" s="80">
        <v>327.42</v>
      </c>
      <c r="M54" s="200">
        <v>37.0</v>
      </c>
      <c r="N54" s="63">
        <v>29.29</v>
      </c>
      <c r="O54" s="63">
        <v>32.35</v>
      </c>
      <c r="P54" s="63">
        <v>36.96</v>
      </c>
      <c r="Q54" s="63">
        <v>45.43</v>
      </c>
      <c r="R54" s="63">
        <v>60.33</v>
      </c>
      <c r="S54" s="63">
        <v>73.5</v>
      </c>
      <c r="T54" s="63">
        <v>86.45</v>
      </c>
      <c r="U54" s="63">
        <v>99.4</v>
      </c>
      <c r="V54" s="63">
        <v>99.4</v>
      </c>
      <c r="Z54" s="63">
        <v>53.0</v>
      </c>
      <c r="AA54" s="193">
        <v>43.4</v>
      </c>
    </row>
    <row r="55" ht="12.75" customHeight="1">
      <c r="A55" s="19">
        <v>53.0</v>
      </c>
      <c r="B55" s="220">
        <v>43.46</v>
      </c>
      <c r="C55" s="220">
        <v>47.81</v>
      </c>
      <c r="D55" s="220">
        <v>54.32</v>
      </c>
      <c r="E55" s="221">
        <v>66.74</v>
      </c>
      <c r="F55" s="221">
        <v>99.85</v>
      </c>
      <c r="G55" s="222">
        <v>116.07</v>
      </c>
      <c r="H55" s="221">
        <v>132.29</v>
      </c>
      <c r="I55" s="221">
        <v>155.36</v>
      </c>
      <c r="J55" s="80">
        <v>331.56</v>
      </c>
      <c r="M55" s="200">
        <v>38.0</v>
      </c>
      <c r="N55" s="63">
        <v>29.87</v>
      </c>
      <c r="O55" s="63">
        <v>32.99</v>
      </c>
      <c r="P55" s="63">
        <v>37.7</v>
      </c>
      <c r="Q55" s="63">
        <v>46.35</v>
      </c>
      <c r="R55" s="63">
        <v>61.67</v>
      </c>
      <c r="S55" s="63">
        <v>75.19</v>
      </c>
      <c r="T55" s="63">
        <v>88.46</v>
      </c>
      <c r="U55" s="63">
        <v>101.76</v>
      </c>
      <c r="V55" s="63">
        <v>101.76</v>
      </c>
      <c r="Z55" s="63">
        <v>54.0</v>
      </c>
      <c r="AA55" s="193">
        <v>44.15</v>
      </c>
    </row>
    <row r="56" ht="12.75" customHeight="1">
      <c r="A56" s="19">
        <v>54.0</v>
      </c>
      <c r="B56" s="220">
        <v>44.02</v>
      </c>
      <c r="C56" s="220">
        <v>48.38</v>
      </c>
      <c r="D56" s="220">
        <v>54.94</v>
      </c>
      <c r="E56" s="221">
        <v>67.5</v>
      </c>
      <c r="F56" s="221">
        <v>101.15</v>
      </c>
      <c r="G56" s="222">
        <v>117.57</v>
      </c>
      <c r="H56" s="221">
        <v>133.98</v>
      </c>
      <c r="I56" s="221">
        <v>157.36</v>
      </c>
      <c r="J56" s="80">
        <v>335.83</v>
      </c>
      <c r="M56" s="200">
        <v>39.0</v>
      </c>
      <c r="N56" s="63">
        <v>30.45</v>
      </c>
      <c r="O56" s="63">
        <v>33.63</v>
      </c>
      <c r="P56" s="63">
        <v>38.43</v>
      </c>
      <c r="Q56" s="63">
        <v>47.25</v>
      </c>
      <c r="R56" s="63">
        <v>63.0</v>
      </c>
      <c r="S56" s="63">
        <v>76.85</v>
      </c>
      <c r="T56" s="63">
        <v>90.44</v>
      </c>
      <c r="U56" s="63">
        <v>104.09</v>
      </c>
      <c r="V56" s="63">
        <v>104.09</v>
      </c>
      <c r="Z56" s="63">
        <v>55.0</v>
      </c>
      <c r="AA56" s="193">
        <v>44.9</v>
      </c>
    </row>
    <row r="57" ht="12.75" customHeight="1">
      <c r="A57" s="19">
        <v>55.0</v>
      </c>
      <c r="B57" s="223">
        <v>44.57</v>
      </c>
      <c r="C57" s="223">
        <v>48.96</v>
      </c>
      <c r="D57" s="223">
        <v>55.53</v>
      </c>
      <c r="E57" s="224">
        <v>68.24</v>
      </c>
      <c r="F57" s="224">
        <v>102.41</v>
      </c>
      <c r="G57" s="225">
        <v>119.08</v>
      </c>
      <c r="H57" s="224">
        <v>135.74</v>
      </c>
      <c r="I57" s="224">
        <v>159.32</v>
      </c>
      <c r="J57" s="81">
        <v>340.01</v>
      </c>
      <c r="M57" s="200">
        <v>40.0</v>
      </c>
      <c r="N57" s="63">
        <v>31.03</v>
      </c>
      <c r="O57" s="63">
        <v>34.26</v>
      </c>
      <c r="P57" s="63">
        <v>39.15</v>
      </c>
      <c r="Q57" s="63">
        <v>48.14</v>
      </c>
      <c r="R57" s="63">
        <v>64.3</v>
      </c>
      <c r="S57" s="63">
        <v>78.48</v>
      </c>
      <c r="T57" s="63">
        <v>92.4</v>
      </c>
      <c r="U57" s="63">
        <v>106.39</v>
      </c>
      <c r="V57" s="63">
        <v>106.39</v>
      </c>
      <c r="Z57" s="63">
        <v>56.0</v>
      </c>
      <c r="AA57" s="193">
        <v>45.65</v>
      </c>
    </row>
    <row r="58" ht="12.75" customHeight="1">
      <c r="A58" s="32">
        <v>56.0</v>
      </c>
      <c r="B58" s="210">
        <v>45.12</v>
      </c>
      <c r="C58" s="210">
        <v>49.52</v>
      </c>
      <c r="D58" s="210">
        <v>56.12</v>
      </c>
      <c r="E58" s="212">
        <v>68.97</v>
      </c>
      <c r="F58" s="212">
        <v>103.65</v>
      </c>
      <c r="G58" s="226">
        <v>120.54</v>
      </c>
      <c r="H58" s="212">
        <v>137.42</v>
      </c>
      <c r="I58" s="212">
        <v>161.18</v>
      </c>
      <c r="J58" s="82">
        <v>343.98</v>
      </c>
      <c r="M58" s="200">
        <v>41.0</v>
      </c>
      <c r="N58" s="63">
        <v>31.58</v>
      </c>
      <c r="O58" s="63">
        <v>34.89</v>
      </c>
      <c r="P58" s="63">
        <v>39.86</v>
      </c>
      <c r="Q58" s="63">
        <v>49.03</v>
      </c>
      <c r="R58" s="63">
        <v>65.59</v>
      </c>
      <c r="S58" s="63">
        <v>80.1</v>
      </c>
      <c r="T58" s="63">
        <v>94.34</v>
      </c>
      <c r="U58" s="63">
        <v>108.67</v>
      </c>
      <c r="V58" s="63">
        <v>108.67</v>
      </c>
      <c r="Z58" s="63">
        <v>57.0</v>
      </c>
      <c r="AA58" s="193">
        <v>46.4</v>
      </c>
    </row>
    <row r="59" ht="12.75" customHeight="1">
      <c r="A59" s="13">
        <v>57.0</v>
      </c>
      <c r="B59" s="212">
        <v>45.66</v>
      </c>
      <c r="C59" s="212">
        <v>50.07</v>
      </c>
      <c r="D59" s="212">
        <v>56.69</v>
      </c>
      <c r="E59" s="212">
        <v>69.67</v>
      </c>
      <c r="F59" s="212">
        <v>104.88</v>
      </c>
      <c r="G59" s="226">
        <v>121.87</v>
      </c>
      <c r="H59" s="212">
        <v>138.86</v>
      </c>
      <c r="I59" s="212">
        <v>162.9</v>
      </c>
      <c r="J59" s="82">
        <v>347.65</v>
      </c>
      <c r="M59" s="200">
        <v>42.0</v>
      </c>
      <c r="N59" s="63">
        <v>32.14</v>
      </c>
      <c r="O59" s="63">
        <v>35.49</v>
      </c>
      <c r="P59" s="63">
        <v>40.55</v>
      </c>
      <c r="Q59" s="63">
        <v>49.88</v>
      </c>
      <c r="R59" s="63">
        <v>66.86</v>
      </c>
      <c r="S59" s="63">
        <v>81.69</v>
      </c>
      <c r="T59" s="63">
        <v>96.26</v>
      </c>
      <c r="U59" s="63">
        <v>110.92</v>
      </c>
      <c r="V59" s="63">
        <v>110.92</v>
      </c>
      <c r="Z59" s="63">
        <v>58.0</v>
      </c>
      <c r="AA59" s="193">
        <v>47.15</v>
      </c>
    </row>
    <row r="60" ht="12.75" customHeight="1">
      <c r="A60" s="13">
        <v>58.0</v>
      </c>
      <c r="B60" s="212">
        <v>46.18</v>
      </c>
      <c r="C60" s="212">
        <v>50.61</v>
      </c>
      <c r="D60" s="212">
        <v>57.25</v>
      </c>
      <c r="E60" s="212">
        <v>70.35</v>
      </c>
      <c r="F60" s="212">
        <v>106.07</v>
      </c>
      <c r="G60" s="226">
        <v>123.23</v>
      </c>
      <c r="H60" s="212">
        <v>140.39</v>
      </c>
      <c r="I60" s="212">
        <v>164.69</v>
      </c>
      <c r="J60" s="82">
        <v>351.47</v>
      </c>
      <c r="M60" s="200">
        <v>43.0</v>
      </c>
      <c r="N60" s="63">
        <v>32.7</v>
      </c>
      <c r="O60" s="63">
        <v>36.1</v>
      </c>
      <c r="P60" s="63">
        <v>41.24</v>
      </c>
      <c r="Q60" s="63">
        <v>50.72</v>
      </c>
      <c r="R60" s="63">
        <v>68.1</v>
      </c>
      <c r="S60" s="63">
        <v>83.26</v>
      </c>
      <c r="T60" s="63">
        <v>98.14</v>
      </c>
      <c r="U60" s="63">
        <v>113.14</v>
      </c>
      <c r="V60" s="63">
        <v>113.14</v>
      </c>
      <c r="Z60" s="63">
        <v>59.0</v>
      </c>
      <c r="AA60" s="193">
        <v>47.9</v>
      </c>
    </row>
    <row r="61" ht="12.75" customHeight="1">
      <c r="A61" s="13">
        <v>59.0</v>
      </c>
      <c r="B61" s="212">
        <v>46.71</v>
      </c>
      <c r="C61" s="212">
        <v>51.15</v>
      </c>
      <c r="D61" s="212">
        <v>57.79</v>
      </c>
      <c r="E61" s="212">
        <v>71.01</v>
      </c>
      <c r="F61" s="212">
        <v>107.24</v>
      </c>
      <c r="G61" s="226">
        <v>124.54</v>
      </c>
      <c r="H61" s="212">
        <v>141.83</v>
      </c>
      <c r="I61" s="212">
        <v>166.43</v>
      </c>
      <c r="J61" s="82">
        <v>355.19</v>
      </c>
      <c r="M61" s="200">
        <v>44.0</v>
      </c>
      <c r="N61" s="63">
        <v>33.25</v>
      </c>
      <c r="O61" s="63">
        <v>36.69</v>
      </c>
      <c r="P61" s="63">
        <v>41.9</v>
      </c>
      <c r="Q61" s="63">
        <v>51.55</v>
      </c>
      <c r="R61" s="63">
        <v>69.32</v>
      </c>
      <c r="S61" s="63">
        <v>84.8</v>
      </c>
      <c r="T61" s="63">
        <v>100.0</v>
      </c>
      <c r="U61" s="63">
        <v>115.33</v>
      </c>
      <c r="V61" s="63">
        <v>115.33</v>
      </c>
      <c r="Z61" s="63">
        <v>60.0</v>
      </c>
      <c r="AA61" s="193">
        <v>48.65</v>
      </c>
    </row>
    <row r="62" ht="12.75" customHeight="1">
      <c r="A62" s="16">
        <v>60.0</v>
      </c>
      <c r="B62" s="215">
        <v>47.23</v>
      </c>
      <c r="C62" s="215">
        <v>51.66</v>
      </c>
      <c r="D62" s="215">
        <v>58.32</v>
      </c>
      <c r="E62" s="215">
        <v>71.66</v>
      </c>
      <c r="F62" s="215">
        <v>108.39</v>
      </c>
      <c r="G62" s="230">
        <v>125.83</v>
      </c>
      <c r="H62" s="215">
        <v>143.26</v>
      </c>
      <c r="I62" s="215">
        <v>168.13</v>
      </c>
      <c r="J62" s="83">
        <v>358.81</v>
      </c>
      <c r="M62" s="200">
        <v>45.0</v>
      </c>
      <c r="N62" s="63">
        <v>33.79</v>
      </c>
      <c r="O62" s="63">
        <v>37.28</v>
      </c>
      <c r="P62" s="63">
        <v>42.57</v>
      </c>
      <c r="Q62" s="63">
        <v>52.36</v>
      </c>
      <c r="R62" s="63">
        <v>70.54</v>
      </c>
      <c r="S62" s="63">
        <v>86.33</v>
      </c>
      <c r="T62" s="63">
        <v>101.84</v>
      </c>
      <c r="U62" s="63">
        <v>117.51</v>
      </c>
      <c r="V62" s="63">
        <v>117.51</v>
      </c>
      <c r="Z62" s="63">
        <v>61.0</v>
      </c>
      <c r="AA62" s="193">
        <v>49.4</v>
      </c>
    </row>
    <row r="63" ht="12.75" customHeight="1">
      <c r="A63" s="19">
        <v>61.0</v>
      </c>
      <c r="B63" s="217">
        <v>47.74</v>
      </c>
      <c r="C63" s="217">
        <v>52.17</v>
      </c>
      <c r="D63" s="217">
        <v>58.82</v>
      </c>
      <c r="E63" s="221">
        <v>72.29</v>
      </c>
      <c r="F63" s="221">
        <v>109.51</v>
      </c>
      <c r="G63" s="222">
        <v>127.2</v>
      </c>
      <c r="H63" s="221">
        <v>144.89</v>
      </c>
      <c r="I63" s="221">
        <v>170.16</v>
      </c>
      <c r="J63" s="80">
        <v>363.15</v>
      </c>
      <c r="M63" s="200">
        <v>46.0</v>
      </c>
      <c r="N63" s="63">
        <v>34.33</v>
      </c>
      <c r="O63" s="63">
        <v>37.85</v>
      </c>
      <c r="P63" s="63">
        <v>43.21</v>
      </c>
      <c r="Q63" s="63">
        <v>53.15</v>
      </c>
      <c r="R63" s="63">
        <v>71.72</v>
      </c>
      <c r="S63" s="63">
        <v>87.84</v>
      </c>
      <c r="T63" s="63">
        <v>103.66</v>
      </c>
      <c r="U63" s="63">
        <v>119.65</v>
      </c>
      <c r="V63" s="63">
        <v>119.65</v>
      </c>
      <c r="Z63" s="63">
        <v>62.0</v>
      </c>
      <c r="AA63" s="193">
        <v>50.15</v>
      </c>
    </row>
    <row r="64" ht="12.75" customHeight="1">
      <c r="A64" s="23">
        <v>62.0</v>
      </c>
      <c r="B64" s="220">
        <v>48.24</v>
      </c>
      <c r="C64" s="220">
        <v>52.68</v>
      </c>
      <c r="D64" s="220">
        <v>59.32</v>
      </c>
      <c r="E64" s="221">
        <v>72.9</v>
      </c>
      <c r="F64" s="221">
        <v>110.6</v>
      </c>
      <c r="G64" s="222">
        <v>128.57</v>
      </c>
      <c r="H64" s="221">
        <v>146.53</v>
      </c>
      <c r="I64" s="221">
        <v>172.3</v>
      </c>
      <c r="J64" s="80">
        <v>367.71</v>
      </c>
      <c r="M64" s="200">
        <v>47.0</v>
      </c>
      <c r="N64" s="63">
        <v>34.86</v>
      </c>
      <c r="O64" s="63">
        <v>38.42</v>
      </c>
      <c r="P64" s="63">
        <v>43.84</v>
      </c>
      <c r="Q64" s="63">
        <v>53.92</v>
      </c>
      <c r="R64" s="63">
        <v>72.89</v>
      </c>
      <c r="S64" s="63">
        <v>89.31</v>
      </c>
      <c r="T64" s="63">
        <v>105.43</v>
      </c>
      <c r="U64" s="63">
        <v>121.76</v>
      </c>
      <c r="V64" s="63">
        <v>121.76</v>
      </c>
      <c r="Z64" s="63">
        <v>63.0</v>
      </c>
      <c r="AA64" s="193">
        <v>50.9</v>
      </c>
    </row>
    <row r="65" ht="12.75" customHeight="1">
      <c r="A65" s="23">
        <v>63.0</v>
      </c>
      <c r="B65" s="220">
        <v>48.73</v>
      </c>
      <c r="C65" s="220">
        <v>53.17</v>
      </c>
      <c r="D65" s="220">
        <v>59.8</v>
      </c>
      <c r="E65" s="221">
        <v>73.48</v>
      </c>
      <c r="F65" s="221">
        <v>111.68</v>
      </c>
      <c r="G65" s="222">
        <v>129.8</v>
      </c>
      <c r="H65" s="221">
        <v>147.92</v>
      </c>
      <c r="I65" s="222">
        <v>174.43</v>
      </c>
      <c r="J65" s="80">
        <v>372.26</v>
      </c>
      <c r="M65" s="200">
        <v>48.0</v>
      </c>
      <c r="N65" s="63">
        <v>35.38</v>
      </c>
      <c r="O65" s="63">
        <v>38.98</v>
      </c>
      <c r="P65" s="63">
        <v>44.46</v>
      </c>
      <c r="Q65" s="63">
        <v>54.68</v>
      </c>
      <c r="R65" s="63">
        <v>74.05</v>
      </c>
      <c r="S65" s="63">
        <v>90.77</v>
      </c>
      <c r="T65" s="63">
        <v>107.19</v>
      </c>
      <c r="U65" s="63">
        <v>123.85</v>
      </c>
      <c r="V65" s="63">
        <v>123.85</v>
      </c>
      <c r="Z65" s="63">
        <v>64.0</v>
      </c>
      <c r="AA65" s="193">
        <v>51.65</v>
      </c>
    </row>
    <row r="66" ht="12.75" customHeight="1">
      <c r="A66" s="23">
        <v>64.0</v>
      </c>
      <c r="B66" s="220">
        <v>49.23</v>
      </c>
      <c r="C66" s="220">
        <v>53.65</v>
      </c>
      <c r="D66" s="220">
        <v>60.27</v>
      </c>
      <c r="E66" s="221">
        <v>74.06</v>
      </c>
      <c r="F66" s="221">
        <v>112.73</v>
      </c>
      <c r="G66" s="222">
        <v>131.02</v>
      </c>
      <c r="H66" s="221">
        <v>149.3</v>
      </c>
      <c r="I66" s="222">
        <v>176.55</v>
      </c>
      <c r="J66" s="80">
        <v>376.78</v>
      </c>
      <c r="M66" s="200">
        <v>49.0</v>
      </c>
      <c r="N66" s="63">
        <v>35.91</v>
      </c>
      <c r="O66" s="63">
        <v>39.53</v>
      </c>
      <c r="P66" s="63">
        <v>45.06</v>
      </c>
      <c r="Q66" s="63">
        <v>55.43</v>
      </c>
      <c r="R66" s="63">
        <v>75.18</v>
      </c>
      <c r="S66" s="63">
        <v>92.2</v>
      </c>
      <c r="T66" s="63">
        <v>108.93</v>
      </c>
      <c r="U66" s="63">
        <v>125.91</v>
      </c>
      <c r="V66" s="63">
        <v>125.91</v>
      </c>
      <c r="Z66" s="63">
        <v>65.0</v>
      </c>
      <c r="AA66" s="193">
        <v>52.4</v>
      </c>
    </row>
    <row r="67" ht="12.75" customHeight="1">
      <c r="A67" s="23">
        <v>65.0</v>
      </c>
      <c r="B67" s="223">
        <v>49.71</v>
      </c>
      <c r="C67" s="223">
        <v>54.12</v>
      </c>
      <c r="D67" s="223">
        <v>60.72</v>
      </c>
      <c r="E67" s="224">
        <v>74.61</v>
      </c>
      <c r="F67" s="224">
        <v>113.75</v>
      </c>
      <c r="G67" s="225">
        <v>132.22</v>
      </c>
      <c r="H67" s="224">
        <v>150.69</v>
      </c>
      <c r="I67" s="225">
        <v>178.66</v>
      </c>
      <c r="J67" s="81">
        <v>381.29</v>
      </c>
      <c r="M67" s="200">
        <v>50.0</v>
      </c>
      <c r="N67" s="63">
        <v>36.41</v>
      </c>
      <c r="O67" s="63">
        <v>40.07</v>
      </c>
      <c r="P67" s="63">
        <v>45.66</v>
      </c>
      <c r="Q67" s="63">
        <v>56.16</v>
      </c>
      <c r="R67" s="63">
        <v>76.29</v>
      </c>
      <c r="S67" s="63">
        <v>93.61</v>
      </c>
      <c r="T67" s="63">
        <v>110.64</v>
      </c>
      <c r="U67" s="63">
        <v>127.94</v>
      </c>
      <c r="V67" s="63">
        <v>127.94</v>
      </c>
      <c r="Z67" s="63">
        <v>66.0</v>
      </c>
      <c r="AA67" s="193">
        <v>53.15</v>
      </c>
    </row>
    <row r="68" ht="12.75" customHeight="1">
      <c r="A68" s="9">
        <v>66.0</v>
      </c>
      <c r="B68" s="210">
        <v>50.19</v>
      </c>
      <c r="C68" s="210">
        <v>54.57</v>
      </c>
      <c r="D68" s="210">
        <v>61.15</v>
      </c>
      <c r="E68" s="212">
        <v>75.14</v>
      </c>
      <c r="F68" s="212">
        <v>114.75</v>
      </c>
      <c r="G68" s="226">
        <v>133.38</v>
      </c>
      <c r="H68" s="212">
        <v>152.01</v>
      </c>
      <c r="I68" s="226">
        <v>180.82</v>
      </c>
      <c r="J68" s="82">
        <v>385.9</v>
      </c>
      <c r="M68" s="200">
        <v>51.0</v>
      </c>
      <c r="N68" s="63">
        <v>36.91</v>
      </c>
      <c r="O68" s="63">
        <v>40.62</v>
      </c>
      <c r="P68" s="63">
        <v>46.23</v>
      </c>
      <c r="Q68" s="63">
        <v>56.87</v>
      </c>
      <c r="R68" s="63">
        <v>77.38</v>
      </c>
      <c r="S68" s="63">
        <v>95.0</v>
      </c>
      <c r="T68" s="63">
        <v>112.32</v>
      </c>
      <c r="U68" s="63">
        <v>129.95</v>
      </c>
      <c r="V68" s="63">
        <v>129.95</v>
      </c>
      <c r="Z68" s="63">
        <v>67.0</v>
      </c>
      <c r="AA68" s="193">
        <v>53.9</v>
      </c>
    </row>
    <row r="69" ht="12.75" customHeight="1">
      <c r="A69" s="33">
        <v>67.0</v>
      </c>
      <c r="B69" s="212">
        <v>50.65</v>
      </c>
      <c r="C69" s="212">
        <v>55.02</v>
      </c>
      <c r="D69" s="212">
        <v>61.57</v>
      </c>
      <c r="E69" s="212">
        <v>75.66</v>
      </c>
      <c r="F69" s="212">
        <v>115.73</v>
      </c>
      <c r="G69" s="226">
        <v>134.55</v>
      </c>
      <c r="H69" s="212">
        <v>153.37</v>
      </c>
      <c r="I69" s="226">
        <v>182.84</v>
      </c>
      <c r="J69" s="82">
        <v>390.21</v>
      </c>
      <c r="M69" s="200">
        <v>52.0</v>
      </c>
      <c r="N69" s="63">
        <v>37.42</v>
      </c>
      <c r="O69" s="63">
        <v>41.13</v>
      </c>
      <c r="P69" s="63">
        <v>46.79</v>
      </c>
      <c r="Q69" s="63">
        <v>57.57</v>
      </c>
      <c r="R69" s="63">
        <v>78.46</v>
      </c>
      <c r="S69" s="63">
        <v>96.37</v>
      </c>
      <c r="T69" s="63">
        <v>113.97</v>
      </c>
      <c r="U69" s="63">
        <v>131.93</v>
      </c>
      <c r="V69" s="63">
        <v>131.93</v>
      </c>
      <c r="Z69" s="63">
        <v>68.0</v>
      </c>
      <c r="AA69" s="193">
        <v>54.65</v>
      </c>
    </row>
    <row r="70" ht="12.75" customHeight="1">
      <c r="A70" s="33">
        <v>68.0</v>
      </c>
      <c r="B70" s="212">
        <v>51.12</v>
      </c>
      <c r="C70" s="212">
        <v>55.46</v>
      </c>
      <c r="D70" s="212">
        <v>61.98</v>
      </c>
      <c r="E70" s="212">
        <v>76.16</v>
      </c>
      <c r="F70" s="212">
        <v>116.68</v>
      </c>
      <c r="G70" s="226">
        <v>135.73</v>
      </c>
      <c r="H70" s="212">
        <v>154.77</v>
      </c>
      <c r="I70" s="226">
        <v>184.78</v>
      </c>
      <c r="J70" s="82">
        <v>394.35</v>
      </c>
      <c r="M70" s="200">
        <v>53.0</v>
      </c>
      <c r="N70" s="63">
        <v>37.91</v>
      </c>
      <c r="O70" s="63">
        <v>41.66</v>
      </c>
      <c r="P70" s="63">
        <v>47.35</v>
      </c>
      <c r="Q70" s="63">
        <v>58.24</v>
      </c>
      <c r="R70" s="63">
        <v>79.51</v>
      </c>
      <c r="S70" s="63">
        <v>97.71</v>
      </c>
      <c r="T70" s="63">
        <v>115.61</v>
      </c>
      <c r="U70" s="63">
        <v>133.89</v>
      </c>
      <c r="V70" s="63">
        <v>133.89</v>
      </c>
      <c r="Z70" s="63">
        <v>69.0</v>
      </c>
      <c r="AA70" s="193">
        <v>55.4</v>
      </c>
    </row>
    <row r="71" ht="12.75" customHeight="1">
      <c r="A71" s="33">
        <v>69.0</v>
      </c>
      <c r="B71" s="212">
        <v>51.58</v>
      </c>
      <c r="C71" s="212">
        <v>55.9</v>
      </c>
      <c r="D71" s="212">
        <v>62.37</v>
      </c>
      <c r="E71" s="212">
        <v>76.64</v>
      </c>
      <c r="F71" s="212">
        <v>117.61</v>
      </c>
      <c r="G71" s="226">
        <v>136.89</v>
      </c>
      <c r="H71" s="212">
        <v>156.16</v>
      </c>
      <c r="I71" s="226">
        <v>186.72</v>
      </c>
      <c r="J71" s="82">
        <v>398.49</v>
      </c>
      <c r="M71" s="200">
        <v>54.0</v>
      </c>
      <c r="N71" s="63">
        <v>38.4</v>
      </c>
      <c r="O71" s="63">
        <v>42.15</v>
      </c>
      <c r="P71" s="63">
        <v>47.89</v>
      </c>
      <c r="Q71" s="63">
        <v>58.91</v>
      </c>
      <c r="R71" s="63">
        <v>80.55</v>
      </c>
      <c r="S71" s="63">
        <v>99.03</v>
      </c>
      <c r="T71" s="63">
        <v>117.22</v>
      </c>
      <c r="U71" s="63">
        <v>135.8</v>
      </c>
      <c r="V71" s="63">
        <v>135.8</v>
      </c>
      <c r="Z71" s="63">
        <v>70.0</v>
      </c>
      <c r="AA71" s="193">
        <v>56.15</v>
      </c>
    </row>
    <row r="72" ht="12.75" customHeight="1">
      <c r="A72" s="16">
        <v>70.0</v>
      </c>
      <c r="B72" s="215">
        <v>52.02</v>
      </c>
      <c r="C72" s="215">
        <v>56.32</v>
      </c>
      <c r="D72" s="215">
        <v>62.74</v>
      </c>
      <c r="E72" s="215">
        <v>77.1</v>
      </c>
      <c r="F72" s="215">
        <v>118.52</v>
      </c>
      <c r="G72" s="230">
        <v>138.02</v>
      </c>
      <c r="H72" s="215">
        <v>157.51</v>
      </c>
      <c r="I72" s="230">
        <v>188.69</v>
      </c>
      <c r="J72" s="83">
        <v>402.69</v>
      </c>
      <c r="M72" s="200">
        <v>55.0</v>
      </c>
      <c r="N72" s="63">
        <v>38.88</v>
      </c>
      <c r="O72" s="63">
        <v>42.66</v>
      </c>
      <c r="P72" s="63">
        <v>48.41</v>
      </c>
      <c r="Q72" s="63">
        <v>59.56</v>
      </c>
      <c r="R72" s="63">
        <v>81.56</v>
      </c>
      <c r="S72" s="63">
        <v>100.33</v>
      </c>
      <c r="T72" s="63">
        <v>118.8</v>
      </c>
      <c r="U72" s="63">
        <v>137.71</v>
      </c>
      <c r="V72" s="63">
        <v>137.71</v>
      </c>
    </row>
    <row r="73" ht="12.75" customHeight="1">
      <c r="M73" s="200">
        <v>56.0</v>
      </c>
      <c r="N73" s="63">
        <v>39.36</v>
      </c>
      <c r="O73" s="63">
        <v>43.14</v>
      </c>
      <c r="P73" s="63">
        <v>48.93</v>
      </c>
      <c r="Q73" s="63">
        <v>60.19</v>
      </c>
      <c r="R73" s="63">
        <v>82.57</v>
      </c>
      <c r="S73" s="63">
        <v>101.6</v>
      </c>
      <c r="T73" s="63">
        <v>120.35</v>
      </c>
      <c r="U73" s="63">
        <v>139.58</v>
      </c>
      <c r="V73" s="63">
        <v>139.58</v>
      </c>
    </row>
    <row r="74" ht="12.75" customHeight="1">
      <c r="M74" s="200">
        <v>57.0</v>
      </c>
      <c r="N74" s="63">
        <v>39.84</v>
      </c>
      <c r="O74" s="63">
        <v>43.62</v>
      </c>
      <c r="P74" s="63">
        <v>49.43</v>
      </c>
      <c r="Q74" s="63">
        <v>60.81</v>
      </c>
      <c r="R74" s="63">
        <v>83.54</v>
      </c>
      <c r="S74" s="63">
        <v>102.86</v>
      </c>
      <c r="T74" s="63">
        <v>121.88</v>
      </c>
      <c r="U74" s="63">
        <v>141.42</v>
      </c>
      <c r="V74" s="63">
        <v>141.42</v>
      </c>
    </row>
    <row r="75" ht="12.75" customHeight="1">
      <c r="M75" s="200">
        <v>58.0</v>
      </c>
      <c r="N75" s="63">
        <v>40.29</v>
      </c>
      <c r="O75" s="63">
        <v>44.09</v>
      </c>
      <c r="P75" s="63">
        <v>49.91</v>
      </c>
      <c r="Q75" s="63">
        <v>61.4</v>
      </c>
      <c r="R75" s="63">
        <v>84.5</v>
      </c>
      <c r="S75" s="63">
        <v>104.08</v>
      </c>
      <c r="T75" s="63">
        <v>123.38</v>
      </c>
      <c r="U75" s="63">
        <v>143.24</v>
      </c>
      <c r="V75" s="63">
        <v>143.24</v>
      </c>
    </row>
    <row r="76" ht="12.75" customHeight="1">
      <c r="M76" s="200">
        <v>59.0</v>
      </c>
      <c r="N76" s="63">
        <v>40.76</v>
      </c>
      <c r="O76" s="63">
        <v>44.56</v>
      </c>
      <c r="P76" s="63">
        <v>50.39</v>
      </c>
      <c r="Q76" s="63">
        <v>61.99</v>
      </c>
      <c r="R76" s="63">
        <v>85.44</v>
      </c>
      <c r="S76" s="63">
        <v>105.3</v>
      </c>
      <c r="T76" s="63">
        <v>124.86</v>
      </c>
      <c r="U76" s="63">
        <v>145.02</v>
      </c>
      <c r="V76" s="63">
        <v>145.02</v>
      </c>
    </row>
    <row r="77" ht="12.75" customHeight="1">
      <c r="M77" s="200">
        <v>60.0</v>
      </c>
      <c r="N77" s="63">
        <v>41.21</v>
      </c>
      <c r="O77" s="63">
        <v>45.01</v>
      </c>
      <c r="P77" s="63">
        <v>50.85</v>
      </c>
      <c r="Q77" s="63">
        <v>62.55</v>
      </c>
      <c r="R77" s="63">
        <v>86.36</v>
      </c>
      <c r="S77" s="63">
        <v>106.47</v>
      </c>
      <c r="T77" s="63">
        <v>126.31</v>
      </c>
      <c r="U77" s="63">
        <v>146.78</v>
      </c>
      <c r="V77" s="63">
        <v>146.78</v>
      </c>
    </row>
    <row r="78" ht="12.75" customHeight="1">
      <c r="A78" s="234" t="s">
        <v>73</v>
      </c>
      <c r="B78" s="235" t="s">
        <v>74</v>
      </c>
      <c r="C78" s="236"/>
      <c r="D78" s="236"/>
      <c r="E78" s="236"/>
      <c r="F78" s="236"/>
      <c r="G78" s="236"/>
      <c r="H78" s="236"/>
      <c r="I78" s="236"/>
      <c r="J78" s="237"/>
      <c r="M78" s="200">
        <v>61.0</v>
      </c>
      <c r="N78" s="63">
        <v>41.66</v>
      </c>
      <c r="O78" s="63">
        <v>45.46</v>
      </c>
      <c r="P78" s="63">
        <v>51.29</v>
      </c>
      <c r="Q78" s="63">
        <v>63.11</v>
      </c>
      <c r="R78" s="63">
        <v>87.26</v>
      </c>
      <c r="S78" s="63">
        <v>107.64</v>
      </c>
      <c r="T78" s="63">
        <v>127.74</v>
      </c>
      <c r="U78" s="63">
        <v>148.52</v>
      </c>
      <c r="V78" s="63">
        <v>148.52</v>
      </c>
    </row>
    <row r="79" ht="12.75" customHeight="1">
      <c r="A79" s="238" t="s">
        <v>75</v>
      </c>
      <c r="B79" s="239">
        <v>1.0</v>
      </c>
      <c r="C79" s="239">
        <v>2.0</v>
      </c>
      <c r="D79" s="239">
        <v>3.0</v>
      </c>
      <c r="E79" s="239">
        <v>4.0</v>
      </c>
      <c r="F79" s="239">
        <v>5.0</v>
      </c>
      <c r="G79" s="239">
        <v>6.0</v>
      </c>
      <c r="H79" s="239">
        <v>7.0</v>
      </c>
      <c r="I79" s="239">
        <v>8.0</v>
      </c>
      <c r="J79" s="239">
        <v>9.0</v>
      </c>
      <c r="M79" s="200">
        <v>62.0</v>
      </c>
      <c r="N79" s="63">
        <v>42.1</v>
      </c>
      <c r="O79" s="63">
        <v>45.89</v>
      </c>
      <c r="P79" s="63">
        <v>51.73</v>
      </c>
      <c r="Q79" s="63">
        <v>63.64</v>
      </c>
      <c r="R79" s="63">
        <v>88.13</v>
      </c>
      <c r="S79" s="63">
        <v>108.78</v>
      </c>
      <c r="T79" s="63">
        <v>129.13</v>
      </c>
      <c r="U79" s="63">
        <v>150.23</v>
      </c>
      <c r="V79" s="63">
        <v>150.23</v>
      </c>
    </row>
    <row r="80" ht="12.75" customHeight="1">
      <c r="A80" s="240">
        <v>0.1</v>
      </c>
      <c r="B80" s="241">
        <v>8.1</v>
      </c>
      <c r="C80" s="241">
        <v>8.21</v>
      </c>
      <c r="D80" s="241">
        <v>8.34</v>
      </c>
      <c r="E80" s="241">
        <v>8.52</v>
      </c>
      <c r="F80" s="241">
        <v>9.89</v>
      </c>
      <c r="G80" s="241">
        <v>10.46</v>
      </c>
      <c r="H80" s="241">
        <v>11.03</v>
      </c>
      <c r="I80" s="241">
        <v>11.99</v>
      </c>
      <c r="J80" s="241">
        <v>25.59</v>
      </c>
      <c r="M80" s="200">
        <v>63.0</v>
      </c>
      <c r="N80" s="63">
        <v>42.53</v>
      </c>
      <c r="O80" s="63">
        <v>46.32</v>
      </c>
      <c r="P80" s="63">
        <v>52.15</v>
      </c>
      <c r="Q80" s="63">
        <v>64.15</v>
      </c>
      <c r="R80" s="63">
        <v>89.0</v>
      </c>
      <c r="S80" s="63">
        <v>109.89</v>
      </c>
      <c r="T80" s="63">
        <v>130.51</v>
      </c>
      <c r="U80" s="63">
        <v>151.91</v>
      </c>
      <c r="V80" s="63">
        <v>151.91</v>
      </c>
    </row>
    <row r="81" ht="12.75" customHeight="1">
      <c r="A81" s="240">
        <v>0.2</v>
      </c>
      <c r="B81" s="240">
        <v>8.44</v>
      </c>
      <c r="C81" s="240">
        <v>8.57</v>
      </c>
      <c r="D81" s="240">
        <v>8.82</v>
      </c>
      <c r="E81" s="240">
        <v>9.07</v>
      </c>
      <c r="F81" s="240">
        <v>10.65</v>
      </c>
      <c r="G81" s="240">
        <v>12.06</v>
      </c>
      <c r="H81" s="240">
        <v>13.47</v>
      </c>
      <c r="I81" s="240">
        <v>14.96</v>
      </c>
      <c r="J81" s="240">
        <v>31.93</v>
      </c>
      <c r="M81" s="200">
        <v>64.0</v>
      </c>
      <c r="N81" s="63">
        <v>42.96</v>
      </c>
      <c r="O81" s="63">
        <v>46.74</v>
      </c>
      <c r="P81" s="63">
        <v>52.56</v>
      </c>
      <c r="Q81" s="63">
        <v>64.66</v>
      </c>
      <c r="R81" s="63">
        <v>89.85</v>
      </c>
      <c r="S81" s="63">
        <v>110.98</v>
      </c>
      <c r="T81" s="63">
        <v>131.86</v>
      </c>
      <c r="U81" s="63">
        <v>153.56</v>
      </c>
      <c r="V81" s="63">
        <v>153.56</v>
      </c>
    </row>
    <row r="82" ht="12.75" customHeight="1">
      <c r="A82" s="240">
        <v>0.3</v>
      </c>
      <c r="B82" s="240">
        <v>8.85</v>
      </c>
      <c r="C82" s="240">
        <v>8.96</v>
      </c>
      <c r="D82" s="240">
        <v>9.55</v>
      </c>
      <c r="E82" s="240">
        <v>9.96</v>
      </c>
      <c r="F82" s="240">
        <v>11.87</v>
      </c>
      <c r="G82" s="240">
        <v>14.44</v>
      </c>
      <c r="H82" s="240">
        <v>17.0</v>
      </c>
      <c r="I82" s="240">
        <v>19.52</v>
      </c>
      <c r="J82" s="240">
        <v>41.66</v>
      </c>
      <c r="M82" s="200">
        <v>65.0</v>
      </c>
      <c r="N82" s="63">
        <v>43.38</v>
      </c>
      <c r="O82" s="63">
        <v>47.15</v>
      </c>
      <c r="P82" s="63">
        <v>52.95</v>
      </c>
      <c r="Q82" s="63">
        <v>65.14</v>
      </c>
      <c r="R82" s="63">
        <v>90.66</v>
      </c>
      <c r="S82" s="63">
        <v>112.05</v>
      </c>
      <c r="T82" s="63">
        <v>133.18</v>
      </c>
      <c r="U82" s="63">
        <v>155.18</v>
      </c>
      <c r="V82" s="63">
        <v>155.18</v>
      </c>
    </row>
    <row r="83" ht="12.75" customHeight="1">
      <c r="A83" s="240">
        <v>0.4</v>
      </c>
      <c r="B83" s="240">
        <v>9.18</v>
      </c>
      <c r="C83" s="240">
        <v>9.27</v>
      </c>
      <c r="D83" s="240">
        <v>10.09</v>
      </c>
      <c r="E83" s="240">
        <v>10.66</v>
      </c>
      <c r="F83" s="240">
        <v>12.84</v>
      </c>
      <c r="G83" s="240">
        <v>16.97</v>
      </c>
      <c r="H83" s="240">
        <v>21.1</v>
      </c>
      <c r="I83" s="240">
        <v>24.33</v>
      </c>
      <c r="J83" s="240">
        <v>51.91</v>
      </c>
      <c r="M83" s="200">
        <v>66.0</v>
      </c>
      <c r="N83" s="63">
        <v>43.8</v>
      </c>
      <c r="O83" s="63">
        <v>47.55</v>
      </c>
      <c r="P83" s="63">
        <v>53.33</v>
      </c>
      <c r="Q83" s="63">
        <v>65.61</v>
      </c>
      <c r="R83" s="63">
        <v>91.47</v>
      </c>
      <c r="S83" s="63">
        <v>113.09</v>
      </c>
      <c r="T83" s="63">
        <v>134.47</v>
      </c>
      <c r="U83" s="63">
        <v>156.77</v>
      </c>
      <c r="V83" s="63">
        <v>156.77</v>
      </c>
    </row>
    <row r="84" ht="12.75" customHeight="1">
      <c r="A84" s="242">
        <v>0.5</v>
      </c>
      <c r="B84" s="242">
        <v>9.46</v>
      </c>
      <c r="C84" s="242">
        <v>9.53</v>
      </c>
      <c r="D84" s="242">
        <v>10.55</v>
      </c>
      <c r="E84" s="242">
        <v>11.24</v>
      </c>
      <c r="F84" s="242">
        <v>13.9</v>
      </c>
      <c r="G84" s="242">
        <v>19.69</v>
      </c>
      <c r="H84" s="242">
        <v>25.48</v>
      </c>
      <c r="I84" s="242">
        <v>29.6</v>
      </c>
      <c r="J84" s="242">
        <v>63.17</v>
      </c>
      <c r="M84" s="200">
        <v>67.0</v>
      </c>
      <c r="N84" s="63">
        <v>44.21</v>
      </c>
      <c r="O84" s="63">
        <v>47.94</v>
      </c>
      <c r="P84" s="63">
        <v>53.7</v>
      </c>
      <c r="Q84" s="63">
        <v>66.07</v>
      </c>
      <c r="R84" s="63">
        <v>92.25</v>
      </c>
      <c r="S84" s="63">
        <v>114.12</v>
      </c>
      <c r="T84" s="63">
        <v>135.75</v>
      </c>
      <c r="U84" s="63">
        <v>158.35</v>
      </c>
      <c r="V84" s="63">
        <v>158.35</v>
      </c>
    </row>
    <row r="85" ht="12.75" customHeight="1">
      <c r="M85" s="200">
        <v>68.0</v>
      </c>
      <c r="N85" s="63">
        <v>44.62</v>
      </c>
      <c r="O85" s="63">
        <v>48.33</v>
      </c>
      <c r="P85" s="63">
        <v>54.06</v>
      </c>
      <c r="Q85" s="63">
        <v>66.51</v>
      </c>
      <c r="R85" s="63">
        <v>93.02</v>
      </c>
      <c r="S85" s="63">
        <v>115.12</v>
      </c>
      <c r="T85" s="63">
        <v>137.0</v>
      </c>
      <c r="U85" s="63">
        <v>159.89</v>
      </c>
      <c r="V85" s="63">
        <v>159.89</v>
      </c>
    </row>
    <row r="86" ht="12.75" customHeight="1">
      <c r="M86" s="200">
        <v>69.0</v>
      </c>
      <c r="N86" s="63">
        <v>45.02</v>
      </c>
      <c r="O86" s="63">
        <v>48.7</v>
      </c>
      <c r="P86" s="63">
        <v>54.39</v>
      </c>
      <c r="Q86" s="63">
        <v>66.93</v>
      </c>
      <c r="R86" s="63">
        <v>93.77</v>
      </c>
      <c r="S86" s="63">
        <v>116.09</v>
      </c>
      <c r="T86" s="63">
        <v>138.21</v>
      </c>
      <c r="U86" s="63">
        <v>161.41</v>
      </c>
      <c r="V86" s="63">
        <v>161.41</v>
      </c>
    </row>
    <row r="87" ht="12.75" customHeight="1">
      <c r="M87" s="200">
        <v>70.0</v>
      </c>
      <c r="N87" s="63">
        <v>45.41</v>
      </c>
      <c r="O87" s="63">
        <v>49.07</v>
      </c>
      <c r="P87" s="63">
        <v>54.72</v>
      </c>
      <c r="Q87" s="63">
        <v>67.33</v>
      </c>
      <c r="R87" s="63">
        <v>94.49</v>
      </c>
      <c r="S87" s="63">
        <v>117.04</v>
      </c>
      <c r="T87" s="63">
        <v>139.4</v>
      </c>
      <c r="U87" s="63">
        <v>162.89</v>
      </c>
      <c r="V87" s="63">
        <v>162.89</v>
      </c>
    </row>
    <row r="88" ht="12.75" customHeight="1"/>
    <row r="89" ht="12.75" customHeight="1"/>
    <row r="90" ht="12.75" customHeight="1">
      <c r="M90" s="243"/>
      <c r="N90" s="244" t="s">
        <v>1</v>
      </c>
      <c r="O90" s="245"/>
      <c r="P90" s="245"/>
      <c r="Q90" s="245"/>
      <c r="R90" s="245"/>
      <c r="S90" s="245"/>
      <c r="T90" s="245"/>
      <c r="U90" s="245"/>
      <c r="V90" s="246"/>
    </row>
    <row r="91" ht="12.75" customHeight="1">
      <c r="M91" s="247" t="s">
        <v>76</v>
      </c>
      <c r="N91" s="248">
        <v>1.0</v>
      </c>
      <c r="O91" s="249">
        <v>2.0</v>
      </c>
      <c r="P91" s="249">
        <v>3.0</v>
      </c>
      <c r="Q91" s="249">
        <v>4.0</v>
      </c>
      <c r="R91" s="249">
        <v>5.0</v>
      </c>
      <c r="S91" s="249">
        <v>6.0</v>
      </c>
      <c r="T91" s="249">
        <v>7.0</v>
      </c>
      <c r="U91" s="249">
        <v>8.0</v>
      </c>
      <c r="V91" s="250">
        <v>9.0</v>
      </c>
    </row>
    <row r="92" ht="12.75" customHeight="1">
      <c r="M92" s="251">
        <v>0.1</v>
      </c>
      <c r="N92" s="252">
        <v>5.85</v>
      </c>
      <c r="O92" s="252">
        <v>5.85</v>
      </c>
      <c r="P92" s="253">
        <v>7.08</v>
      </c>
      <c r="Q92" s="253">
        <v>6.29</v>
      </c>
      <c r="R92" s="253">
        <v>6.82</v>
      </c>
      <c r="S92" s="253">
        <v>8.33</v>
      </c>
      <c r="T92" s="253">
        <v>7.79</v>
      </c>
      <c r="U92" s="253">
        <v>8.24</v>
      </c>
      <c r="V92" s="254">
        <v>8.81</v>
      </c>
    </row>
    <row r="93" ht="12.75" customHeight="1">
      <c r="M93" s="255">
        <v>0.2</v>
      </c>
      <c r="N93" s="252">
        <v>6.07</v>
      </c>
      <c r="O93" s="252">
        <v>6.07</v>
      </c>
      <c r="P93" s="253">
        <v>7.58</v>
      </c>
      <c r="Q93" s="253">
        <v>6.45</v>
      </c>
      <c r="R93" s="253">
        <v>7.36</v>
      </c>
      <c r="S93" s="253">
        <v>9.47</v>
      </c>
      <c r="T93" s="253">
        <v>8.78</v>
      </c>
      <c r="U93" s="253">
        <v>9.39</v>
      </c>
      <c r="V93" s="254">
        <v>10.12</v>
      </c>
    </row>
    <row r="94" ht="12.75" customHeight="1">
      <c r="M94" s="255">
        <v>0.3</v>
      </c>
      <c r="N94" s="252">
        <v>6.4</v>
      </c>
      <c r="O94" s="252">
        <v>6.4</v>
      </c>
      <c r="P94" s="253">
        <v>8.22</v>
      </c>
      <c r="Q94" s="253">
        <v>6.93</v>
      </c>
      <c r="R94" s="253">
        <v>8.24</v>
      </c>
      <c r="S94" s="253">
        <v>10.66</v>
      </c>
      <c r="T94" s="253">
        <v>10.16</v>
      </c>
      <c r="U94" s="253">
        <v>11.07</v>
      </c>
      <c r="V94" s="254">
        <v>11.89</v>
      </c>
    </row>
    <row r="95" ht="12.75" customHeight="1">
      <c r="M95" s="255">
        <v>0.4</v>
      </c>
      <c r="N95" s="252">
        <v>7.01</v>
      </c>
      <c r="O95" s="252">
        <v>7.01</v>
      </c>
      <c r="P95" s="253">
        <v>8.76</v>
      </c>
      <c r="Q95" s="253">
        <v>7.73</v>
      </c>
      <c r="R95" s="253">
        <v>9.05</v>
      </c>
      <c r="S95" s="253">
        <v>11.45</v>
      </c>
      <c r="T95" s="253">
        <v>11.37</v>
      </c>
      <c r="U95" s="253">
        <v>12.78</v>
      </c>
      <c r="V95" s="254">
        <v>13.31</v>
      </c>
    </row>
    <row r="96" ht="12.75" customHeight="1">
      <c r="M96" s="255">
        <v>0.5</v>
      </c>
      <c r="N96" s="252">
        <v>7.39</v>
      </c>
      <c r="O96" s="252">
        <v>7.39</v>
      </c>
      <c r="P96" s="253">
        <v>9.11</v>
      </c>
      <c r="Q96" s="253">
        <v>8.15</v>
      </c>
      <c r="R96" s="253">
        <v>9.61</v>
      </c>
      <c r="S96" s="253">
        <v>12.08</v>
      </c>
      <c r="T96" s="253">
        <v>12.2</v>
      </c>
      <c r="U96" s="253">
        <v>13.76</v>
      </c>
      <c r="V96" s="254">
        <v>14.42</v>
      </c>
    </row>
    <row r="97" ht="12.75" customHeight="1">
      <c r="M97" s="255">
        <v>0.6</v>
      </c>
      <c r="N97" s="252">
        <v>7.61</v>
      </c>
      <c r="O97" s="252">
        <v>7.61</v>
      </c>
      <c r="P97" s="253">
        <v>9.41</v>
      </c>
      <c r="Q97" s="253">
        <v>8.47</v>
      </c>
      <c r="R97" s="253">
        <v>10.17</v>
      </c>
      <c r="S97" s="253">
        <v>12.68</v>
      </c>
      <c r="T97" s="253">
        <v>13.03</v>
      </c>
      <c r="U97" s="253">
        <v>14.78</v>
      </c>
      <c r="V97" s="254">
        <v>15.45</v>
      </c>
    </row>
    <row r="98" ht="12.75" customHeight="1">
      <c r="M98" s="255">
        <v>0.7</v>
      </c>
      <c r="N98" s="252">
        <v>7.75</v>
      </c>
      <c r="O98" s="252">
        <v>7.75</v>
      </c>
      <c r="P98" s="253">
        <v>9.79</v>
      </c>
      <c r="Q98" s="253">
        <v>8.93</v>
      </c>
      <c r="R98" s="253">
        <v>10.74</v>
      </c>
      <c r="S98" s="253">
        <v>13.35</v>
      </c>
      <c r="T98" s="253">
        <v>13.93</v>
      </c>
      <c r="U98" s="253">
        <v>15.61</v>
      </c>
      <c r="V98" s="254">
        <v>16.55</v>
      </c>
    </row>
    <row r="99" ht="12.75" customHeight="1">
      <c r="M99" s="255">
        <v>0.8</v>
      </c>
      <c r="N99" s="252">
        <v>8.11</v>
      </c>
      <c r="O99" s="252">
        <v>8.11</v>
      </c>
      <c r="P99" s="253">
        <v>10.26</v>
      </c>
      <c r="Q99" s="253">
        <v>9.84</v>
      </c>
      <c r="R99" s="253">
        <v>11.4</v>
      </c>
      <c r="S99" s="253">
        <v>14.09</v>
      </c>
      <c r="T99" s="253">
        <v>14.92</v>
      </c>
      <c r="U99" s="253">
        <v>16.74</v>
      </c>
      <c r="V99" s="254">
        <v>17.76</v>
      </c>
    </row>
    <row r="100" ht="12.75" customHeight="1">
      <c r="M100" s="255">
        <v>0.9</v>
      </c>
      <c r="N100" s="252">
        <v>8.76</v>
      </c>
      <c r="O100" s="252">
        <v>8.76</v>
      </c>
      <c r="P100" s="253">
        <v>10.76</v>
      </c>
      <c r="Q100" s="253">
        <v>10.82</v>
      </c>
      <c r="R100" s="253">
        <v>12.04</v>
      </c>
      <c r="S100" s="253">
        <v>14.81</v>
      </c>
      <c r="T100" s="253">
        <v>15.83</v>
      </c>
      <c r="U100" s="253">
        <v>18.15</v>
      </c>
      <c r="V100" s="254">
        <v>18.91</v>
      </c>
    </row>
    <row r="101" ht="12.75" customHeight="1">
      <c r="M101" s="256">
        <v>1.0</v>
      </c>
      <c r="N101" s="257">
        <v>9.71</v>
      </c>
      <c r="O101" s="257">
        <v>9.71</v>
      </c>
      <c r="P101" s="258">
        <v>11.45</v>
      </c>
      <c r="Q101" s="258">
        <v>11.71</v>
      </c>
      <c r="R101" s="258">
        <v>12.9</v>
      </c>
      <c r="S101" s="258">
        <v>15.76</v>
      </c>
      <c r="T101" s="258">
        <v>16.97</v>
      </c>
      <c r="U101" s="258">
        <v>20.07</v>
      </c>
      <c r="V101" s="259">
        <v>20.43</v>
      </c>
    </row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B78:J78"/>
    <mergeCell ref="N90:V90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1" width="7.0"/>
    <col customWidth="1" min="22" max="26" width="8.63"/>
  </cols>
  <sheetData>
    <row r="1" ht="12.75" customHeight="1">
      <c r="A1" s="63" t="s">
        <v>77</v>
      </c>
      <c r="B1" s="63">
        <v>1.0</v>
      </c>
      <c r="C1" s="63">
        <v>2.0</v>
      </c>
      <c r="D1" s="63">
        <v>3.0</v>
      </c>
      <c r="E1" s="63">
        <v>4.0</v>
      </c>
      <c r="F1" s="63">
        <v>5.0</v>
      </c>
      <c r="G1" s="63">
        <v>6.0</v>
      </c>
      <c r="H1" s="63">
        <v>7.0</v>
      </c>
      <c r="I1" s="63">
        <v>8.0</v>
      </c>
      <c r="J1" s="63">
        <v>9.0</v>
      </c>
      <c r="K1" s="63">
        <v>10.0</v>
      </c>
      <c r="L1" s="63">
        <v>11.0</v>
      </c>
      <c r="M1" s="63">
        <v>12.0</v>
      </c>
      <c r="N1" s="63">
        <v>13.0</v>
      </c>
      <c r="O1" s="63">
        <v>14.0</v>
      </c>
      <c r="P1" s="63">
        <v>15.0</v>
      </c>
      <c r="Q1" s="63">
        <v>16.0</v>
      </c>
      <c r="R1" s="63">
        <v>17.0</v>
      </c>
      <c r="S1" s="63">
        <v>18.0</v>
      </c>
      <c r="T1" s="63">
        <v>19.0</v>
      </c>
      <c r="U1" s="63">
        <v>20.0</v>
      </c>
    </row>
    <row r="2" ht="12.75" customHeight="1">
      <c r="A2" s="63">
        <v>1.0</v>
      </c>
      <c r="B2" s="63">
        <v>59.99</v>
      </c>
      <c r="C2" s="63">
        <v>80.69</v>
      </c>
      <c r="D2" s="63">
        <v>75.8</v>
      </c>
      <c r="E2" s="63">
        <v>77.11</v>
      </c>
      <c r="F2" s="63">
        <v>83.58</v>
      </c>
      <c r="G2" s="63">
        <v>75.7</v>
      </c>
      <c r="H2" s="63">
        <v>80.48</v>
      </c>
      <c r="I2" s="63">
        <v>76.83</v>
      </c>
      <c r="J2" s="63">
        <v>78.46</v>
      </c>
      <c r="K2" s="63">
        <v>69.5</v>
      </c>
      <c r="L2" s="63">
        <v>82.57</v>
      </c>
      <c r="M2" s="63">
        <v>85.55</v>
      </c>
      <c r="N2" s="63">
        <v>78.39</v>
      </c>
      <c r="O2" s="63">
        <v>70.02</v>
      </c>
      <c r="P2" s="63">
        <v>78.82</v>
      </c>
      <c r="Q2" s="63">
        <v>93.22</v>
      </c>
      <c r="R2" s="63">
        <v>83.03</v>
      </c>
      <c r="S2" s="63">
        <v>78.44</v>
      </c>
      <c r="T2" s="63">
        <v>100.03</v>
      </c>
      <c r="U2" s="63">
        <v>84.73</v>
      </c>
    </row>
    <row r="3" ht="12.75" customHeight="1">
      <c r="A3" s="63">
        <v>2.0</v>
      </c>
      <c r="B3" s="63">
        <v>65.64</v>
      </c>
      <c r="C3" s="63">
        <v>84.53</v>
      </c>
      <c r="D3" s="63">
        <v>81.82</v>
      </c>
      <c r="E3" s="63">
        <v>81.6</v>
      </c>
      <c r="F3" s="63">
        <v>88.06</v>
      </c>
      <c r="G3" s="63">
        <v>81.29</v>
      </c>
      <c r="H3" s="63">
        <v>85.78</v>
      </c>
      <c r="I3" s="63">
        <v>84.34</v>
      </c>
      <c r="J3" s="63">
        <v>85.22</v>
      </c>
      <c r="K3" s="63">
        <v>74.17</v>
      </c>
      <c r="L3" s="63">
        <v>87.05</v>
      </c>
      <c r="M3" s="63">
        <v>92.04</v>
      </c>
      <c r="N3" s="63">
        <v>83.48</v>
      </c>
      <c r="O3" s="63">
        <v>76.76</v>
      </c>
      <c r="P3" s="63">
        <v>82.7</v>
      </c>
      <c r="Q3" s="63">
        <v>97.35</v>
      </c>
      <c r="R3" s="63">
        <v>87.36</v>
      </c>
      <c r="S3" s="63">
        <v>82.53</v>
      </c>
      <c r="T3" s="63">
        <v>109.31</v>
      </c>
      <c r="U3" s="63">
        <v>88.68</v>
      </c>
    </row>
    <row r="4" ht="12.75" customHeight="1">
      <c r="A4" s="63">
        <v>3.0</v>
      </c>
      <c r="B4" s="63">
        <v>71.29</v>
      </c>
      <c r="C4" s="63">
        <v>89.61</v>
      </c>
      <c r="D4" s="63">
        <v>87.84</v>
      </c>
      <c r="E4" s="63">
        <v>87.41</v>
      </c>
      <c r="F4" s="63">
        <v>93.54</v>
      </c>
      <c r="G4" s="63">
        <v>86.88</v>
      </c>
      <c r="H4" s="63">
        <v>92.47</v>
      </c>
      <c r="I4" s="63">
        <v>91.86</v>
      </c>
      <c r="J4" s="63">
        <v>92.82</v>
      </c>
      <c r="K4" s="63">
        <v>80.48</v>
      </c>
      <c r="L4" s="63">
        <v>93.41</v>
      </c>
      <c r="M4" s="63">
        <v>100.18</v>
      </c>
      <c r="N4" s="63">
        <v>88.57</v>
      </c>
      <c r="O4" s="63">
        <v>83.52</v>
      </c>
      <c r="P4" s="63">
        <v>87.62</v>
      </c>
      <c r="Q4" s="63">
        <v>102.45</v>
      </c>
      <c r="R4" s="63">
        <v>93.33</v>
      </c>
      <c r="S4" s="63">
        <v>87.77</v>
      </c>
      <c r="T4" s="63">
        <v>117.13</v>
      </c>
      <c r="U4" s="63">
        <v>93.6</v>
      </c>
    </row>
    <row r="5" ht="12.75" customHeight="1">
      <c r="A5" s="63">
        <v>4.0</v>
      </c>
      <c r="B5" s="63">
        <v>76.94</v>
      </c>
      <c r="C5" s="63">
        <v>94.64</v>
      </c>
      <c r="D5" s="63">
        <v>93.86</v>
      </c>
      <c r="E5" s="63">
        <v>93.24</v>
      </c>
      <c r="F5" s="63">
        <v>99.19</v>
      </c>
      <c r="G5" s="63">
        <v>92.46</v>
      </c>
      <c r="H5" s="63">
        <v>99.39</v>
      </c>
      <c r="I5" s="63">
        <v>99.38</v>
      </c>
      <c r="J5" s="63">
        <v>101.37</v>
      </c>
      <c r="K5" s="63">
        <v>86.69</v>
      </c>
      <c r="L5" s="63">
        <v>99.81</v>
      </c>
      <c r="M5" s="63">
        <v>108.31</v>
      </c>
      <c r="N5" s="63">
        <v>94.35</v>
      </c>
      <c r="O5" s="63">
        <v>90.27</v>
      </c>
      <c r="P5" s="63">
        <v>92.55</v>
      </c>
      <c r="Q5" s="63">
        <v>107.67</v>
      </c>
      <c r="R5" s="63">
        <v>98.91</v>
      </c>
      <c r="S5" s="63">
        <v>93.03</v>
      </c>
      <c r="T5" s="63">
        <v>122.68</v>
      </c>
      <c r="U5" s="63">
        <v>98.6</v>
      </c>
    </row>
    <row r="6" ht="12.75" customHeight="1">
      <c r="A6" s="63">
        <v>5.0</v>
      </c>
      <c r="B6" s="63">
        <v>84.18</v>
      </c>
      <c r="C6" s="63">
        <v>99.6</v>
      </c>
      <c r="D6" s="63">
        <v>99.91</v>
      </c>
      <c r="E6" s="63">
        <v>99.18</v>
      </c>
      <c r="F6" s="63">
        <v>104.83</v>
      </c>
      <c r="G6" s="63">
        <v>99.05</v>
      </c>
      <c r="H6" s="63">
        <v>106.25</v>
      </c>
      <c r="I6" s="63">
        <v>106.87</v>
      </c>
      <c r="J6" s="63">
        <v>108.64</v>
      </c>
      <c r="K6" s="63">
        <v>93.2</v>
      </c>
      <c r="L6" s="63">
        <v>105.96</v>
      </c>
      <c r="M6" s="63">
        <v>116.51</v>
      </c>
      <c r="N6" s="63">
        <v>100.34</v>
      </c>
      <c r="O6" s="63">
        <v>97.01</v>
      </c>
      <c r="P6" s="63">
        <v>97.5</v>
      </c>
      <c r="Q6" s="63">
        <v>112.85</v>
      </c>
      <c r="R6" s="63">
        <v>104.34</v>
      </c>
      <c r="S6" s="63">
        <v>98.38</v>
      </c>
      <c r="T6" s="63">
        <v>132.77</v>
      </c>
      <c r="U6" s="63">
        <v>103.57</v>
      </c>
    </row>
    <row r="7" ht="12.75" customHeight="1">
      <c r="A7" s="63">
        <v>6.0</v>
      </c>
      <c r="B7" s="63">
        <v>91.33</v>
      </c>
      <c r="C7" s="63">
        <v>104.58</v>
      </c>
      <c r="D7" s="63">
        <v>105.81</v>
      </c>
      <c r="E7" s="63">
        <v>104.91</v>
      </c>
      <c r="F7" s="63">
        <v>110.53</v>
      </c>
      <c r="G7" s="63">
        <v>105.71</v>
      </c>
      <c r="H7" s="63">
        <v>113.26</v>
      </c>
      <c r="I7" s="63">
        <v>114.28</v>
      </c>
      <c r="J7" s="63">
        <v>116.6</v>
      </c>
      <c r="K7" s="63">
        <v>99.48</v>
      </c>
      <c r="L7" s="63">
        <v>112.12</v>
      </c>
      <c r="M7" s="63">
        <v>135.39</v>
      </c>
      <c r="N7" s="63">
        <v>105.88</v>
      </c>
      <c r="O7" s="63">
        <v>103.15</v>
      </c>
      <c r="P7" s="63">
        <v>102.54</v>
      </c>
      <c r="Q7" s="63">
        <v>117.94</v>
      </c>
      <c r="R7" s="63">
        <v>110.19</v>
      </c>
      <c r="S7" s="63">
        <v>103.56</v>
      </c>
      <c r="T7" s="63">
        <v>140.58</v>
      </c>
      <c r="U7" s="63">
        <v>108.68</v>
      </c>
    </row>
    <row r="8" ht="12.75" customHeight="1">
      <c r="A8" s="63">
        <v>7.0</v>
      </c>
      <c r="B8" s="63">
        <v>98.81</v>
      </c>
      <c r="C8" s="63">
        <v>109.55</v>
      </c>
      <c r="D8" s="63">
        <v>111.84</v>
      </c>
      <c r="E8" s="63">
        <v>110.88</v>
      </c>
      <c r="F8" s="63">
        <v>115.88</v>
      </c>
      <c r="G8" s="63">
        <v>112.42</v>
      </c>
      <c r="H8" s="63">
        <v>119.98</v>
      </c>
      <c r="I8" s="63">
        <v>121.8</v>
      </c>
      <c r="J8" s="63">
        <v>124.71</v>
      </c>
      <c r="K8" s="63">
        <v>105.15</v>
      </c>
      <c r="L8" s="63">
        <v>118.43</v>
      </c>
      <c r="M8" s="63">
        <v>144.16</v>
      </c>
      <c r="N8" s="63">
        <v>111.11</v>
      </c>
      <c r="O8" s="63">
        <v>109.95</v>
      </c>
      <c r="P8" s="63">
        <v>107.47</v>
      </c>
      <c r="Q8" s="63">
        <v>123.29</v>
      </c>
      <c r="R8" s="63">
        <v>115.87</v>
      </c>
      <c r="S8" s="63">
        <v>108.96</v>
      </c>
      <c r="T8" s="63">
        <v>148.4</v>
      </c>
      <c r="U8" s="63">
        <v>113.79</v>
      </c>
    </row>
    <row r="9" ht="12.75" customHeight="1">
      <c r="A9" s="63">
        <v>8.0</v>
      </c>
      <c r="B9" s="63">
        <v>105.61</v>
      </c>
      <c r="C9" s="63">
        <v>114.54</v>
      </c>
      <c r="D9" s="63">
        <v>117.84</v>
      </c>
      <c r="E9" s="63">
        <v>116.72</v>
      </c>
      <c r="F9" s="63">
        <v>121.68</v>
      </c>
      <c r="G9" s="63">
        <v>119.11</v>
      </c>
      <c r="H9" s="63">
        <v>126.94</v>
      </c>
      <c r="I9" s="63">
        <v>129.28</v>
      </c>
      <c r="J9" s="63">
        <v>132.64</v>
      </c>
      <c r="K9" s="63">
        <v>111.7</v>
      </c>
      <c r="L9" s="63">
        <v>124.65</v>
      </c>
      <c r="M9" s="63">
        <v>152.88</v>
      </c>
      <c r="N9" s="63">
        <v>116.67</v>
      </c>
      <c r="O9" s="63">
        <v>116.75</v>
      </c>
      <c r="P9" s="63">
        <v>112.55</v>
      </c>
      <c r="Q9" s="63">
        <v>128.53</v>
      </c>
      <c r="R9" s="63">
        <v>121.64</v>
      </c>
      <c r="S9" s="63">
        <v>114.22</v>
      </c>
      <c r="T9" s="63">
        <v>156.22</v>
      </c>
      <c r="U9" s="63">
        <v>118.89</v>
      </c>
    </row>
    <row r="10" ht="12.75" customHeight="1">
      <c r="A10" s="63">
        <v>9.0</v>
      </c>
      <c r="B10" s="63">
        <v>113.33</v>
      </c>
      <c r="C10" s="63">
        <v>119.61</v>
      </c>
      <c r="D10" s="63">
        <v>123.88</v>
      </c>
      <c r="E10" s="63">
        <v>122.41</v>
      </c>
      <c r="F10" s="63">
        <v>127.1</v>
      </c>
      <c r="G10" s="63">
        <v>125.61</v>
      </c>
      <c r="H10" s="63">
        <v>133.81</v>
      </c>
      <c r="I10" s="63">
        <v>136.79</v>
      </c>
      <c r="J10" s="63">
        <v>140.94</v>
      </c>
      <c r="K10" s="63">
        <v>117.88</v>
      </c>
      <c r="L10" s="63">
        <v>130.78</v>
      </c>
      <c r="M10" s="63">
        <v>161.63</v>
      </c>
      <c r="N10" s="63">
        <v>122.58</v>
      </c>
      <c r="O10" s="63">
        <v>123.56</v>
      </c>
      <c r="P10" s="63">
        <v>117.38</v>
      </c>
      <c r="Q10" s="63">
        <v>133.37</v>
      </c>
      <c r="R10" s="63">
        <v>127.16</v>
      </c>
      <c r="S10" s="63">
        <v>119.4</v>
      </c>
      <c r="T10" s="63">
        <v>164.03</v>
      </c>
      <c r="U10" s="63">
        <v>123.98</v>
      </c>
    </row>
    <row r="11" ht="12.75" customHeight="1">
      <c r="A11" s="63">
        <v>10.0</v>
      </c>
      <c r="B11" s="63">
        <v>121.16</v>
      </c>
      <c r="C11" s="63">
        <v>124.52</v>
      </c>
      <c r="D11" s="63">
        <v>129.9</v>
      </c>
      <c r="E11" s="63">
        <v>128.51</v>
      </c>
      <c r="F11" s="63">
        <v>132.93</v>
      </c>
      <c r="G11" s="63">
        <v>132.58</v>
      </c>
      <c r="H11" s="63">
        <v>140.82</v>
      </c>
      <c r="I11" s="63">
        <v>144.29</v>
      </c>
      <c r="J11" s="63">
        <v>150.01</v>
      </c>
      <c r="K11" s="63">
        <v>124.18</v>
      </c>
      <c r="L11" s="63">
        <v>137.14</v>
      </c>
      <c r="M11" s="63">
        <v>170.4</v>
      </c>
      <c r="N11" s="63">
        <v>128.28</v>
      </c>
      <c r="O11" s="63">
        <v>130.38</v>
      </c>
      <c r="P11" s="63">
        <v>122.54</v>
      </c>
      <c r="Q11" s="63">
        <v>138.94</v>
      </c>
      <c r="R11" s="63">
        <v>132.92</v>
      </c>
      <c r="S11" s="63">
        <v>124.9</v>
      </c>
      <c r="T11" s="63">
        <v>171.85</v>
      </c>
      <c r="U11" s="63">
        <v>129.18</v>
      </c>
    </row>
    <row r="12" ht="12.75" customHeight="1">
      <c r="A12" s="63">
        <v>11.0</v>
      </c>
      <c r="B12" s="63">
        <v>128.1</v>
      </c>
      <c r="C12" s="63">
        <v>129.75</v>
      </c>
      <c r="D12" s="63">
        <v>136.11</v>
      </c>
      <c r="E12" s="63">
        <v>134.1</v>
      </c>
      <c r="F12" s="63">
        <v>138.43</v>
      </c>
      <c r="G12" s="63">
        <v>139.12</v>
      </c>
      <c r="H12" s="63">
        <v>147.27</v>
      </c>
      <c r="I12" s="63">
        <v>151.96</v>
      </c>
      <c r="J12" s="63">
        <v>156.77</v>
      </c>
      <c r="K12" s="63">
        <v>130.14</v>
      </c>
      <c r="L12" s="63">
        <v>143.16</v>
      </c>
      <c r="M12" s="63">
        <v>179.18</v>
      </c>
      <c r="N12" s="63">
        <v>134.06</v>
      </c>
      <c r="O12" s="63">
        <v>137.3</v>
      </c>
      <c r="P12" s="63">
        <v>127.23</v>
      </c>
      <c r="Q12" s="63">
        <v>143.9</v>
      </c>
      <c r="R12" s="63">
        <v>138.51</v>
      </c>
      <c r="S12" s="63">
        <v>130.12</v>
      </c>
      <c r="T12" s="63">
        <v>185.66</v>
      </c>
      <c r="U12" s="63">
        <v>134.25</v>
      </c>
    </row>
    <row r="13" ht="12.75" customHeight="1">
      <c r="A13" s="63">
        <v>12.0</v>
      </c>
      <c r="B13" s="63">
        <v>135.78</v>
      </c>
      <c r="C13" s="63">
        <v>134.81</v>
      </c>
      <c r="D13" s="63">
        <v>142.1</v>
      </c>
      <c r="E13" s="63">
        <v>140.09</v>
      </c>
      <c r="F13" s="63">
        <v>144.08</v>
      </c>
      <c r="G13" s="63">
        <v>146.0</v>
      </c>
      <c r="H13" s="63">
        <v>154.41</v>
      </c>
      <c r="I13" s="63">
        <v>159.45</v>
      </c>
      <c r="J13" s="63">
        <v>164.97</v>
      </c>
      <c r="K13" s="63">
        <v>136.61</v>
      </c>
      <c r="L13" s="63">
        <v>149.66</v>
      </c>
      <c r="M13" s="63">
        <v>188.09</v>
      </c>
      <c r="N13" s="63">
        <v>139.65</v>
      </c>
      <c r="O13" s="63">
        <v>144.52</v>
      </c>
      <c r="P13" s="63">
        <v>132.31</v>
      </c>
      <c r="Q13" s="63">
        <v>149.34</v>
      </c>
      <c r="R13" s="63">
        <v>144.29</v>
      </c>
      <c r="S13" s="63">
        <v>135.52</v>
      </c>
      <c r="T13" s="63">
        <v>196.23</v>
      </c>
      <c r="U13" s="63">
        <v>139.29</v>
      </c>
    </row>
    <row r="14" ht="12.75" customHeight="1">
      <c r="A14" s="63">
        <v>13.0</v>
      </c>
      <c r="B14" s="63">
        <v>142.9</v>
      </c>
      <c r="C14" s="63">
        <v>139.7</v>
      </c>
      <c r="D14" s="63">
        <v>148.07</v>
      </c>
      <c r="E14" s="63">
        <v>146.04</v>
      </c>
      <c r="F14" s="63">
        <v>149.58</v>
      </c>
      <c r="G14" s="63">
        <v>152.51</v>
      </c>
      <c r="H14" s="63">
        <v>161.16</v>
      </c>
      <c r="I14" s="63">
        <v>166.96</v>
      </c>
      <c r="J14" s="63">
        <v>173.22</v>
      </c>
      <c r="K14" s="63">
        <v>142.63</v>
      </c>
      <c r="L14" s="63">
        <v>155.61</v>
      </c>
      <c r="M14" s="63">
        <v>196.95</v>
      </c>
      <c r="N14" s="63">
        <v>150.07</v>
      </c>
      <c r="O14" s="63">
        <v>151.75</v>
      </c>
      <c r="P14" s="63">
        <v>137.44</v>
      </c>
      <c r="Q14" s="63">
        <v>154.31</v>
      </c>
      <c r="R14" s="63">
        <v>149.82</v>
      </c>
      <c r="S14" s="63">
        <v>140.77</v>
      </c>
      <c r="T14" s="63">
        <v>204.41</v>
      </c>
      <c r="U14" s="63">
        <v>144.37</v>
      </c>
    </row>
    <row r="15" ht="12.75" customHeight="1">
      <c r="A15" s="63">
        <v>14.0</v>
      </c>
      <c r="B15" s="63">
        <v>150.35</v>
      </c>
      <c r="C15" s="63">
        <v>144.78</v>
      </c>
      <c r="D15" s="63">
        <v>154.05</v>
      </c>
      <c r="E15" s="63">
        <v>151.81</v>
      </c>
      <c r="F15" s="63">
        <v>155.06</v>
      </c>
      <c r="G15" s="63">
        <v>159.08</v>
      </c>
      <c r="H15" s="63">
        <v>167.91</v>
      </c>
      <c r="I15" s="63">
        <v>174.47</v>
      </c>
      <c r="J15" s="63">
        <v>180.97</v>
      </c>
      <c r="K15" s="63">
        <v>148.99</v>
      </c>
      <c r="L15" s="63">
        <v>161.82</v>
      </c>
      <c r="M15" s="63">
        <v>205.83</v>
      </c>
      <c r="N15" s="63">
        <v>155.99</v>
      </c>
      <c r="O15" s="63">
        <v>158.98</v>
      </c>
      <c r="P15" s="63">
        <v>142.6</v>
      </c>
      <c r="Q15" s="63">
        <v>159.84</v>
      </c>
      <c r="R15" s="63">
        <v>155.54</v>
      </c>
      <c r="S15" s="63">
        <v>146.06</v>
      </c>
      <c r="T15" s="63">
        <v>216.66</v>
      </c>
      <c r="U15" s="63">
        <v>149.44</v>
      </c>
    </row>
    <row r="16" ht="12.75" customHeight="1">
      <c r="A16" s="63">
        <v>15.0</v>
      </c>
      <c r="B16" s="63">
        <v>157.81</v>
      </c>
      <c r="C16" s="63">
        <v>149.71</v>
      </c>
      <c r="D16" s="63">
        <v>160.01</v>
      </c>
      <c r="E16" s="63">
        <v>157.74</v>
      </c>
      <c r="F16" s="63">
        <v>160.65</v>
      </c>
      <c r="G16" s="63">
        <v>165.83</v>
      </c>
      <c r="H16" s="63">
        <v>174.96</v>
      </c>
      <c r="I16" s="63">
        <v>181.99</v>
      </c>
      <c r="J16" s="63">
        <v>189.15</v>
      </c>
      <c r="K16" s="63">
        <v>155.31</v>
      </c>
      <c r="L16" s="63">
        <v>167.81</v>
      </c>
      <c r="M16" s="63">
        <v>214.73</v>
      </c>
      <c r="N16" s="63">
        <v>162.48</v>
      </c>
      <c r="O16" s="63">
        <v>166.21</v>
      </c>
      <c r="P16" s="63">
        <v>147.56</v>
      </c>
      <c r="Q16" s="63">
        <v>165.01</v>
      </c>
      <c r="R16" s="63">
        <v>161.45</v>
      </c>
      <c r="S16" s="63">
        <v>151.37</v>
      </c>
      <c r="T16" s="63">
        <v>225.0</v>
      </c>
      <c r="U16" s="63">
        <v>154.56</v>
      </c>
    </row>
    <row r="17" ht="12.75" customHeight="1">
      <c r="A17" s="63">
        <v>16.0</v>
      </c>
      <c r="B17" s="63">
        <v>165.27</v>
      </c>
      <c r="C17" s="63">
        <v>154.66</v>
      </c>
      <c r="D17" s="63">
        <v>165.99</v>
      </c>
      <c r="E17" s="63">
        <v>163.57</v>
      </c>
      <c r="F17" s="63">
        <v>166.36</v>
      </c>
      <c r="G17" s="63">
        <v>172.76</v>
      </c>
      <c r="H17" s="63">
        <v>181.71</v>
      </c>
      <c r="I17" s="63">
        <v>189.51</v>
      </c>
      <c r="J17" s="63">
        <v>197.3</v>
      </c>
      <c r="K17" s="63">
        <v>161.54</v>
      </c>
      <c r="L17" s="63">
        <v>174.33</v>
      </c>
      <c r="M17" s="63">
        <v>223.61</v>
      </c>
      <c r="N17" s="63">
        <v>168.11</v>
      </c>
      <c r="O17" s="63">
        <v>173.43</v>
      </c>
      <c r="P17" s="63">
        <v>152.54</v>
      </c>
      <c r="Q17" s="63">
        <v>170.17</v>
      </c>
      <c r="R17" s="63">
        <v>167.35</v>
      </c>
      <c r="S17" s="63">
        <v>156.78</v>
      </c>
      <c r="T17" s="63">
        <v>237.71</v>
      </c>
      <c r="U17" s="63">
        <v>159.66</v>
      </c>
    </row>
    <row r="18" ht="12.75" customHeight="1">
      <c r="A18" s="63">
        <v>17.0</v>
      </c>
      <c r="B18" s="63">
        <v>172.29</v>
      </c>
      <c r="C18" s="63">
        <v>159.74</v>
      </c>
      <c r="D18" s="63">
        <v>171.97</v>
      </c>
      <c r="E18" s="63">
        <v>169.31</v>
      </c>
      <c r="F18" s="63">
        <v>171.67</v>
      </c>
      <c r="G18" s="63">
        <v>179.44</v>
      </c>
      <c r="H18" s="63">
        <v>188.15</v>
      </c>
      <c r="I18" s="63">
        <v>197.01</v>
      </c>
      <c r="J18" s="63">
        <v>205.09</v>
      </c>
      <c r="K18" s="63">
        <v>167.71</v>
      </c>
      <c r="L18" s="63">
        <v>180.59</v>
      </c>
      <c r="M18" s="63">
        <v>232.48</v>
      </c>
      <c r="N18" s="63">
        <v>173.66</v>
      </c>
      <c r="O18" s="63">
        <v>180.66</v>
      </c>
      <c r="P18" s="63">
        <v>157.38</v>
      </c>
      <c r="Q18" s="63">
        <v>175.2</v>
      </c>
      <c r="R18" s="63">
        <v>172.86</v>
      </c>
      <c r="S18" s="63">
        <v>162.03</v>
      </c>
      <c r="T18" s="63">
        <v>246.2</v>
      </c>
      <c r="U18" s="63">
        <v>164.73</v>
      </c>
    </row>
    <row r="19" ht="12.75" customHeight="1">
      <c r="A19" s="63">
        <v>18.0</v>
      </c>
      <c r="B19" s="63">
        <v>179.78</v>
      </c>
      <c r="C19" s="63">
        <v>164.76</v>
      </c>
      <c r="D19" s="63">
        <v>177.95</v>
      </c>
      <c r="E19" s="63">
        <v>175.04</v>
      </c>
      <c r="F19" s="63">
        <v>177.44</v>
      </c>
      <c r="G19" s="63">
        <v>186.1</v>
      </c>
      <c r="H19" s="63">
        <v>195.36</v>
      </c>
      <c r="I19" s="63">
        <v>204.51</v>
      </c>
      <c r="J19" s="63">
        <v>213.48</v>
      </c>
      <c r="K19" s="63">
        <v>173.63</v>
      </c>
      <c r="L19" s="63">
        <v>186.64</v>
      </c>
      <c r="M19" s="63">
        <v>241.37</v>
      </c>
      <c r="N19" s="63">
        <v>179.77</v>
      </c>
      <c r="O19" s="63">
        <v>187.9</v>
      </c>
      <c r="P19" s="63">
        <v>162.55</v>
      </c>
      <c r="Q19" s="63">
        <v>180.61</v>
      </c>
      <c r="R19" s="63">
        <v>178.55</v>
      </c>
      <c r="S19" s="63">
        <v>167.41</v>
      </c>
      <c r="T19" s="63">
        <v>254.7</v>
      </c>
      <c r="U19" s="63">
        <v>169.92</v>
      </c>
    </row>
    <row r="20" ht="12.75" customHeight="1">
      <c r="A20" s="63">
        <v>19.0</v>
      </c>
      <c r="B20" s="63">
        <v>186.78</v>
      </c>
      <c r="C20" s="63">
        <v>169.83</v>
      </c>
      <c r="D20" s="63">
        <v>183.9</v>
      </c>
      <c r="E20" s="63">
        <v>180.72</v>
      </c>
      <c r="F20" s="63">
        <v>183.29</v>
      </c>
      <c r="G20" s="63">
        <v>192.6</v>
      </c>
      <c r="H20" s="63">
        <v>202.21</v>
      </c>
      <c r="I20" s="63">
        <v>212.03</v>
      </c>
      <c r="J20" s="63">
        <v>221.42</v>
      </c>
      <c r="K20" s="63">
        <v>180.38</v>
      </c>
      <c r="L20" s="63">
        <v>192.78</v>
      </c>
      <c r="M20" s="63">
        <v>250.25</v>
      </c>
      <c r="N20" s="63">
        <v>185.19</v>
      </c>
      <c r="O20" s="63">
        <v>195.12</v>
      </c>
      <c r="P20" s="63">
        <v>166.97</v>
      </c>
      <c r="Q20" s="63">
        <v>185.52</v>
      </c>
      <c r="R20" s="63">
        <v>184.02</v>
      </c>
      <c r="S20" s="63">
        <v>172.81</v>
      </c>
      <c r="T20" s="63">
        <v>263.19</v>
      </c>
      <c r="U20" s="63">
        <v>174.9</v>
      </c>
    </row>
    <row r="21" ht="12.75" customHeight="1">
      <c r="A21" s="63">
        <v>20.0</v>
      </c>
      <c r="B21" s="63">
        <v>194.75</v>
      </c>
      <c r="C21" s="63">
        <v>174.9</v>
      </c>
      <c r="D21" s="63">
        <v>189.89</v>
      </c>
      <c r="E21" s="63">
        <v>186.98</v>
      </c>
      <c r="F21" s="63">
        <v>188.74</v>
      </c>
      <c r="G21" s="63">
        <v>199.17</v>
      </c>
      <c r="H21" s="63">
        <v>209.15</v>
      </c>
      <c r="I21" s="63">
        <v>219.54</v>
      </c>
      <c r="J21" s="63">
        <v>230.57</v>
      </c>
      <c r="K21" s="63">
        <v>186.34</v>
      </c>
      <c r="L21" s="63">
        <v>199.21</v>
      </c>
      <c r="M21" s="63">
        <v>259.14</v>
      </c>
      <c r="N21" s="63">
        <v>191.51</v>
      </c>
      <c r="O21" s="63">
        <v>202.34</v>
      </c>
      <c r="P21" s="63">
        <v>172.17</v>
      </c>
      <c r="Q21" s="63">
        <v>191.11</v>
      </c>
      <c r="R21" s="63">
        <v>190.12</v>
      </c>
      <c r="S21" s="63">
        <v>178.19</v>
      </c>
      <c r="T21" s="63">
        <v>271.69</v>
      </c>
      <c r="U21" s="63">
        <v>179.95</v>
      </c>
    </row>
    <row r="22" ht="12.75" customHeight="1">
      <c r="A22" s="63">
        <v>21.0</v>
      </c>
      <c r="B22" s="63">
        <v>200.34</v>
      </c>
      <c r="C22" s="63">
        <v>178.45</v>
      </c>
      <c r="D22" s="63">
        <v>195.67</v>
      </c>
      <c r="E22" s="63">
        <v>191.13</v>
      </c>
      <c r="F22" s="63">
        <v>192.23</v>
      </c>
      <c r="G22" s="63">
        <v>204.3</v>
      </c>
      <c r="H22" s="63">
        <v>214.25</v>
      </c>
      <c r="I22" s="63">
        <v>227.28</v>
      </c>
      <c r="J22" s="63">
        <v>236.48</v>
      </c>
      <c r="K22" s="63">
        <v>191.05</v>
      </c>
      <c r="L22" s="63">
        <v>203.74</v>
      </c>
      <c r="M22" s="63">
        <v>268.26</v>
      </c>
      <c r="N22" s="63">
        <v>197.36</v>
      </c>
      <c r="O22" s="63">
        <v>205.58</v>
      </c>
      <c r="P22" s="63">
        <v>175.21</v>
      </c>
      <c r="Q22" s="63">
        <v>194.03</v>
      </c>
      <c r="R22" s="63">
        <v>193.5</v>
      </c>
      <c r="S22" s="63">
        <v>181.66</v>
      </c>
      <c r="T22" s="63">
        <v>280.18</v>
      </c>
      <c r="U22" s="63">
        <v>185.0</v>
      </c>
    </row>
    <row r="23" ht="12.75" customHeight="1">
      <c r="A23" s="63">
        <v>22.0</v>
      </c>
      <c r="B23" s="63">
        <v>205.67</v>
      </c>
      <c r="C23" s="63">
        <v>182.18</v>
      </c>
      <c r="D23" s="63">
        <v>201.65</v>
      </c>
      <c r="E23" s="63">
        <v>195.82</v>
      </c>
      <c r="F23" s="63">
        <v>197.16</v>
      </c>
      <c r="G23" s="63">
        <v>209.74</v>
      </c>
      <c r="H23" s="63">
        <v>219.45</v>
      </c>
      <c r="I23" s="63">
        <v>234.79</v>
      </c>
      <c r="J23" s="63">
        <v>242.6</v>
      </c>
      <c r="K23" s="63">
        <v>195.94</v>
      </c>
      <c r="L23" s="63">
        <v>208.68</v>
      </c>
      <c r="M23" s="63">
        <v>277.15</v>
      </c>
      <c r="N23" s="63">
        <v>203.36</v>
      </c>
      <c r="O23" s="63">
        <v>208.82</v>
      </c>
      <c r="P23" s="63">
        <v>178.74</v>
      </c>
      <c r="Q23" s="63">
        <v>196.91</v>
      </c>
      <c r="R23" s="63">
        <v>198.31</v>
      </c>
      <c r="S23" s="63">
        <v>185.75</v>
      </c>
      <c r="T23" s="63">
        <v>288.68</v>
      </c>
      <c r="U23" s="63">
        <v>190.1</v>
      </c>
    </row>
    <row r="24" ht="12.75" customHeight="1">
      <c r="A24" s="63">
        <v>23.0</v>
      </c>
      <c r="B24" s="63">
        <v>211.82</v>
      </c>
      <c r="C24" s="63">
        <v>186.0</v>
      </c>
      <c r="D24" s="63">
        <v>207.61</v>
      </c>
      <c r="E24" s="63">
        <v>199.86</v>
      </c>
      <c r="F24" s="63">
        <v>201.06</v>
      </c>
      <c r="G24" s="63">
        <v>214.89</v>
      </c>
      <c r="H24" s="63">
        <v>224.4</v>
      </c>
      <c r="I24" s="63">
        <v>242.31</v>
      </c>
      <c r="J24" s="63">
        <v>248.61</v>
      </c>
      <c r="K24" s="63">
        <v>200.8</v>
      </c>
      <c r="L24" s="63">
        <v>213.1</v>
      </c>
      <c r="M24" s="63">
        <v>286.03</v>
      </c>
      <c r="N24" s="63">
        <v>209.44</v>
      </c>
      <c r="O24" s="63">
        <v>215.09</v>
      </c>
      <c r="P24" s="63">
        <v>183.18</v>
      </c>
      <c r="Q24" s="63">
        <v>201.72</v>
      </c>
      <c r="R24" s="63">
        <v>202.7</v>
      </c>
      <c r="S24" s="63">
        <v>189.92</v>
      </c>
      <c r="T24" s="63">
        <v>297.17</v>
      </c>
      <c r="U24" s="63">
        <v>195.03</v>
      </c>
    </row>
    <row r="25" ht="12.75" customHeight="1">
      <c r="A25" s="63">
        <v>24.0</v>
      </c>
      <c r="B25" s="63">
        <v>217.48</v>
      </c>
      <c r="C25" s="63">
        <v>189.59</v>
      </c>
      <c r="D25" s="63">
        <v>213.58</v>
      </c>
      <c r="E25" s="63">
        <v>204.44</v>
      </c>
      <c r="F25" s="63">
        <v>205.54</v>
      </c>
      <c r="G25" s="63">
        <v>219.51</v>
      </c>
      <c r="H25" s="63">
        <v>229.76</v>
      </c>
      <c r="I25" s="63">
        <v>249.83</v>
      </c>
      <c r="J25" s="63">
        <v>254.16</v>
      </c>
      <c r="K25" s="63">
        <v>205.65</v>
      </c>
      <c r="L25" s="63">
        <v>217.9</v>
      </c>
      <c r="M25" s="63">
        <v>294.93</v>
      </c>
      <c r="N25" s="63">
        <v>214.75</v>
      </c>
      <c r="O25" s="63">
        <v>221.36</v>
      </c>
      <c r="P25" s="63">
        <v>186.91</v>
      </c>
      <c r="Q25" s="63">
        <v>205.69</v>
      </c>
      <c r="R25" s="63">
        <v>206.82</v>
      </c>
      <c r="S25" s="63">
        <v>193.39</v>
      </c>
      <c r="T25" s="63">
        <v>300.04</v>
      </c>
      <c r="U25" s="63">
        <v>200.27</v>
      </c>
    </row>
    <row r="26" ht="12.75" customHeight="1">
      <c r="A26" s="63">
        <v>25.0</v>
      </c>
      <c r="B26" s="63">
        <v>223.44</v>
      </c>
      <c r="C26" s="63">
        <v>193.19</v>
      </c>
      <c r="D26" s="63">
        <v>219.55</v>
      </c>
      <c r="E26" s="63">
        <v>208.93</v>
      </c>
      <c r="F26" s="63">
        <v>209.2</v>
      </c>
      <c r="G26" s="63">
        <v>225.33</v>
      </c>
      <c r="H26" s="63">
        <v>235.21</v>
      </c>
      <c r="I26" s="63">
        <v>257.34</v>
      </c>
      <c r="J26" s="63">
        <v>260.35</v>
      </c>
      <c r="K26" s="63">
        <v>210.37</v>
      </c>
      <c r="L26" s="63">
        <v>222.38</v>
      </c>
      <c r="M26" s="63">
        <v>303.83</v>
      </c>
      <c r="N26" s="63">
        <v>221.07</v>
      </c>
      <c r="O26" s="63">
        <v>227.65</v>
      </c>
      <c r="P26" s="63">
        <v>189.48</v>
      </c>
      <c r="Q26" s="63">
        <v>209.04</v>
      </c>
      <c r="R26" s="63">
        <v>210.58</v>
      </c>
      <c r="S26" s="63">
        <v>197.32</v>
      </c>
      <c r="T26" s="63">
        <v>308.38</v>
      </c>
      <c r="U26" s="63">
        <v>205.26</v>
      </c>
    </row>
    <row r="27" ht="12.75" customHeight="1">
      <c r="A27" s="63">
        <v>26.0</v>
      </c>
      <c r="B27" s="63">
        <v>228.49</v>
      </c>
      <c r="C27" s="63">
        <v>196.56</v>
      </c>
      <c r="D27" s="63">
        <v>225.51</v>
      </c>
      <c r="E27" s="63">
        <v>212.55</v>
      </c>
      <c r="F27" s="63">
        <v>213.09</v>
      </c>
      <c r="G27" s="63">
        <v>229.84</v>
      </c>
      <c r="H27" s="63">
        <v>240.17</v>
      </c>
      <c r="I27" s="63">
        <v>264.85</v>
      </c>
      <c r="J27" s="63">
        <v>267.64</v>
      </c>
      <c r="K27" s="63">
        <v>214.24</v>
      </c>
      <c r="L27" s="63">
        <v>226.96</v>
      </c>
      <c r="M27" s="63">
        <v>312.71</v>
      </c>
      <c r="N27" s="63">
        <v>226.84</v>
      </c>
      <c r="O27" s="63">
        <v>233.91</v>
      </c>
      <c r="P27" s="63">
        <v>193.54</v>
      </c>
      <c r="Q27" s="63">
        <v>212.31</v>
      </c>
      <c r="R27" s="63">
        <v>214.52</v>
      </c>
      <c r="S27" s="63">
        <v>201.09</v>
      </c>
      <c r="T27" s="63">
        <v>316.72</v>
      </c>
      <c r="U27" s="63">
        <v>210.39</v>
      </c>
    </row>
    <row r="28" ht="12.75" customHeight="1">
      <c r="A28" s="63">
        <v>27.0</v>
      </c>
      <c r="B28" s="63">
        <v>234.13</v>
      </c>
      <c r="C28" s="63">
        <v>200.23</v>
      </c>
      <c r="D28" s="63">
        <v>231.49</v>
      </c>
      <c r="E28" s="63">
        <v>216.87</v>
      </c>
      <c r="F28" s="63">
        <v>217.09</v>
      </c>
      <c r="G28" s="63">
        <v>234.12</v>
      </c>
      <c r="H28" s="63">
        <v>245.47</v>
      </c>
      <c r="I28" s="63">
        <v>272.39</v>
      </c>
      <c r="J28" s="63">
        <v>275.23</v>
      </c>
      <c r="K28" s="63">
        <v>219.17</v>
      </c>
      <c r="L28" s="63">
        <v>231.1</v>
      </c>
      <c r="M28" s="63">
        <v>321.59</v>
      </c>
      <c r="N28" s="63">
        <v>233.08</v>
      </c>
      <c r="O28" s="63">
        <v>240.19</v>
      </c>
      <c r="P28" s="63">
        <v>196.78</v>
      </c>
      <c r="Q28" s="63">
        <v>215.77</v>
      </c>
      <c r="R28" s="63">
        <v>218.9</v>
      </c>
      <c r="S28" s="63">
        <v>204.75</v>
      </c>
      <c r="T28" s="63">
        <v>318.96</v>
      </c>
      <c r="U28" s="63">
        <v>215.47</v>
      </c>
    </row>
    <row r="29" ht="12.75" customHeight="1">
      <c r="A29" s="63">
        <v>28.0</v>
      </c>
      <c r="B29" s="63">
        <v>239.43</v>
      </c>
      <c r="C29" s="63">
        <v>203.42</v>
      </c>
      <c r="D29" s="63">
        <v>237.46</v>
      </c>
      <c r="E29" s="63">
        <v>220.83</v>
      </c>
      <c r="F29" s="63">
        <v>220.55</v>
      </c>
      <c r="G29" s="63">
        <v>238.85</v>
      </c>
      <c r="H29" s="63">
        <v>249.72</v>
      </c>
      <c r="I29" s="63">
        <v>279.9</v>
      </c>
      <c r="J29" s="63">
        <v>282.84</v>
      </c>
      <c r="K29" s="63">
        <v>223.33</v>
      </c>
      <c r="L29" s="63">
        <v>235.38</v>
      </c>
      <c r="M29" s="63">
        <v>330.49</v>
      </c>
      <c r="N29" s="63">
        <v>238.88</v>
      </c>
      <c r="O29" s="63">
        <v>246.46</v>
      </c>
      <c r="P29" s="63">
        <v>200.12</v>
      </c>
      <c r="Q29" s="63">
        <v>219.55</v>
      </c>
      <c r="R29" s="63">
        <v>222.68</v>
      </c>
      <c r="S29" s="63">
        <v>208.8</v>
      </c>
      <c r="T29" s="63">
        <v>327.14</v>
      </c>
      <c r="U29" s="63">
        <v>220.46</v>
      </c>
    </row>
    <row r="30" ht="12.75" customHeight="1">
      <c r="A30" s="63">
        <v>29.0</v>
      </c>
      <c r="B30" s="63">
        <v>245.07</v>
      </c>
      <c r="C30" s="63">
        <v>206.6</v>
      </c>
      <c r="D30" s="63">
        <v>243.42</v>
      </c>
      <c r="E30" s="63">
        <v>224.78</v>
      </c>
      <c r="F30" s="63">
        <v>224.44</v>
      </c>
      <c r="G30" s="63">
        <v>243.67</v>
      </c>
      <c r="H30" s="63">
        <v>254.01</v>
      </c>
      <c r="I30" s="63">
        <v>287.41</v>
      </c>
      <c r="J30" s="63">
        <v>290.43</v>
      </c>
      <c r="K30" s="63">
        <v>227.48</v>
      </c>
      <c r="L30" s="63">
        <v>239.84</v>
      </c>
      <c r="M30" s="63">
        <v>339.38</v>
      </c>
      <c r="N30" s="63">
        <v>244.7</v>
      </c>
      <c r="O30" s="63">
        <v>252.73</v>
      </c>
      <c r="P30" s="63">
        <v>204.31</v>
      </c>
      <c r="Q30" s="63">
        <v>222.73</v>
      </c>
      <c r="R30" s="63">
        <v>226.07</v>
      </c>
      <c r="S30" s="63">
        <v>210.55</v>
      </c>
      <c r="T30" s="63">
        <v>335.32</v>
      </c>
      <c r="U30" s="63">
        <v>225.55</v>
      </c>
    </row>
    <row r="31" ht="12.75" customHeight="1">
      <c r="A31" s="63">
        <v>30.0</v>
      </c>
      <c r="B31" s="63">
        <v>250.51</v>
      </c>
      <c r="C31" s="63">
        <v>209.94</v>
      </c>
      <c r="D31" s="63">
        <v>249.38</v>
      </c>
      <c r="E31" s="63">
        <v>228.97</v>
      </c>
      <c r="F31" s="63">
        <v>227.89</v>
      </c>
      <c r="G31" s="63">
        <v>247.82</v>
      </c>
      <c r="H31" s="63">
        <v>258.34</v>
      </c>
      <c r="I31" s="63">
        <v>294.92</v>
      </c>
      <c r="J31" s="63">
        <v>298.02</v>
      </c>
      <c r="K31" s="63">
        <v>232.48</v>
      </c>
      <c r="L31" s="63">
        <v>243.99</v>
      </c>
      <c r="M31" s="63">
        <v>348.28</v>
      </c>
      <c r="N31" s="63">
        <v>250.63</v>
      </c>
      <c r="O31" s="63">
        <v>259.01</v>
      </c>
      <c r="P31" s="63">
        <v>207.16</v>
      </c>
      <c r="Q31" s="63">
        <v>226.04</v>
      </c>
      <c r="R31" s="63">
        <v>230.65</v>
      </c>
      <c r="S31" s="63">
        <v>215.01</v>
      </c>
      <c r="T31" s="63">
        <v>343.5</v>
      </c>
      <c r="U31" s="63">
        <v>230.65</v>
      </c>
    </row>
    <row r="32" ht="12.75" customHeight="1">
      <c r="A32" s="63">
        <v>31.0</v>
      </c>
      <c r="B32" s="63">
        <v>254.73</v>
      </c>
      <c r="C32" s="63">
        <v>212.87</v>
      </c>
      <c r="D32" s="63">
        <v>255.11</v>
      </c>
      <c r="E32" s="63">
        <v>232.39</v>
      </c>
      <c r="F32" s="63">
        <v>231.68</v>
      </c>
      <c r="G32" s="63">
        <v>251.55</v>
      </c>
      <c r="H32" s="63">
        <v>263.26</v>
      </c>
      <c r="I32" s="63">
        <v>302.45</v>
      </c>
      <c r="J32" s="63">
        <v>305.05</v>
      </c>
      <c r="K32" s="63">
        <v>235.64</v>
      </c>
      <c r="L32" s="63">
        <v>247.9</v>
      </c>
      <c r="M32" s="63">
        <v>356.81</v>
      </c>
      <c r="N32" s="63">
        <v>256.24</v>
      </c>
      <c r="O32" s="63">
        <v>265.03</v>
      </c>
      <c r="P32" s="63">
        <v>209.99</v>
      </c>
      <c r="Q32" s="63">
        <v>228.48</v>
      </c>
      <c r="R32" s="63">
        <v>234.42</v>
      </c>
      <c r="S32" s="63">
        <v>218.37</v>
      </c>
      <c r="T32" s="63">
        <v>347.88</v>
      </c>
      <c r="U32" s="63">
        <v>235.71</v>
      </c>
    </row>
    <row r="33" ht="12.75" customHeight="1">
      <c r="A33" s="63">
        <v>32.0</v>
      </c>
      <c r="B33" s="63">
        <v>260.15</v>
      </c>
      <c r="C33" s="63">
        <v>216.16</v>
      </c>
      <c r="D33" s="63">
        <v>261.09</v>
      </c>
      <c r="E33" s="63">
        <v>236.15</v>
      </c>
      <c r="F33" s="63">
        <v>235.92</v>
      </c>
      <c r="G33" s="63">
        <v>256.58</v>
      </c>
      <c r="H33" s="63">
        <v>268.45</v>
      </c>
      <c r="I33" s="63">
        <v>309.97</v>
      </c>
      <c r="J33" s="63">
        <v>312.62</v>
      </c>
      <c r="K33" s="63">
        <v>240.14</v>
      </c>
      <c r="L33" s="63">
        <v>251.87</v>
      </c>
      <c r="M33" s="63">
        <v>365.71</v>
      </c>
      <c r="N33" s="63">
        <v>262.49</v>
      </c>
      <c r="O33" s="63">
        <v>271.29</v>
      </c>
      <c r="P33" s="63">
        <v>212.72</v>
      </c>
      <c r="Q33" s="63">
        <v>232.06</v>
      </c>
      <c r="R33" s="63">
        <v>235.63</v>
      </c>
      <c r="S33" s="63">
        <v>221.48</v>
      </c>
      <c r="T33" s="63">
        <v>356.04</v>
      </c>
      <c r="U33" s="63">
        <v>241.12</v>
      </c>
    </row>
    <row r="34" ht="12.75" customHeight="1">
      <c r="A34" s="63">
        <v>33.0</v>
      </c>
      <c r="B34" s="63">
        <v>265.4</v>
      </c>
      <c r="C34" s="63">
        <v>218.95</v>
      </c>
      <c r="D34" s="63">
        <v>267.04</v>
      </c>
      <c r="E34" s="63">
        <v>239.73</v>
      </c>
      <c r="F34" s="63">
        <v>240.98</v>
      </c>
      <c r="G34" s="63">
        <v>260.19</v>
      </c>
      <c r="H34" s="63">
        <v>272.86</v>
      </c>
      <c r="I34" s="63">
        <v>317.49</v>
      </c>
      <c r="J34" s="63">
        <v>320.2</v>
      </c>
      <c r="K34" s="63">
        <v>244.49</v>
      </c>
      <c r="L34" s="63">
        <v>255.85</v>
      </c>
      <c r="M34" s="63">
        <v>374.59</v>
      </c>
      <c r="N34" s="63">
        <v>268.5</v>
      </c>
      <c r="O34" s="63">
        <v>277.57</v>
      </c>
      <c r="P34" s="63">
        <v>215.76</v>
      </c>
      <c r="Q34" s="63">
        <v>234.87</v>
      </c>
      <c r="R34" s="63">
        <v>241.45</v>
      </c>
      <c r="S34" s="63">
        <v>224.94</v>
      </c>
      <c r="T34" s="63">
        <v>364.17</v>
      </c>
      <c r="U34" s="63">
        <v>246.26</v>
      </c>
    </row>
    <row r="35" ht="12.75" customHeight="1">
      <c r="A35" s="63">
        <v>34.0</v>
      </c>
      <c r="B35" s="63">
        <v>269.35</v>
      </c>
      <c r="C35" s="63">
        <v>222.06</v>
      </c>
      <c r="D35" s="63">
        <v>273.02</v>
      </c>
      <c r="E35" s="63">
        <v>243.42</v>
      </c>
      <c r="F35" s="63">
        <v>246.08</v>
      </c>
      <c r="G35" s="63">
        <v>265.1</v>
      </c>
      <c r="H35" s="63">
        <v>276.35</v>
      </c>
      <c r="I35" s="63">
        <v>325.0</v>
      </c>
      <c r="J35" s="63">
        <v>327.78</v>
      </c>
      <c r="K35" s="63">
        <v>247.76</v>
      </c>
      <c r="L35" s="63">
        <v>259.6</v>
      </c>
      <c r="M35" s="63">
        <v>383.46</v>
      </c>
      <c r="N35" s="63">
        <v>274.04</v>
      </c>
      <c r="O35" s="63">
        <v>283.83</v>
      </c>
      <c r="P35" s="63">
        <v>218.42</v>
      </c>
      <c r="Q35" s="63">
        <v>238.22</v>
      </c>
      <c r="R35" s="63">
        <v>244.62</v>
      </c>
      <c r="S35" s="63">
        <v>227.93</v>
      </c>
      <c r="T35" s="63">
        <v>372.29</v>
      </c>
      <c r="U35" s="63">
        <v>251.04</v>
      </c>
    </row>
    <row r="36" ht="12.75" customHeight="1">
      <c r="A36" s="63">
        <v>35.0</v>
      </c>
      <c r="B36" s="63">
        <v>274.02</v>
      </c>
      <c r="C36" s="63">
        <v>225.1</v>
      </c>
      <c r="D36" s="63">
        <v>278.96</v>
      </c>
      <c r="E36" s="63">
        <v>247.16</v>
      </c>
      <c r="F36" s="63">
        <v>251.16</v>
      </c>
      <c r="G36" s="63">
        <v>269.48</v>
      </c>
      <c r="H36" s="63">
        <v>280.29</v>
      </c>
      <c r="I36" s="63">
        <v>332.52</v>
      </c>
      <c r="J36" s="63">
        <v>335.37</v>
      </c>
      <c r="K36" s="63">
        <v>251.98</v>
      </c>
      <c r="L36" s="63">
        <v>262.93</v>
      </c>
      <c r="M36" s="63">
        <v>392.34</v>
      </c>
      <c r="N36" s="63">
        <v>280.57</v>
      </c>
      <c r="O36" s="63">
        <v>290.09</v>
      </c>
      <c r="P36" s="63">
        <v>221.68</v>
      </c>
      <c r="Q36" s="63">
        <v>240.78</v>
      </c>
      <c r="R36" s="63">
        <v>247.96</v>
      </c>
      <c r="S36" s="63">
        <v>231.36</v>
      </c>
      <c r="T36" s="63">
        <v>380.42</v>
      </c>
      <c r="U36" s="63">
        <v>256.06</v>
      </c>
    </row>
    <row r="37" ht="12.75" customHeight="1">
      <c r="A37" s="63">
        <v>36.0</v>
      </c>
      <c r="B37" s="63">
        <v>278.53</v>
      </c>
      <c r="C37" s="63">
        <v>227.62</v>
      </c>
      <c r="D37" s="63">
        <v>284.94</v>
      </c>
      <c r="E37" s="63">
        <v>250.08</v>
      </c>
      <c r="F37" s="63">
        <v>256.26</v>
      </c>
      <c r="G37" s="63">
        <v>275.18</v>
      </c>
      <c r="H37" s="63">
        <v>283.92</v>
      </c>
      <c r="I37" s="63">
        <v>340.04</v>
      </c>
      <c r="J37" s="63">
        <v>342.94</v>
      </c>
      <c r="K37" s="63">
        <v>254.99</v>
      </c>
      <c r="L37" s="63">
        <v>266.95</v>
      </c>
      <c r="M37" s="63">
        <v>401.23</v>
      </c>
      <c r="N37" s="63">
        <v>285.88</v>
      </c>
      <c r="O37" s="63">
        <v>296.36</v>
      </c>
      <c r="P37" s="63">
        <v>224.29</v>
      </c>
      <c r="Q37" s="63">
        <v>243.79</v>
      </c>
      <c r="R37" s="63">
        <v>251.47</v>
      </c>
      <c r="S37" s="63">
        <v>234.9</v>
      </c>
      <c r="T37" s="63">
        <v>388.58</v>
      </c>
      <c r="U37" s="63">
        <v>261.29</v>
      </c>
    </row>
    <row r="38" ht="12.75" customHeight="1">
      <c r="A38" s="63">
        <v>37.0</v>
      </c>
      <c r="B38" s="63">
        <v>282.26</v>
      </c>
      <c r="C38" s="63">
        <v>230.9</v>
      </c>
      <c r="D38" s="63">
        <v>290.89</v>
      </c>
      <c r="E38" s="63">
        <v>253.39</v>
      </c>
      <c r="F38" s="63">
        <v>261.33</v>
      </c>
      <c r="G38" s="63">
        <v>280.88</v>
      </c>
      <c r="H38" s="63">
        <v>288.22</v>
      </c>
      <c r="I38" s="63">
        <v>347.56</v>
      </c>
      <c r="J38" s="63">
        <v>350.53</v>
      </c>
      <c r="K38" s="63">
        <v>259.54</v>
      </c>
      <c r="L38" s="63">
        <v>271.79</v>
      </c>
      <c r="M38" s="63">
        <v>410.11</v>
      </c>
      <c r="N38" s="63">
        <v>291.95</v>
      </c>
      <c r="O38" s="63">
        <v>302.63</v>
      </c>
      <c r="P38" s="63">
        <v>227.04</v>
      </c>
      <c r="Q38" s="63">
        <v>246.63</v>
      </c>
      <c r="R38" s="63">
        <v>254.3</v>
      </c>
      <c r="S38" s="63">
        <v>238.3</v>
      </c>
      <c r="T38" s="63">
        <v>396.7</v>
      </c>
      <c r="U38" s="63">
        <v>266.47</v>
      </c>
    </row>
    <row r="39" ht="12.75" customHeight="1">
      <c r="A39" s="63">
        <v>38.0</v>
      </c>
      <c r="B39" s="63">
        <v>286.53</v>
      </c>
      <c r="C39" s="63">
        <v>232.96</v>
      </c>
      <c r="D39" s="63">
        <v>296.87</v>
      </c>
      <c r="E39" s="63">
        <v>257.34</v>
      </c>
      <c r="F39" s="63">
        <v>266.42</v>
      </c>
      <c r="G39" s="63">
        <v>286.61</v>
      </c>
      <c r="H39" s="63">
        <v>292.62</v>
      </c>
      <c r="I39" s="63">
        <v>355.07</v>
      </c>
      <c r="J39" s="63">
        <v>358.11</v>
      </c>
      <c r="K39" s="63">
        <v>263.18</v>
      </c>
      <c r="L39" s="63">
        <v>277.29</v>
      </c>
      <c r="M39" s="63">
        <v>419.0</v>
      </c>
      <c r="N39" s="63">
        <v>298.65</v>
      </c>
      <c r="O39" s="63">
        <v>308.9</v>
      </c>
      <c r="P39" s="63">
        <v>229.5</v>
      </c>
      <c r="Q39" s="63">
        <v>250.6</v>
      </c>
      <c r="R39" s="63">
        <v>257.25</v>
      </c>
      <c r="S39" s="63">
        <v>242.57</v>
      </c>
      <c r="T39" s="63">
        <v>404.82</v>
      </c>
      <c r="U39" s="63">
        <v>271.16</v>
      </c>
    </row>
    <row r="40" ht="12.75" customHeight="1">
      <c r="A40" s="63">
        <v>39.0</v>
      </c>
      <c r="B40" s="63">
        <v>292.92</v>
      </c>
      <c r="C40" s="63">
        <v>236.08</v>
      </c>
      <c r="D40" s="63">
        <v>302.82</v>
      </c>
      <c r="E40" s="63">
        <v>259.53</v>
      </c>
      <c r="F40" s="63">
        <v>271.5</v>
      </c>
      <c r="G40" s="63">
        <v>292.3</v>
      </c>
      <c r="H40" s="63">
        <v>298.45</v>
      </c>
      <c r="I40" s="63">
        <v>362.6</v>
      </c>
      <c r="J40" s="63">
        <v>365.71</v>
      </c>
      <c r="K40" s="63">
        <v>266.2</v>
      </c>
      <c r="L40" s="63">
        <v>282.79</v>
      </c>
      <c r="M40" s="63">
        <v>427.87</v>
      </c>
      <c r="N40" s="63">
        <v>303.42</v>
      </c>
      <c r="O40" s="63">
        <v>315.17</v>
      </c>
      <c r="P40" s="63">
        <v>232.37</v>
      </c>
      <c r="Q40" s="63">
        <v>252.24</v>
      </c>
      <c r="R40" s="63">
        <v>260.39</v>
      </c>
      <c r="S40" s="63">
        <v>246.83</v>
      </c>
      <c r="T40" s="63">
        <v>412.95</v>
      </c>
      <c r="U40" s="63">
        <v>276.36</v>
      </c>
    </row>
    <row r="41" ht="12.75" customHeight="1">
      <c r="A41" s="63">
        <v>40.0</v>
      </c>
      <c r="B41" s="63">
        <v>295.16</v>
      </c>
      <c r="C41" s="63">
        <v>238.33</v>
      </c>
      <c r="D41" s="63">
        <v>308.78</v>
      </c>
      <c r="E41" s="63">
        <v>263.16</v>
      </c>
      <c r="F41" s="63">
        <v>276.6</v>
      </c>
      <c r="G41" s="63">
        <v>298.02</v>
      </c>
      <c r="H41" s="63">
        <v>304.3</v>
      </c>
      <c r="I41" s="63">
        <v>370.13</v>
      </c>
      <c r="J41" s="63">
        <v>373.28</v>
      </c>
      <c r="K41" s="63">
        <v>270.96</v>
      </c>
      <c r="L41" s="63">
        <v>288.3</v>
      </c>
      <c r="M41" s="63">
        <v>436.76</v>
      </c>
      <c r="N41" s="63">
        <v>310.26</v>
      </c>
      <c r="O41" s="63">
        <v>321.43</v>
      </c>
      <c r="P41" s="63">
        <v>235.49</v>
      </c>
      <c r="Q41" s="63">
        <v>255.38</v>
      </c>
      <c r="R41" s="63">
        <v>262.9</v>
      </c>
      <c r="S41" s="63">
        <v>251.11</v>
      </c>
      <c r="T41" s="63">
        <v>421.09</v>
      </c>
      <c r="U41" s="63">
        <v>282.29</v>
      </c>
    </row>
    <row r="42" ht="12.75" customHeight="1">
      <c r="A42" s="63">
        <v>41.0</v>
      </c>
      <c r="B42" s="63">
        <v>301.33</v>
      </c>
      <c r="C42" s="63">
        <v>242.97</v>
      </c>
      <c r="D42" s="63">
        <v>314.45</v>
      </c>
      <c r="E42" s="63">
        <v>267.56</v>
      </c>
      <c r="F42" s="63">
        <v>282.74</v>
      </c>
      <c r="G42" s="63">
        <v>303.72</v>
      </c>
      <c r="H42" s="63">
        <v>310.12</v>
      </c>
      <c r="I42" s="63">
        <v>378.35</v>
      </c>
      <c r="J42" s="63">
        <v>382.28</v>
      </c>
      <c r="K42" s="63">
        <v>274.77</v>
      </c>
      <c r="L42" s="63">
        <v>297.22</v>
      </c>
      <c r="M42" s="63">
        <v>453.88</v>
      </c>
      <c r="N42" s="63">
        <v>315.55</v>
      </c>
      <c r="O42" s="63">
        <v>327.71</v>
      </c>
      <c r="P42" s="63">
        <v>238.36</v>
      </c>
      <c r="Q42" s="63">
        <v>259.16</v>
      </c>
      <c r="R42" s="63">
        <v>268.26</v>
      </c>
      <c r="S42" s="63">
        <v>255.63</v>
      </c>
      <c r="T42" s="63">
        <v>430.26</v>
      </c>
      <c r="U42" s="63">
        <v>285.1</v>
      </c>
    </row>
    <row r="43" ht="12.75" customHeight="1">
      <c r="A43" s="63">
        <v>42.0</v>
      </c>
      <c r="B43" s="63">
        <v>308.06</v>
      </c>
      <c r="C43" s="63">
        <v>247.07</v>
      </c>
      <c r="D43" s="63">
        <v>320.41</v>
      </c>
      <c r="E43" s="63">
        <v>273.24</v>
      </c>
      <c r="F43" s="63">
        <v>287.85</v>
      </c>
      <c r="G43" s="63">
        <v>309.43</v>
      </c>
      <c r="H43" s="63">
        <v>315.95</v>
      </c>
      <c r="I43" s="63">
        <v>385.88</v>
      </c>
      <c r="J43" s="63">
        <v>389.88</v>
      </c>
      <c r="K43" s="63">
        <v>280.05</v>
      </c>
      <c r="L43" s="63">
        <v>302.76</v>
      </c>
      <c r="M43" s="63">
        <v>462.91</v>
      </c>
      <c r="N43" s="63">
        <v>320.58</v>
      </c>
      <c r="O43" s="63">
        <v>333.97</v>
      </c>
      <c r="P43" s="63">
        <v>243.59</v>
      </c>
      <c r="Q43" s="63">
        <v>263.73</v>
      </c>
      <c r="R43" s="63">
        <v>273.19</v>
      </c>
      <c r="S43" s="63">
        <v>259.92</v>
      </c>
      <c r="T43" s="63">
        <v>438.41</v>
      </c>
      <c r="U43" s="63">
        <v>288.06</v>
      </c>
    </row>
    <row r="44" ht="12.75" customHeight="1">
      <c r="A44" s="63">
        <v>43.0</v>
      </c>
      <c r="B44" s="63">
        <v>314.38</v>
      </c>
      <c r="C44" s="63">
        <v>251.17</v>
      </c>
      <c r="D44" s="63">
        <v>326.36</v>
      </c>
      <c r="E44" s="63">
        <v>278.47</v>
      </c>
      <c r="F44" s="63">
        <v>292.96</v>
      </c>
      <c r="G44" s="63">
        <v>315.14</v>
      </c>
      <c r="H44" s="63">
        <v>321.79</v>
      </c>
      <c r="I44" s="63">
        <v>393.42</v>
      </c>
      <c r="J44" s="63">
        <v>397.51</v>
      </c>
      <c r="K44" s="63">
        <v>286.05</v>
      </c>
      <c r="L44" s="63">
        <v>308.33</v>
      </c>
      <c r="M44" s="63">
        <v>471.97</v>
      </c>
      <c r="N44" s="63">
        <v>327.3</v>
      </c>
      <c r="O44" s="63">
        <v>340.23</v>
      </c>
      <c r="P44" s="63">
        <v>247.62</v>
      </c>
      <c r="Q44" s="63">
        <v>268.18</v>
      </c>
      <c r="R44" s="63">
        <v>277.71</v>
      </c>
      <c r="S44" s="63">
        <v>264.18</v>
      </c>
      <c r="T44" s="63">
        <v>446.56</v>
      </c>
      <c r="U44" s="63">
        <v>290.57</v>
      </c>
    </row>
    <row r="45" ht="12.75" customHeight="1">
      <c r="A45" s="63">
        <v>44.0</v>
      </c>
      <c r="B45" s="63">
        <v>321.66</v>
      </c>
      <c r="C45" s="63">
        <v>255.88</v>
      </c>
      <c r="D45" s="63">
        <v>332.32</v>
      </c>
      <c r="E45" s="63">
        <v>283.35</v>
      </c>
      <c r="F45" s="63">
        <v>298.07</v>
      </c>
      <c r="G45" s="63">
        <v>320.86</v>
      </c>
      <c r="H45" s="63">
        <v>327.62</v>
      </c>
      <c r="I45" s="63">
        <v>400.94</v>
      </c>
      <c r="J45" s="63">
        <v>405.11</v>
      </c>
      <c r="K45" s="63">
        <v>292.16</v>
      </c>
      <c r="L45" s="63">
        <v>313.9</v>
      </c>
      <c r="M45" s="63">
        <v>481.02</v>
      </c>
      <c r="N45" s="63">
        <v>335.38</v>
      </c>
      <c r="O45" s="63">
        <v>346.5</v>
      </c>
      <c r="P45" s="63">
        <v>252.63</v>
      </c>
      <c r="Q45" s="63">
        <v>271.98</v>
      </c>
      <c r="R45" s="63">
        <v>282.78</v>
      </c>
      <c r="S45" s="63">
        <v>268.46</v>
      </c>
      <c r="T45" s="63">
        <v>454.7</v>
      </c>
      <c r="U45" s="63">
        <v>293.38</v>
      </c>
    </row>
    <row r="46" ht="12.75" customHeight="1">
      <c r="A46" s="63">
        <v>45.0</v>
      </c>
      <c r="B46" s="63">
        <v>328.6</v>
      </c>
      <c r="C46" s="63">
        <v>260.43</v>
      </c>
      <c r="D46" s="63">
        <v>338.27</v>
      </c>
      <c r="E46" s="63">
        <v>288.2</v>
      </c>
      <c r="F46" s="63">
        <v>303.17</v>
      </c>
      <c r="G46" s="63">
        <v>326.57</v>
      </c>
      <c r="H46" s="63">
        <v>333.44</v>
      </c>
      <c r="I46" s="63">
        <v>408.47</v>
      </c>
      <c r="J46" s="63">
        <v>412.72</v>
      </c>
      <c r="K46" s="63">
        <v>295.83</v>
      </c>
      <c r="L46" s="63">
        <v>319.46</v>
      </c>
      <c r="M46" s="63">
        <v>490.06</v>
      </c>
      <c r="N46" s="63">
        <v>338.0</v>
      </c>
      <c r="O46" s="63">
        <v>352.78</v>
      </c>
      <c r="P46" s="63">
        <v>256.72</v>
      </c>
      <c r="Q46" s="63">
        <v>276.36</v>
      </c>
      <c r="R46" s="63">
        <v>287.6</v>
      </c>
      <c r="S46" s="63">
        <v>272.73</v>
      </c>
      <c r="T46" s="63">
        <v>462.85</v>
      </c>
      <c r="U46" s="63">
        <v>296.66</v>
      </c>
    </row>
    <row r="47" ht="12.75" customHeight="1">
      <c r="A47" s="63">
        <v>46.0</v>
      </c>
      <c r="B47" s="63">
        <v>334.86</v>
      </c>
      <c r="C47" s="63">
        <v>264.67</v>
      </c>
      <c r="D47" s="63">
        <v>344.24</v>
      </c>
      <c r="E47" s="63">
        <v>293.15</v>
      </c>
      <c r="F47" s="63">
        <v>308.25</v>
      </c>
      <c r="G47" s="63">
        <v>332.26</v>
      </c>
      <c r="H47" s="63">
        <v>339.27</v>
      </c>
      <c r="I47" s="63">
        <v>416.01</v>
      </c>
      <c r="J47" s="63">
        <v>420.32</v>
      </c>
      <c r="K47" s="63">
        <v>302.11</v>
      </c>
      <c r="L47" s="63">
        <v>325.02</v>
      </c>
      <c r="M47" s="63">
        <v>499.1</v>
      </c>
      <c r="N47" s="63">
        <v>346.11</v>
      </c>
      <c r="O47" s="63">
        <v>359.04</v>
      </c>
      <c r="P47" s="63">
        <v>261.72</v>
      </c>
      <c r="Q47" s="63">
        <v>281.89</v>
      </c>
      <c r="R47" s="63">
        <v>292.15</v>
      </c>
      <c r="S47" s="63">
        <v>277.0</v>
      </c>
      <c r="T47" s="63">
        <v>471.02</v>
      </c>
      <c r="U47" s="63">
        <v>299.57</v>
      </c>
    </row>
    <row r="48" ht="12.75" customHeight="1">
      <c r="A48" s="63">
        <v>47.0</v>
      </c>
      <c r="B48" s="63">
        <v>341.39</v>
      </c>
      <c r="C48" s="63">
        <v>269.0</v>
      </c>
      <c r="D48" s="63">
        <v>350.19</v>
      </c>
      <c r="E48" s="63">
        <v>298.58</v>
      </c>
      <c r="F48" s="63">
        <v>313.36</v>
      </c>
      <c r="G48" s="63">
        <v>337.98</v>
      </c>
      <c r="H48" s="63">
        <v>345.11</v>
      </c>
      <c r="I48" s="63">
        <v>423.53</v>
      </c>
      <c r="J48" s="63">
        <v>427.94</v>
      </c>
      <c r="K48" s="63">
        <v>307.38</v>
      </c>
      <c r="L48" s="63">
        <v>330.57</v>
      </c>
      <c r="M48" s="63">
        <v>508.15</v>
      </c>
      <c r="N48" s="63">
        <v>350.67</v>
      </c>
      <c r="O48" s="63">
        <v>365.31</v>
      </c>
      <c r="P48" s="63">
        <v>265.17</v>
      </c>
      <c r="Q48" s="63">
        <v>285.94</v>
      </c>
      <c r="R48" s="63">
        <v>298.66</v>
      </c>
      <c r="S48" s="63">
        <v>281.29</v>
      </c>
      <c r="T48" s="63">
        <v>479.15</v>
      </c>
      <c r="U48" s="63">
        <v>302.13</v>
      </c>
    </row>
    <row r="49" ht="12.75" customHeight="1">
      <c r="A49" s="63">
        <v>48.0</v>
      </c>
      <c r="B49" s="63">
        <v>346.62</v>
      </c>
      <c r="C49" s="63">
        <v>273.33</v>
      </c>
      <c r="D49" s="63">
        <v>356.14</v>
      </c>
      <c r="E49" s="63">
        <v>303.67</v>
      </c>
      <c r="F49" s="63">
        <v>318.47</v>
      </c>
      <c r="G49" s="63">
        <v>343.71</v>
      </c>
      <c r="H49" s="63">
        <v>350.96</v>
      </c>
      <c r="I49" s="63">
        <v>431.08</v>
      </c>
      <c r="J49" s="63">
        <v>435.56</v>
      </c>
      <c r="K49" s="63">
        <v>312.78</v>
      </c>
      <c r="L49" s="63">
        <v>336.15</v>
      </c>
      <c r="M49" s="63">
        <v>517.2</v>
      </c>
      <c r="N49" s="63">
        <v>357.54</v>
      </c>
      <c r="O49" s="63">
        <v>371.57</v>
      </c>
      <c r="P49" s="63">
        <v>269.64</v>
      </c>
      <c r="Q49" s="63">
        <v>290.87</v>
      </c>
      <c r="R49" s="63">
        <v>303.58</v>
      </c>
      <c r="S49" s="63">
        <v>285.55</v>
      </c>
      <c r="T49" s="63">
        <v>487.32</v>
      </c>
      <c r="U49" s="63">
        <v>305.01</v>
      </c>
    </row>
    <row r="50" ht="12.75" customHeight="1">
      <c r="A50" s="63">
        <v>49.0</v>
      </c>
      <c r="B50" s="63">
        <v>354.71</v>
      </c>
      <c r="C50" s="63">
        <v>276.92</v>
      </c>
      <c r="D50" s="63">
        <v>362.11</v>
      </c>
      <c r="E50" s="63">
        <v>308.25</v>
      </c>
      <c r="F50" s="63">
        <v>323.57</v>
      </c>
      <c r="G50" s="63">
        <v>349.4</v>
      </c>
      <c r="H50" s="63">
        <v>356.77</v>
      </c>
      <c r="I50" s="63">
        <v>438.6</v>
      </c>
      <c r="J50" s="63">
        <v>443.16</v>
      </c>
      <c r="K50" s="63">
        <v>318.26</v>
      </c>
      <c r="L50" s="63">
        <v>341.72</v>
      </c>
      <c r="M50" s="63">
        <v>526.23</v>
      </c>
      <c r="N50" s="63">
        <v>363.13</v>
      </c>
      <c r="O50" s="63">
        <v>377.84</v>
      </c>
      <c r="P50" s="63">
        <v>272.51</v>
      </c>
      <c r="Q50" s="63">
        <v>295.12</v>
      </c>
      <c r="R50" s="63">
        <v>308.22</v>
      </c>
      <c r="S50" s="63">
        <v>289.85</v>
      </c>
      <c r="T50" s="63">
        <v>495.46</v>
      </c>
      <c r="U50" s="63">
        <v>307.3</v>
      </c>
    </row>
    <row r="51" ht="12.75" customHeight="1">
      <c r="A51" s="63">
        <v>50.0</v>
      </c>
      <c r="B51" s="63">
        <v>360.17</v>
      </c>
      <c r="C51" s="63">
        <v>282.38</v>
      </c>
      <c r="D51" s="63">
        <v>368.06</v>
      </c>
      <c r="E51" s="63">
        <v>313.91</v>
      </c>
      <c r="F51" s="63">
        <v>328.67</v>
      </c>
      <c r="G51" s="63">
        <v>355.12</v>
      </c>
      <c r="H51" s="63">
        <v>362.6</v>
      </c>
      <c r="I51" s="63">
        <v>446.14</v>
      </c>
      <c r="J51" s="63">
        <v>450.77</v>
      </c>
      <c r="K51" s="63">
        <v>322.88</v>
      </c>
      <c r="L51" s="63">
        <v>347.27</v>
      </c>
      <c r="M51" s="63">
        <v>535.28</v>
      </c>
      <c r="N51" s="63">
        <v>370.59</v>
      </c>
      <c r="O51" s="63">
        <v>384.11</v>
      </c>
      <c r="P51" s="63">
        <v>277.62</v>
      </c>
      <c r="Q51" s="63">
        <v>299.96</v>
      </c>
      <c r="R51" s="63">
        <v>313.27</v>
      </c>
      <c r="S51" s="63">
        <v>294.11</v>
      </c>
      <c r="T51" s="63">
        <v>503.62</v>
      </c>
      <c r="U51" s="63">
        <v>310.07</v>
      </c>
    </row>
    <row r="52" ht="12.75" customHeight="1">
      <c r="A52" s="63">
        <v>51.0</v>
      </c>
      <c r="B52" s="63">
        <v>364.55</v>
      </c>
      <c r="C52" s="63">
        <v>285.5</v>
      </c>
      <c r="D52" s="63">
        <v>390.5</v>
      </c>
      <c r="E52" s="63">
        <v>318.54</v>
      </c>
      <c r="F52" s="63">
        <v>333.47</v>
      </c>
      <c r="G52" s="63">
        <v>360.48</v>
      </c>
      <c r="H52" s="63">
        <v>368.44</v>
      </c>
      <c r="I52" s="63">
        <v>453.67</v>
      </c>
      <c r="J52" s="63">
        <v>457.51</v>
      </c>
      <c r="K52" s="63">
        <v>330.59</v>
      </c>
      <c r="L52" s="63">
        <v>352.84</v>
      </c>
      <c r="M52" s="63">
        <v>543.82</v>
      </c>
      <c r="N52" s="63">
        <v>374.74</v>
      </c>
      <c r="O52" s="63">
        <v>390.01</v>
      </c>
      <c r="P52" s="63">
        <v>284.07</v>
      </c>
      <c r="Q52" s="63">
        <v>303.59</v>
      </c>
      <c r="R52" s="63">
        <v>317.92</v>
      </c>
      <c r="S52" s="63">
        <v>298.4</v>
      </c>
      <c r="T52" s="63">
        <v>513.41</v>
      </c>
      <c r="U52" s="63">
        <v>318.23</v>
      </c>
    </row>
    <row r="53" ht="12.75" customHeight="1">
      <c r="A53" s="63">
        <v>52.0</v>
      </c>
      <c r="B53" s="63">
        <v>373.0</v>
      </c>
      <c r="C53" s="63">
        <v>290.79</v>
      </c>
      <c r="D53" s="63">
        <v>396.71</v>
      </c>
      <c r="E53" s="63">
        <v>323.97</v>
      </c>
      <c r="F53" s="63">
        <v>338.57</v>
      </c>
      <c r="G53" s="63">
        <v>366.18</v>
      </c>
      <c r="H53" s="63">
        <v>374.27</v>
      </c>
      <c r="I53" s="63">
        <v>461.2</v>
      </c>
      <c r="J53" s="63">
        <v>465.11</v>
      </c>
      <c r="K53" s="63">
        <v>335.81</v>
      </c>
      <c r="L53" s="63">
        <v>358.4</v>
      </c>
      <c r="M53" s="63">
        <v>552.84</v>
      </c>
      <c r="N53" s="63">
        <v>379.13</v>
      </c>
      <c r="O53" s="63">
        <v>396.26</v>
      </c>
      <c r="P53" s="63">
        <v>288.02</v>
      </c>
      <c r="Q53" s="63">
        <v>308.78</v>
      </c>
      <c r="R53" s="63">
        <v>322.4</v>
      </c>
      <c r="S53" s="63">
        <v>302.67</v>
      </c>
      <c r="T53" s="63">
        <v>521.56</v>
      </c>
      <c r="U53" s="63">
        <v>322.75</v>
      </c>
    </row>
    <row r="54" ht="12.75" customHeight="1">
      <c r="A54" s="63">
        <v>53.0</v>
      </c>
      <c r="B54" s="63">
        <v>376.81</v>
      </c>
      <c r="C54" s="63">
        <v>294.76</v>
      </c>
      <c r="D54" s="63">
        <v>402.93</v>
      </c>
      <c r="E54" s="63">
        <v>328.99</v>
      </c>
      <c r="F54" s="63">
        <v>343.66</v>
      </c>
      <c r="G54" s="63">
        <v>371.88</v>
      </c>
      <c r="H54" s="63">
        <v>380.11</v>
      </c>
      <c r="I54" s="63">
        <v>468.72</v>
      </c>
      <c r="J54" s="63">
        <v>472.69</v>
      </c>
      <c r="K54" s="63">
        <v>341.02</v>
      </c>
      <c r="L54" s="63">
        <v>363.97</v>
      </c>
      <c r="M54" s="63">
        <v>561.88</v>
      </c>
      <c r="N54" s="63">
        <v>387.22</v>
      </c>
      <c r="O54" s="63">
        <v>402.53</v>
      </c>
      <c r="P54" s="63">
        <v>290.39</v>
      </c>
      <c r="Q54" s="63">
        <v>313.51</v>
      </c>
      <c r="R54" s="63">
        <v>328.42</v>
      </c>
      <c r="S54" s="63">
        <v>306.95</v>
      </c>
      <c r="T54" s="63">
        <v>529.74</v>
      </c>
      <c r="U54" s="63">
        <v>327.28</v>
      </c>
    </row>
    <row r="55" ht="12.75" customHeight="1">
      <c r="A55" s="63">
        <v>54.0</v>
      </c>
      <c r="B55" s="63">
        <v>384.45</v>
      </c>
      <c r="C55" s="63">
        <v>300.2</v>
      </c>
      <c r="D55" s="63">
        <v>409.15</v>
      </c>
      <c r="E55" s="63">
        <v>333.85</v>
      </c>
      <c r="F55" s="63">
        <v>348.77</v>
      </c>
      <c r="G55" s="63">
        <v>377.59</v>
      </c>
      <c r="H55" s="63">
        <v>385.95</v>
      </c>
      <c r="I55" s="63">
        <v>476.25</v>
      </c>
      <c r="J55" s="63">
        <v>480.28</v>
      </c>
      <c r="K55" s="63">
        <v>346.23</v>
      </c>
      <c r="L55" s="63">
        <v>369.53</v>
      </c>
      <c r="M55" s="63">
        <v>570.91</v>
      </c>
      <c r="N55" s="63">
        <v>392.53</v>
      </c>
      <c r="O55" s="63">
        <v>408.8</v>
      </c>
      <c r="P55" s="63">
        <v>294.16</v>
      </c>
      <c r="Q55" s="63">
        <v>318.37</v>
      </c>
      <c r="R55" s="63">
        <v>333.32</v>
      </c>
      <c r="S55" s="63">
        <v>311.21</v>
      </c>
      <c r="T55" s="63">
        <v>537.93</v>
      </c>
      <c r="U55" s="63">
        <v>331.77</v>
      </c>
    </row>
    <row r="56" ht="12.75" customHeight="1">
      <c r="A56" s="63">
        <v>55.0</v>
      </c>
      <c r="B56" s="63">
        <v>391.82</v>
      </c>
      <c r="C56" s="63">
        <v>304.7</v>
      </c>
      <c r="D56" s="63">
        <v>415.37</v>
      </c>
      <c r="E56" s="63">
        <v>339.04</v>
      </c>
      <c r="F56" s="63">
        <v>353.87</v>
      </c>
      <c r="G56" s="63">
        <v>383.3</v>
      </c>
      <c r="H56" s="63">
        <v>391.77</v>
      </c>
      <c r="I56" s="63">
        <v>483.79</v>
      </c>
      <c r="J56" s="63">
        <v>487.9</v>
      </c>
      <c r="K56" s="63">
        <v>351.46</v>
      </c>
      <c r="L56" s="63">
        <v>375.1</v>
      </c>
      <c r="M56" s="63">
        <v>579.95</v>
      </c>
      <c r="N56" s="63">
        <v>398.28</v>
      </c>
      <c r="O56" s="63">
        <v>415.05</v>
      </c>
      <c r="P56" s="63">
        <v>299.37</v>
      </c>
      <c r="Q56" s="63">
        <v>323.46</v>
      </c>
      <c r="R56" s="63">
        <v>337.55</v>
      </c>
      <c r="S56" s="63">
        <v>315.49</v>
      </c>
      <c r="T56" s="63">
        <v>546.09</v>
      </c>
      <c r="U56" s="63">
        <v>336.27</v>
      </c>
    </row>
    <row r="57" ht="12.75" customHeight="1">
      <c r="A57" s="63">
        <v>56.0</v>
      </c>
      <c r="B57" s="63">
        <v>400.09</v>
      </c>
      <c r="C57" s="63">
        <v>307.92</v>
      </c>
      <c r="D57" s="63">
        <v>421.59</v>
      </c>
      <c r="E57" s="63">
        <v>343.49</v>
      </c>
      <c r="F57" s="63">
        <v>358.97</v>
      </c>
      <c r="G57" s="63">
        <v>389.01</v>
      </c>
      <c r="H57" s="63">
        <v>397.61</v>
      </c>
      <c r="I57" s="63">
        <v>491.31</v>
      </c>
      <c r="J57" s="63">
        <v>495.48</v>
      </c>
      <c r="K57" s="63">
        <v>356.67</v>
      </c>
      <c r="L57" s="63">
        <v>380.68</v>
      </c>
      <c r="M57" s="63">
        <v>589.0</v>
      </c>
      <c r="N57" s="63">
        <v>403.8</v>
      </c>
      <c r="O57" s="63">
        <v>421.31</v>
      </c>
      <c r="P57" s="63">
        <v>303.76</v>
      </c>
      <c r="Q57" s="63">
        <v>326.16</v>
      </c>
      <c r="R57" s="63">
        <v>342.59</v>
      </c>
      <c r="S57" s="63">
        <v>319.77</v>
      </c>
      <c r="T57" s="63">
        <v>554.28</v>
      </c>
      <c r="U57" s="63">
        <v>340.79</v>
      </c>
    </row>
    <row r="58" ht="12.75" customHeight="1">
      <c r="A58" s="63">
        <v>57.0</v>
      </c>
      <c r="B58" s="63">
        <v>404.35</v>
      </c>
      <c r="C58" s="63">
        <v>313.36</v>
      </c>
      <c r="D58" s="63">
        <v>427.8</v>
      </c>
      <c r="E58" s="63">
        <v>349.58</v>
      </c>
      <c r="F58" s="63">
        <v>364.06</v>
      </c>
      <c r="G58" s="63">
        <v>394.71</v>
      </c>
      <c r="H58" s="63">
        <v>403.42</v>
      </c>
      <c r="I58" s="63">
        <v>498.86</v>
      </c>
      <c r="J58" s="63">
        <v>503.08</v>
      </c>
      <c r="K58" s="63">
        <v>361.88</v>
      </c>
      <c r="L58" s="63">
        <v>386.22</v>
      </c>
      <c r="M58" s="63">
        <v>598.03</v>
      </c>
      <c r="N58" s="63">
        <v>409.24</v>
      </c>
      <c r="O58" s="63">
        <v>427.58</v>
      </c>
      <c r="P58" s="63">
        <v>308.01</v>
      </c>
      <c r="Q58" s="63">
        <v>332.85</v>
      </c>
      <c r="R58" s="63">
        <v>347.91</v>
      </c>
      <c r="S58" s="63">
        <v>324.05</v>
      </c>
      <c r="T58" s="63">
        <v>562.46</v>
      </c>
      <c r="U58" s="63">
        <v>345.32</v>
      </c>
    </row>
    <row r="59" ht="12.75" customHeight="1">
      <c r="A59" s="63">
        <v>58.0</v>
      </c>
      <c r="B59" s="63">
        <v>409.75</v>
      </c>
      <c r="C59" s="63">
        <v>317.2</v>
      </c>
      <c r="D59" s="63">
        <v>434.03</v>
      </c>
      <c r="E59" s="63">
        <v>354.17</v>
      </c>
      <c r="F59" s="63">
        <v>369.16</v>
      </c>
      <c r="G59" s="63">
        <v>400.42</v>
      </c>
      <c r="H59" s="63">
        <v>409.26</v>
      </c>
      <c r="I59" s="63">
        <v>506.38</v>
      </c>
      <c r="J59" s="63">
        <v>510.66</v>
      </c>
      <c r="K59" s="63">
        <v>367.09</v>
      </c>
      <c r="L59" s="63">
        <v>391.79</v>
      </c>
      <c r="M59" s="63">
        <v>607.07</v>
      </c>
      <c r="N59" s="63">
        <v>418.19</v>
      </c>
      <c r="O59" s="63">
        <v>433.83</v>
      </c>
      <c r="P59" s="63">
        <v>313.17</v>
      </c>
      <c r="Q59" s="63">
        <v>334.96</v>
      </c>
      <c r="R59" s="63">
        <v>350.29</v>
      </c>
      <c r="S59" s="63">
        <v>328.34</v>
      </c>
      <c r="T59" s="63">
        <v>570.63</v>
      </c>
      <c r="U59" s="63">
        <v>349.81</v>
      </c>
    </row>
    <row r="60" ht="12.75" customHeight="1">
      <c r="A60" s="63">
        <v>59.0</v>
      </c>
      <c r="B60" s="63">
        <v>417.77</v>
      </c>
      <c r="C60" s="63">
        <v>320.76</v>
      </c>
      <c r="D60" s="63">
        <v>440.24</v>
      </c>
      <c r="E60" s="63">
        <v>358.8</v>
      </c>
      <c r="F60" s="63">
        <v>374.26</v>
      </c>
      <c r="G60" s="63">
        <v>406.12</v>
      </c>
      <c r="H60" s="63">
        <v>415.1</v>
      </c>
      <c r="I60" s="63">
        <v>513.93</v>
      </c>
      <c r="J60" s="63">
        <v>518.28</v>
      </c>
      <c r="K60" s="63">
        <v>372.3</v>
      </c>
      <c r="L60" s="63">
        <v>397.34</v>
      </c>
      <c r="M60" s="63">
        <v>616.1</v>
      </c>
      <c r="N60" s="63">
        <v>424.54</v>
      </c>
      <c r="O60" s="63">
        <v>440.1</v>
      </c>
      <c r="P60" s="63">
        <v>317.4</v>
      </c>
      <c r="Q60" s="63">
        <v>340.25</v>
      </c>
      <c r="R60" s="63">
        <v>354.88</v>
      </c>
      <c r="S60" s="63">
        <v>332.59</v>
      </c>
      <c r="T60" s="63">
        <v>578.8</v>
      </c>
      <c r="U60" s="63">
        <v>354.33</v>
      </c>
    </row>
    <row r="61" ht="12.75" customHeight="1">
      <c r="A61" s="63">
        <v>60.0</v>
      </c>
      <c r="B61" s="63">
        <v>423.41</v>
      </c>
      <c r="C61" s="63">
        <v>325.46</v>
      </c>
      <c r="D61" s="63">
        <v>446.47</v>
      </c>
      <c r="E61" s="63">
        <v>363.38</v>
      </c>
      <c r="F61" s="63">
        <v>379.36</v>
      </c>
      <c r="G61" s="63">
        <v>411.83</v>
      </c>
      <c r="H61" s="63">
        <v>420.94</v>
      </c>
      <c r="I61" s="63">
        <v>521.45</v>
      </c>
      <c r="J61" s="63">
        <v>525.88</v>
      </c>
      <c r="K61" s="63">
        <v>377.53</v>
      </c>
      <c r="L61" s="63">
        <v>402.92</v>
      </c>
      <c r="M61" s="63">
        <v>625.15</v>
      </c>
      <c r="N61" s="63">
        <v>425.06</v>
      </c>
      <c r="O61" s="63">
        <v>446.35</v>
      </c>
      <c r="P61" s="63">
        <v>321.01</v>
      </c>
      <c r="Q61" s="63">
        <v>344.37</v>
      </c>
      <c r="R61" s="63">
        <v>362.11</v>
      </c>
      <c r="S61" s="63">
        <v>337.28</v>
      </c>
      <c r="T61" s="63">
        <v>586.98</v>
      </c>
      <c r="U61" s="63">
        <v>358.83</v>
      </c>
    </row>
    <row r="62" ht="12.75" customHeight="1">
      <c r="A62" s="63">
        <v>61.0</v>
      </c>
      <c r="B62" s="63">
        <v>426.7</v>
      </c>
      <c r="C62" s="63">
        <v>329.82</v>
      </c>
      <c r="D62" s="63">
        <v>452.26</v>
      </c>
      <c r="E62" s="63">
        <v>369.0</v>
      </c>
      <c r="F62" s="63">
        <v>384.09</v>
      </c>
      <c r="G62" s="63">
        <v>417.91</v>
      </c>
      <c r="H62" s="63">
        <v>427.16</v>
      </c>
      <c r="I62" s="63">
        <v>529.48</v>
      </c>
      <c r="J62" s="63">
        <v>533.46</v>
      </c>
      <c r="K62" s="63">
        <v>382.74</v>
      </c>
      <c r="L62" s="63">
        <v>408.47</v>
      </c>
      <c r="M62" s="63">
        <v>645.08</v>
      </c>
      <c r="N62" s="63">
        <v>435.71</v>
      </c>
      <c r="O62" s="63">
        <v>452.62</v>
      </c>
      <c r="P62" s="63">
        <v>327.06</v>
      </c>
      <c r="Q62" s="63">
        <v>349.9</v>
      </c>
      <c r="R62" s="63">
        <v>366.06</v>
      </c>
      <c r="S62" s="63">
        <v>341.76</v>
      </c>
      <c r="T62" s="63">
        <v>594.88</v>
      </c>
      <c r="U62" s="63">
        <v>365.38</v>
      </c>
    </row>
    <row r="63" ht="12.75" customHeight="1">
      <c r="A63" s="63">
        <v>62.0</v>
      </c>
      <c r="B63" s="63">
        <v>437.51</v>
      </c>
      <c r="C63" s="63">
        <v>334.48</v>
      </c>
      <c r="D63" s="63">
        <v>458.47</v>
      </c>
      <c r="E63" s="63">
        <v>374.82</v>
      </c>
      <c r="F63" s="63">
        <v>389.18</v>
      </c>
      <c r="G63" s="63">
        <v>423.63</v>
      </c>
      <c r="H63" s="63">
        <v>433.0</v>
      </c>
      <c r="I63" s="63">
        <v>537.01</v>
      </c>
      <c r="J63" s="63">
        <v>541.06</v>
      </c>
      <c r="K63" s="63">
        <v>388.69</v>
      </c>
      <c r="L63" s="63">
        <v>414.03</v>
      </c>
      <c r="M63" s="63">
        <v>654.27</v>
      </c>
      <c r="N63" s="63">
        <v>442.25</v>
      </c>
      <c r="O63" s="63">
        <v>458.89</v>
      </c>
      <c r="P63" s="63">
        <v>331.35</v>
      </c>
      <c r="Q63" s="63">
        <v>354.41</v>
      </c>
      <c r="R63" s="63">
        <v>370.26</v>
      </c>
      <c r="S63" s="63">
        <v>346.37</v>
      </c>
      <c r="T63" s="63">
        <v>603.05</v>
      </c>
      <c r="U63" s="63">
        <v>369.92</v>
      </c>
    </row>
    <row r="64" ht="12.75" customHeight="1">
      <c r="A64" s="63">
        <v>63.0</v>
      </c>
      <c r="B64" s="63">
        <v>442.44</v>
      </c>
      <c r="C64" s="63">
        <v>338.72</v>
      </c>
      <c r="D64" s="63">
        <v>464.68</v>
      </c>
      <c r="E64" s="63">
        <v>379.03</v>
      </c>
      <c r="F64" s="63">
        <v>394.27</v>
      </c>
      <c r="G64" s="63">
        <v>429.34</v>
      </c>
      <c r="H64" s="63">
        <v>438.85</v>
      </c>
      <c r="I64" s="63">
        <v>544.57</v>
      </c>
      <c r="J64" s="63">
        <v>548.66</v>
      </c>
      <c r="K64" s="63">
        <v>393.15</v>
      </c>
      <c r="L64" s="63">
        <v>419.6</v>
      </c>
      <c r="M64" s="63">
        <v>663.45</v>
      </c>
      <c r="N64" s="63">
        <v>446.41</v>
      </c>
      <c r="O64" s="63">
        <v>465.14</v>
      </c>
      <c r="P64" s="63">
        <v>333.85</v>
      </c>
      <c r="Q64" s="63">
        <v>359.41</v>
      </c>
      <c r="R64" s="63">
        <v>374.54</v>
      </c>
      <c r="S64" s="63">
        <v>351.68</v>
      </c>
      <c r="T64" s="63">
        <v>611.21</v>
      </c>
      <c r="U64" s="63">
        <v>374.46</v>
      </c>
    </row>
    <row r="65" ht="12.75" customHeight="1">
      <c r="A65" s="63">
        <v>64.0</v>
      </c>
      <c r="B65" s="63">
        <v>448.61</v>
      </c>
      <c r="C65" s="63">
        <v>342.96</v>
      </c>
      <c r="D65" s="63">
        <v>470.9</v>
      </c>
      <c r="E65" s="63">
        <v>383.43</v>
      </c>
      <c r="F65" s="63">
        <v>399.38</v>
      </c>
      <c r="G65" s="63">
        <v>435.05</v>
      </c>
      <c r="H65" s="63">
        <v>444.68</v>
      </c>
      <c r="I65" s="63">
        <v>552.11</v>
      </c>
      <c r="J65" s="63">
        <v>556.26</v>
      </c>
      <c r="K65" s="63">
        <v>398.4</v>
      </c>
      <c r="L65" s="63">
        <v>425.18</v>
      </c>
      <c r="M65" s="63">
        <v>672.66</v>
      </c>
      <c r="N65" s="63">
        <v>454.05</v>
      </c>
      <c r="O65" s="63">
        <v>471.4</v>
      </c>
      <c r="P65" s="63">
        <v>339.95</v>
      </c>
      <c r="Q65" s="63">
        <v>364.26</v>
      </c>
      <c r="R65" s="63">
        <v>380.82</v>
      </c>
      <c r="S65" s="63">
        <v>355.29</v>
      </c>
      <c r="T65" s="63">
        <v>619.4</v>
      </c>
      <c r="U65" s="63">
        <v>379.0</v>
      </c>
    </row>
    <row r="66" ht="12.75" customHeight="1">
      <c r="A66" s="63">
        <v>65.0</v>
      </c>
      <c r="B66" s="63">
        <v>455.94</v>
      </c>
      <c r="C66" s="63">
        <v>347.47</v>
      </c>
      <c r="D66" s="63">
        <v>477.1</v>
      </c>
      <c r="E66" s="63">
        <v>390.22</v>
      </c>
      <c r="F66" s="63">
        <v>404.46</v>
      </c>
      <c r="G66" s="63">
        <v>440.76</v>
      </c>
      <c r="H66" s="63">
        <v>450.51</v>
      </c>
      <c r="I66" s="63">
        <v>559.63</v>
      </c>
      <c r="J66" s="63">
        <v>563.84</v>
      </c>
      <c r="K66" s="63">
        <v>404.96</v>
      </c>
      <c r="L66" s="63">
        <v>430.74</v>
      </c>
      <c r="M66" s="63">
        <v>681.87</v>
      </c>
      <c r="N66" s="63">
        <v>457.72</v>
      </c>
      <c r="O66" s="63">
        <v>477.67</v>
      </c>
      <c r="P66" s="63">
        <v>343.13</v>
      </c>
      <c r="Q66" s="63">
        <v>368.74</v>
      </c>
      <c r="R66" s="63">
        <v>386.5</v>
      </c>
      <c r="S66" s="63">
        <v>359.53</v>
      </c>
      <c r="T66" s="63">
        <v>627.55</v>
      </c>
      <c r="U66" s="63">
        <v>383.53</v>
      </c>
    </row>
    <row r="67" ht="12.75" customHeight="1">
      <c r="A67" s="63">
        <v>66.0</v>
      </c>
      <c r="B67" s="63">
        <v>460.61</v>
      </c>
      <c r="C67" s="63">
        <v>352.24</v>
      </c>
      <c r="D67" s="63">
        <v>483.33</v>
      </c>
      <c r="E67" s="63">
        <v>395.24</v>
      </c>
      <c r="F67" s="63">
        <v>409.55</v>
      </c>
      <c r="G67" s="63">
        <v>446.46</v>
      </c>
      <c r="H67" s="63">
        <v>456.34</v>
      </c>
      <c r="I67" s="63">
        <v>567.18</v>
      </c>
      <c r="J67" s="63">
        <v>571.44</v>
      </c>
      <c r="K67" s="63">
        <v>408.8</v>
      </c>
      <c r="L67" s="63">
        <v>436.3</v>
      </c>
      <c r="M67" s="63">
        <v>691.04</v>
      </c>
      <c r="N67" s="63">
        <v>461.12</v>
      </c>
      <c r="O67" s="63">
        <v>483.92</v>
      </c>
      <c r="P67" s="63">
        <v>348.55</v>
      </c>
      <c r="Q67" s="63">
        <v>372.02</v>
      </c>
      <c r="R67" s="63">
        <v>390.71</v>
      </c>
      <c r="S67" s="63">
        <v>365.02</v>
      </c>
      <c r="T67" s="63">
        <v>635.74</v>
      </c>
      <c r="U67" s="63">
        <v>388.06</v>
      </c>
    </row>
    <row r="68" ht="12.75" customHeight="1">
      <c r="A68" s="63">
        <v>67.0</v>
      </c>
      <c r="C68" s="63">
        <v>353.29</v>
      </c>
      <c r="D68" s="63">
        <v>489.54</v>
      </c>
      <c r="E68" s="63">
        <v>396.96</v>
      </c>
      <c r="F68" s="63">
        <v>414.65</v>
      </c>
      <c r="G68" s="63">
        <v>452.17</v>
      </c>
      <c r="H68" s="63">
        <v>462.2</v>
      </c>
      <c r="I68" s="63">
        <v>574.72</v>
      </c>
      <c r="J68" s="63">
        <v>579.04</v>
      </c>
      <c r="K68" s="63">
        <v>417.86</v>
      </c>
      <c r="L68" s="63">
        <v>441.85</v>
      </c>
      <c r="T68" s="63">
        <v>643.92</v>
      </c>
    </row>
    <row r="69" ht="12.75" customHeight="1">
      <c r="A69" s="63">
        <v>68.0</v>
      </c>
      <c r="C69" s="63">
        <v>360.99</v>
      </c>
      <c r="D69" s="63">
        <v>495.75</v>
      </c>
      <c r="E69" s="63">
        <v>403.8</v>
      </c>
      <c r="F69" s="63">
        <v>419.75</v>
      </c>
      <c r="G69" s="63">
        <v>457.9</v>
      </c>
      <c r="H69" s="63">
        <v>468.04</v>
      </c>
      <c r="I69" s="63">
        <v>582.26</v>
      </c>
      <c r="J69" s="63">
        <v>586.64</v>
      </c>
      <c r="K69" s="63">
        <v>423.26</v>
      </c>
      <c r="L69" s="63">
        <v>447.43</v>
      </c>
      <c r="T69" s="63">
        <v>652.08</v>
      </c>
    </row>
    <row r="70" ht="12.75" customHeight="1">
      <c r="A70" s="63">
        <v>69.0</v>
      </c>
      <c r="C70" s="63">
        <v>365.32</v>
      </c>
      <c r="D70" s="63">
        <v>501.95</v>
      </c>
      <c r="E70" s="63">
        <v>411.96</v>
      </c>
      <c r="F70" s="63">
        <v>424.83</v>
      </c>
      <c r="G70" s="63">
        <v>463.58</v>
      </c>
      <c r="H70" s="63">
        <v>474.04</v>
      </c>
      <c r="I70" s="63">
        <v>589.8</v>
      </c>
      <c r="J70" s="63">
        <v>594.23</v>
      </c>
      <c r="K70" s="63">
        <v>428.67</v>
      </c>
      <c r="L70" s="63">
        <v>452.98</v>
      </c>
      <c r="T70" s="63">
        <v>660.25</v>
      </c>
    </row>
    <row r="71" ht="12.75" customHeight="1">
      <c r="A71" s="63">
        <v>70.0</v>
      </c>
      <c r="C71" s="63">
        <v>369.65</v>
      </c>
      <c r="D71" s="63">
        <v>508.19</v>
      </c>
      <c r="E71" s="63">
        <v>417.02</v>
      </c>
      <c r="F71" s="63">
        <v>429.95</v>
      </c>
      <c r="G71" s="63">
        <v>469.31</v>
      </c>
      <c r="H71" s="63">
        <v>479.97</v>
      </c>
      <c r="I71" s="63">
        <v>597.33</v>
      </c>
      <c r="J71" s="63">
        <v>601.83</v>
      </c>
      <c r="K71" s="63">
        <v>434.07</v>
      </c>
      <c r="L71" s="63">
        <v>458.56</v>
      </c>
      <c r="T71" s="63">
        <v>668.44</v>
      </c>
    </row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1.13"/>
    <col customWidth="1" min="2" max="6" width="9.13"/>
    <col customWidth="1" min="7" max="7" width="10.25"/>
    <col customWidth="1" min="8" max="8" width="10.88"/>
    <col customWidth="1" min="9" max="15" width="9.13"/>
    <col customWidth="1" min="16" max="16" width="7.63"/>
    <col customWidth="1" min="17" max="26" width="8.63"/>
  </cols>
  <sheetData>
    <row r="1">
      <c r="A1" s="136"/>
      <c r="B1" s="137" t="s">
        <v>16</v>
      </c>
      <c r="C1" s="137" t="s">
        <v>16</v>
      </c>
      <c r="D1" s="137" t="s">
        <v>34</v>
      </c>
      <c r="E1" s="137" t="s">
        <v>35</v>
      </c>
      <c r="F1" s="137" t="s">
        <v>36</v>
      </c>
      <c r="G1" s="137" t="s">
        <v>37</v>
      </c>
      <c r="H1" s="137" t="s">
        <v>38</v>
      </c>
      <c r="I1" s="137" t="s">
        <v>39</v>
      </c>
      <c r="J1" s="137" t="s">
        <v>40</v>
      </c>
      <c r="K1" s="137" t="s">
        <v>41</v>
      </c>
      <c r="L1" s="137" t="s">
        <v>42</v>
      </c>
      <c r="M1" s="137" t="s">
        <v>43</v>
      </c>
      <c r="N1" s="137" t="s">
        <v>44</v>
      </c>
      <c r="O1" s="137" t="s">
        <v>45</v>
      </c>
      <c r="P1" s="137" t="s">
        <v>46</v>
      </c>
      <c r="Q1" s="260"/>
      <c r="R1" s="260"/>
      <c r="S1" s="260"/>
      <c r="T1" s="260"/>
      <c r="U1" s="260"/>
      <c r="V1" s="260"/>
      <c r="W1" s="260"/>
      <c r="X1" s="260"/>
      <c r="Y1" s="260"/>
      <c r="Z1" s="260"/>
    </row>
    <row r="2">
      <c r="A2" s="1" t="s">
        <v>1</v>
      </c>
      <c r="B2" s="139" t="s">
        <v>48</v>
      </c>
      <c r="C2" s="139" t="s">
        <v>49</v>
      </c>
      <c r="D2" s="139" t="s">
        <v>50</v>
      </c>
      <c r="E2" s="140" t="s">
        <v>51</v>
      </c>
      <c r="F2" s="140" t="s">
        <v>52</v>
      </c>
      <c r="G2" s="140" t="s">
        <v>53</v>
      </c>
      <c r="H2" s="140" t="s">
        <v>54</v>
      </c>
      <c r="I2" s="140" t="s">
        <v>55</v>
      </c>
      <c r="J2" s="140" t="s">
        <v>56</v>
      </c>
      <c r="K2" s="140" t="s">
        <v>57</v>
      </c>
      <c r="L2" s="140" t="s">
        <v>58</v>
      </c>
      <c r="M2" s="140" t="s">
        <v>59</v>
      </c>
      <c r="N2" s="140" t="s">
        <v>60</v>
      </c>
      <c r="O2" s="140" t="s">
        <v>61</v>
      </c>
      <c r="P2" s="140" t="s">
        <v>62</v>
      </c>
      <c r="Q2" s="260"/>
      <c r="R2" s="260"/>
      <c r="S2" s="260"/>
      <c r="T2" s="260"/>
      <c r="U2" s="260"/>
      <c r="V2" s="260"/>
      <c r="W2" s="260"/>
      <c r="X2" s="260"/>
      <c r="Y2" s="260"/>
      <c r="Z2" s="260"/>
    </row>
    <row r="3">
      <c r="A3" s="260">
        <v>1.0</v>
      </c>
      <c r="B3" s="260">
        <v>103.13</v>
      </c>
      <c r="C3" s="260">
        <v>110.79</v>
      </c>
      <c r="D3" s="260">
        <v>92.13</v>
      </c>
      <c r="E3" s="260">
        <v>119.78</v>
      </c>
      <c r="F3" s="260">
        <v>121.86</v>
      </c>
      <c r="G3" s="260">
        <v>119.0</v>
      </c>
      <c r="H3" s="260">
        <v>111.09</v>
      </c>
      <c r="I3" s="260">
        <v>117.93</v>
      </c>
      <c r="J3" s="260">
        <v>93.99</v>
      </c>
      <c r="K3" s="260">
        <v>137.58</v>
      </c>
      <c r="L3" s="260">
        <v>122.27</v>
      </c>
      <c r="M3" s="260">
        <v>168.75</v>
      </c>
      <c r="N3" s="260">
        <v>118.82</v>
      </c>
      <c r="O3" s="260">
        <v>126.93</v>
      </c>
      <c r="P3" s="260">
        <v>128.4</v>
      </c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>
      <c r="A4" s="260">
        <v>2.0</v>
      </c>
      <c r="B4" s="260">
        <v>110.09</v>
      </c>
      <c r="C4" s="260">
        <v>122.43</v>
      </c>
      <c r="D4" s="260">
        <v>99.82</v>
      </c>
      <c r="E4" s="260">
        <v>137.44</v>
      </c>
      <c r="F4" s="260">
        <v>174.27</v>
      </c>
      <c r="G4" s="260">
        <v>137.97</v>
      </c>
      <c r="H4" s="260">
        <v>131.84</v>
      </c>
      <c r="I4" s="260">
        <v>154.33</v>
      </c>
      <c r="J4" s="260">
        <v>115.44</v>
      </c>
      <c r="K4" s="260">
        <v>162.45</v>
      </c>
      <c r="L4" s="260">
        <v>152.44</v>
      </c>
      <c r="M4" s="260">
        <v>192.53</v>
      </c>
      <c r="N4" s="260">
        <v>164.61</v>
      </c>
      <c r="O4" s="260">
        <v>145.26</v>
      </c>
      <c r="P4" s="260">
        <v>142.44</v>
      </c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>
      <c r="A5" s="260">
        <v>3.0</v>
      </c>
      <c r="B5" s="260">
        <v>117.05</v>
      </c>
      <c r="C5" s="260">
        <v>134.06</v>
      </c>
      <c r="D5" s="260">
        <v>120.12</v>
      </c>
      <c r="E5" s="260">
        <v>156.76</v>
      </c>
      <c r="F5" s="260">
        <v>205.32</v>
      </c>
      <c r="G5" s="260">
        <v>162.01</v>
      </c>
      <c r="H5" s="260">
        <v>151.37</v>
      </c>
      <c r="I5" s="260">
        <v>171.68</v>
      </c>
      <c r="J5" s="260">
        <v>128.17</v>
      </c>
      <c r="K5" s="260">
        <v>181.65</v>
      </c>
      <c r="L5" s="260">
        <v>169.3</v>
      </c>
      <c r="M5" s="260">
        <v>217.39</v>
      </c>
      <c r="N5" s="260">
        <v>207.86</v>
      </c>
      <c r="O5" s="260">
        <v>173.3</v>
      </c>
      <c r="P5" s="260">
        <v>187.02</v>
      </c>
      <c r="Q5" s="260"/>
      <c r="R5" s="260"/>
      <c r="S5" s="260"/>
      <c r="T5" s="260"/>
      <c r="U5" s="260"/>
      <c r="V5" s="260"/>
      <c r="W5" s="260"/>
      <c r="X5" s="260"/>
      <c r="Y5" s="260"/>
      <c r="Z5" s="260"/>
    </row>
    <row r="6">
      <c r="A6" s="260">
        <v>4.0</v>
      </c>
      <c r="B6" s="260">
        <v>124.01</v>
      </c>
      <c r="C6" s="260">
        <v>145.69</v>
      </c>
      <c r="D6" s="260">
        <v>122.15</v>
      </c>
      <c r="E6" s="260">
        <v>178.44</v>
      </c>
      <c r="F6" s="260">
        <v>250.62</v>
      </c>
      <c r="G6" s="260">
        <v>183.72</v>
      </c>
      <c r="H6" s="260">
        <v>170.71</v>
      </c>
      <c r="I6" s="260">
        <v>192.78</v>
      </c>
      <c r="J6" s="260">
        <v>141.89</v>
      </c>
      <c r="K6" s="260">
        <v>200.53</v>
      </c>
      <c r="L6" s="260">
        <v>189.51</v>
      </c>
      <c r="M6" s="260">
        <v>252.36</v>
      </c>
      <c r="N6" s="260">
        <v>238.73</v>
      </c>
      <c r="O6" s="260">
        <v>190.71</v>
      </c>
      <c r="P6" s="260">
        <v>192.0</v>
      </c>
      <c r="Q6" s="260"/>
      <c r="R6" s="260"/>
      <c r="S6" s="260"/>
      <c r="T6" s="260"/>
      <c r="U6" s="260"/>
      <c r="V6" s="260"/>
      <c r="W6" s="260"/>
      <c r="X6" s="260"/>
      <c r="Y6" s="260"/>
      <c r="Z6" s="260"/>
    </row>
    <row r="7">
      <c r="A7" s="260">
        <v>5.0</v>
      </c>
      <c r="B7" s="260">
        <v>136.4</v>
      </c>
      <c r="C7" s="260">
        <v>158.81</v>
      </c>
      <c r="D7" s="260">
        <v>142.88</v>
      </c>
      <c r="E7" s="260">
        <v>192.95</v>
      </c>
      <c r="F7" s="260">
        <v>288.53</v>
      </c>
      <c r="G7" s="260">
        <v>201.15</v>
      </c>
      <c r="H7" s="260">
        <v>201.13</v>
      </c>
      <c r="I7" s="260">
        <v>229.18</v>
      </c>
      <c r="J7" s="260">
        <v>150.17</v>
      </c>
      <c r="K7" s="260">
        <v>224.31</v>
      </c>
      <c r="L7" s="260">
        <v>213.36</v>
      </c>
      <c r="M7" s="260">
        <v>272.55</v>
      </c>
      <c r="N7" s="260">
        <v>273.48</v>
      </c>
      <c r="O7" s="260">
        <v>200.33</v>
      </c>
      <c r="P7" s="260">
        <v>203.33</v>
      </c>
      <c r="Q7" s="260"/>
      <c r="R7" s="260"/>
      <c r="S7" s="260"/>
      <c r="T7" s="260"/>
      <c r="U7" s="260"/>
      <c r="V7" s="260"/>
      <c r="W7" s="260"/>
      <c r="X7" s="260"/>
      <c r="Y7" s="260"/>
      <c r="Z7" s="260"/>
    </row>
    <row r="8">
      <c r="A8" s="260">
        <v>6.0</v>
      </c>
      <c r="B8" s="260">
        <v>141.25</v>
      </c>
      <c r="C8" s="260">
        <v>163.93</v>
      </c>
      <c r="D8" s="260">
        <v>148.43</v>
      </c>
      <c r="E8" s="260">
        <v>206.54</v>
      </c>
      <c r="F8" s="260">
        <v>305.97</v>
      </c>
      <c r="G8" s="260">
        <v>236.14</v>
      </c>
      <c r="H8" s="260">
        <v>216.99</v>
      </c>
      <c r="I8" s="260">
        <v>243.41</v>
      </c>
      <c r="J8" s="260">
        <v>167.8</v>
      </c>
      <c r="K8" s="260">
        <v>242.11</v>
      </c>
      <c r="L8" s="260">
        <v>225.29</v>
      </c>
      <c r="M8" s="260">
        <v>338.53</v>
      </c>
      <c r="N8" s="260">
        <v>314.58</v>
      </c>
      <c r="O8" s="260">
        <v>234.29</v>
      </c>
      <c r="P8" s="260">
        <v>218.38</v>
      </c>
      <c r="Q8" s="260"/>
      <c r="R8" s="260"/>
      <c r="S8" s="260"/>
      <c r="T8" s="260"/>
      <c r="U8" s="260"/>
      <c r="V8" s="260"/>
      <c r="W8" s="260"/>
      <c r="X8" s="260"/>
      <c r="Y8" s="260"/>
      <c r="Z8" s="260"/>
    </row>
    <row r="9">
      <c r="A9" s="260">
        <v>7.0</v>
      </c>
      <c r="B9" s="260">
        <v>146.8</v>
      </c>
      <c r="C9" s="260">
        <v>170.54</v>
      </c>
      <c r="D9" s="260">
        <v>168.21</v>
      </c>
      <c r="E9" s="260">
        <v>210.57</v>
      </c>
      <c r="F9" s="260">
        <v>340.97</v>
      </c>
      <c r="G9" s="260">
        <v>241.71</v>
      </c>
      <c r="H9" s="260">
        <v>219.29</v>
      </c>
      <c r="I9" s="260">
        <v>250.04</v>
      </c>
      <c r="J9" s="260">
        <v>182.46</v>
      </c>
      <c r="K9" s="260">
        <v>266.36</v>
      </c>
      <c r="L9" s="260">
        <v>260.84</v>
      </c>
      <c r="M9" s="260">
        <v>345.15</v>
      </c>
      <c r="N9" s="260">
        <v>329.42</v>
      </c>
      <c r="O9" s="260">
        <v>237.71</v>
      </c>
      <c r="P9" s="260">
        <v>241.55</v>
      </c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>
      <c r="A10" s="260">
        <v>8.0</v>
      </c>
      <c r="B10" s="260">
        <v>153.28</v>
      </c>
      <c r="C10" s="260">
        <v>177.14</v>
      </c>
      <c r="D10" s="260">
        <v>178.61</v>
      </c>
      <c r="E10" s="260">
        <v>218.21</v>
      </c>
      <c r="F10" s="260">
        <v>344.48</v>
      </c>
      <c r="G10" s="260">
        <v>250.14</v>
      </c>
      <c r="H10" s="260">
        <v>221.2</v>
      </c>
      <c r="I10" s="260">
        <v>265.84</v>
      </c>
      <c r="J10" s="260">
        <v>183.95</v>
      </c>
      <c r="K10" s="260">
        <v>287.41</v>
      </c>
      <c r="L10" s="260">
        <v>264.4</v>
      </c>
      <c r="M10" s="260">
        <v>390.73</v>
      </c>
      <c r="N10" s="260">
        <v>368.09</v>
      </c>
      <c r="O10" s="260">
        <v>274.14</v>
      </c>
      <c r="P10" s="260">
        <v>264.55</v>
      </c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>
      <c r="A11" s="260">
        <v>9.0</v>
      </c>
      <c r="B11" s="260">
        <v>155.08</v>
      </c>
      <c r="C11" s="260">
        <v>186.52</v>
      </c>
      <c r="D11" s="260">
        <v>179.66</v>
      </c>
      <c r="E11" s="260">
        <v>224.62</v>
      </c>
      <c r="F11" s="260">
        <v>385.42</v>
      </c>
      <c r="G11" s="260">
        <v>256.52</v>
      </c>
      <c r="H11" s="260">
        <v>258.99</v>
      </c>
      <c r="I11" s="260">
        <v>281.67</v>
      </c>
      <c r="J11" s="260">
        <v>193.07</v>
      </c>
      <c r="K11" s="260">
        <v>313.73</v>
      </c>
      <c r="L11" s="260">
        <v>298.35</v>
      </c>
      <c r="M11" s="260">
        <v>439.5</v>
      </c>
      <c r="N11" s="260">
        <v>426.01</v>
      </c>
      <c r="O11" s="260">
        <v>286.28</v>
      </c>
      <c r="P11" s="260">
        <v>290.79</v>
      </c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>
      <c r="A12" s="260">
        <v>10.0</v>
      </c>
      <c r="B12" s="260">
        <v>159.66</v>
      </c>
      <c r="C12" s="260">
        <v>192.43</v>
      </c>
      <c r="D12" s="260">
        <v>180.85</v>
      </c>
      <c r="E12" s="260">
        <v>233.4</v>
      </c>
      <c r="F12" s="260">
        <v>389.53</v>
      </c>
      <c r="G12" s="260">
        <v>257.17</v>
      </c>
      <c r="H12" s="260">
        <v>262.77</v>
      </c>
      <c r="I12" s="260">
        <v>283.26</v>
      </c>
      <c r="J12" s="260">
        <v>202.54</v>
      </c>
      <c r="K12" s="260">
        <v>316.6</v>
      </c>
      <c r="L12" s="260">
        <v>301.76</v>
      </c>
      <c r="M12" s="260">
        <v>444.38</v>
      </c>
      <c r="N12" s="260">
        <v>431.81</v>
      </c>
      <c r="O12" s="260">
        <v>296.44</v>
      </c>
      <c r="P12" s="260">
        <v>293.42</v>
      </c>
      <c r="Q12" s="260"/>
      <c r="R12" s="260"/>
      <c r="S12" s="260"/>
      <c r="T12" s="260"/>
      <c r="U12" s="260"/>
      <c r="V12" s="260"/>
      <c r="W12" s="260"/>
      <c r="X12" s="260"/>
      <c r="Y12" s="260"/>
      <c r="Z12" s="260"/>
    </row>
    <row r="13">
      <c r="A13" s="260">
        <v>11.0</v>
      </c>
      <c r="B13" s="260">
        <v>168.06</v>
      </c>
      <c r="C13" s="260">
        <v>202.16</v>
      </c>
      <c r="D13" s="260">
        <v>202.07</v>
      </c>
      <c r="E13" s="260">
        <v>255.78</v>
      </c>
      <c r="F13" s="260">
        <v>390.31</v>
      </c>
      <c r="G13" s="260">
        <v>260.15</v>
      </c>
      <c r="H13" s="260">
        <v>263.31</v>
      </c>
      <c r="I13" s="260">
        <v>287.96</v>
      </c>
      <c r="J13" s="260">
        <v>219.78</v>
      </c>
      <c r="K13" s="260">
        <v>342.8</v>
      </c>
      <c r="L13" s="260">
        <v>304.97</v>
      </c>
      <c r="M13" s="260">
        <v>466.36</v>
      </c>
      <c r="N13" s="260">
        <v>432.72</v>
      </c>
      <c r="O13" s="260">
        <v>297.46</v>
      </c>
      <c r="P13" s="260">
        <v>309.99</v>
      </c>
      <c r="Q13" s="260"/>
      <c r="R13" s="260"/>
      <c r="S13" s="260"/>
      <c r="T13" s="260"/>
      <c r="U13" s="260"/>
      <c r="V13" s="260"/>
      <c r="W13" s="260"/>
      <c r="X13" s="260"/>
      <c r="Y13" s="260"/>
      <c r="Z13" s="260"/>
    </row>
    <row r="14">
      <c r="A14" s="260">
        <v>12.0</v>
      </c>
      <c r="B14" s="260">
        <v>169.7</v>
      </c>
      <c r="C14" s="260">
        <v>213.97</v>
      </c>
      <c r="D14" s="260">
        <v>206.22</v>
      </c>
      <c r="E14" s="260">
        <v>262.4</v>
      </c>
      <c r="F14" s="260">
        <v>404.1</v>
      </c>
      <c r="G14" s="260">
        <v>264.21</v>
      </c>
      <c r="H14" s="260">
        <v>267.87</v>
      </c>
      <c r="I14" s="260">
        <v>290.96</v>
      </c>
      <c r="J14" s="260">
        <v>221.51</v>
      </c>
      <c r="K14" s="260">
        <v>356.29</v>
      </c>
      <c r="L14" s="260">
        <v>309.24</v>
      </c>
      <c r="M14" s="260">
        <v>471.4</v>
      </c>
      <c r="N14" s="260">
        <v>439.4</v>
      </c>
      <c r="O14" s="260">
        <v>301.78</v>
      </c>
      <c r="P14" s="260">
        <v>311.66</v>
      </c>
      <c r="Q14" s="260"/>
      <c r="R14" s="260"/>
      <c r="S14" s="260"/>
      <c r="T14" s="260"/>
      <c r="U14" s="260"/>
      <c r="V14" s="260"/>
      <c r="W14" s="260"/>
      <c r="X14" s="260"/>
      <c r="Y14" s="260"/>
      <c r="Z14" s="260"/>
    </row>
    <row r="15">
      <c r="A15" s="260">
        <v>13.0</v>
      </c>
      <c r="B15" s="260">
        <v>184.4</v>
      </c>
      <c r="C15" s="260">
        <v>234.89</v>
      </c>
      <c r="D15" s="260">
        <v>207.59</v>
      </c>
      <c r="E15" s="260">
        <v>277.91</v>
      </c>
      <c r="F15" s="260">
        <v>440.87</v>
      </c>
      <c r="G15" s="260">
        <v>287.83</v>
      </c>
      <c r="H15" s="260">
        <v>316.19</v>
      </c>
      <c r="I15" s="260">
        <v>326.58</v>
      </c>
      <c r="J15" s="260">
        <v>227.7</v>
      </c>
      <c r="K15" s="260">
        <v>409.07</v>
      </c>
      <c r="L15" s="260">
        <v>338.82</v>
      </c>
      <c r="M15" s="260">
        <v>504.93</v>
      </c>
      <c r="N15" s="260">
        <v>476.54</v>
      </c>
      <c r="O15" s="260">
        <v>349.96</v>
      </c>
      <c r="P15" s="260">
        <v>335.05</v>
      </c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>
      <c r="A16" s="260">
        <v>14.0</v>
      </c>
      <c r="B16" s="260">
        <v>190.71</v>
      </c>
      <c r="C16" s="260">
        <v>242.23</v>
      </c>
      <c r="D16" s="260">
        <v>208.14</v>
      </c>
      <c r="E16" s="260">
        <v>300.96</v>
      </c>
      <c r="F16" s="260">
        <v>510.49</v>
      </c>
      <c r="G16" s="260">
        <v>309.28</v>
      </c>
      <c r="H16" s="260">
        <v>321.03</v>
      </c>
      <c r="I16" s="260">
        <v>369.09</v>
      </c>
      <c r="J16" s="260">
        <v>234.33</v>
      </c>
      <c r="K16" s="260">
        <v>432.77</v>
      </c>
      <c r="L16" s="260">
        <v>373.56</v>
      </c>
      <c r="M16" s="260">
        <v>587.85</v>
      </c>
      <c r="N16" s="260">
        <v>542.14</v>
      </c>
      <c r="O16" s="260">
        <v>384.67</v>
      </c>
      <c r="P16" s="260">
        <v>391.4</v>
      </c>
      <c r="Q16" s="260"/>
      <c r="R16" s="260"/>
      <c r="S16" s="260"/>
      <c r="T16" s="260"/>
      <c r="U16" s="260"/>
      <c r="V16" s="260"/>
      <c r="W16" s="260"/>
      <c r="X16" s="260"/>
      <c r="Y16" s="260"/>
      <c r="Z16" s="260"/>
    </row>
    <row r="17">
      <c r="A17" s="260">
        <v>15.0</v>
      </c>
      <c r="B17" s="260">
        <v>196.99</v>
      </c>
      <c r="C17" s="260">
        <v>254.94</v>
      </c>
      <c r="D17" s="260">
        <v>218.81</v>
      </c>
      <c r="E17" s="260">
        <v>308.92</v>
      </c>
      <c r="F17" s="260">
        <v>564.01</v>
      </c>
      <c r="G17" s="260">
        <v>311.45</v>
      </c>
      <c r="H17" s="260">
        <v>321.68</v>
      </c>
      <c r="I17" s="260">
        <v>389.05</v>
      </c>
      <c r="J17" s="260">
        <v>242.93</v>
      </c>
      <c r="K17" s="260">
        <v>446.3</v>
      </c>
      <c r="L17" s="260">
        <v>377.04</v>
      </c>
      <c r="M17" s="260">
        <v>596.15</v>
      </c>
      <c r="N17" s="260">
        <v>548.71</v>
      </c>
      <c r="O17" s="260">
        <v>398.53</v>
      </c>
      <c r="P17" s="260">
        <v>432.72</v>
      </c>
      <c r="Q17" s="260"/>
      <c r="R17" s="260"/>
      <c r="S17" s="260"/>
      <c r="T17" s="260"/>
      <c r="U17" s="260"/>
      <c r="V17" s="260"/>
      <c r="W17" s="260"/>
      <c r="X17" s="260"/>
      <c r="Y17" s="260"/>
      <c r="Z17" s="260"/>
    </row>
    <row r="18">
      <c r="A18" s="260">
        <v>16.0</v>
      </c>
      <c r="B18" s="260">
        <v>206.2</v>
      </c>
      <c r="C18" s="260">
        <v>260.68</v>
      </c>
      <c r="D18" s="260">
        <v>219.88</v>
      </c>
      <c r="E18" s="260">
        <v>333.18</v>
      </c>
      <c r="F18" s="260">
        <v>569.37</v>
      </c>
      <c r="G18" s="260">
        <v>330.72</v>
      </c>
      <c r="H18" s="260">
        <v>322.33</v>
      </c>
      <c r="I18" s="260">
        <v>391.07</v>
      </c>
      <c r="J18" s="260">
        <v>274.51</v>
      </c>
      <c r="K18" s="260">
        <v>475.16</v>
      </c>
      <c r="L18" s="260">
        <v>420.83</v>
      </c>
      <c r="M18" s="260">
        <v>619.46</v>
      </c>
      <c r="N18" s="260">
        <v>550.39</v>
      </c>
      <c r="O18" s="260">
        <v>405.99</v>
      </c>
      <c r="P18" s="260">
        <v>454.18</v>
      </c>
      <c r="Q18" s="260"/>
      <c r="R18" s="260"/>
      <c r="S18" s="260"/>
      <c r="T18" s="260"/>
      <c r="U18" s="260"/>
      <c r="V18" s="260"/>
      <c r="W18" s="260"/>
      <c r="X18" s="260"/>
      <c r="Y18" s="260"/>
      <c r="Z18" s="260"/>
    </row>
    <row r="19">
      <c r="A19" s="260">
        <v>17.0</v>
      </c>
      <c r="B19" s="260">
        <v>207.81</v>
      </c>
      <c r="C19" s="260">
        <v>261.33</v>
      </c>
      <c r="D19" s="260">
        <v>231.77</v>
      </c>
      <c r="E19" s="260">
        <v>335.61</v>
      </c>
      <c r="F19" s="260">
        <v>571.98</v>
      </c>
      <c r="G19" s="260">
        <v>349.12</v>
      </c>
      <c r="H19" s="260">
        <v>332.63</v>
      </c>
      <c r="I19" s="260">
        <v>409.52</v>
      </c>
      <c r="J19" s="260">
        <v>283.88</v>
      </c>
      <c r="K19" s="260">
        <v>486.59</v>
      </c>
      <c r="L19" s="260">
        <v>438.84</v>
      </c>
      <c r="M19" s="260">
        <v>653.06</v>
      </c>
      <c r="N19" s="260">
        <v>554.13</v>
      </c>
      <c r="O19" s="260">
        <v>420.27</v>
      </c>
      <c r="P19" s="260">
        <v>456.33</v>
      </c>
      <c r="Q19" s="260"/>
      <c r="R19" s="260"/>
      <c r="S19" s="260"/>
      <c r="T19" s="260"/>
      <c r="U19" s="260"/>
      <c r="V19" s="260"/>
      <c r="W19" s="260"/>
      <c r="X19" s="260"/>
      <c r="Y19" s="260"/>
      <c r="Z19" s="260"/>
    </row>
    <row r="20">
      <c r="A20" s="260">
        <v>18.0</v>
      </c>
      <c r="B20" s="260">
        <v>213.28</v>
      </c>
      <c r="C20" s="260">
        <v>267.84</v>
      </c>
      <c r="D20" s="260">
        <v>233.42</v>
      </c>
      <c r="E20" s="260">
        <v>338.58</v>
      </c>
      <c r="F20" s="260">
        <v>623.99</v>
      </c>
      <c r="G20" s="260">
        <v>350.99</v>
      </c>
      <c r="H20" s="260">
        <v>361.67</v>
      </c>
      <c r="I20" s="260">
        <v>425.67</v>
      </c>
      <c r="J20" s="260">
        <v>284.83</v>
      </c>
      <c r="K20" s="260">
        <v>495.86</v>
      </c>
      <c r="L20" s="260">
        <v>451.1</v>
      </c>
      <c r="M20" s="260">
        <v>705.67</v>
      </c>
      <c r="N20" s="260">
        <v>628.81</v>
      </c>
      <c r="O20" s="260">
        <v>427.18</v>
      </c>
      <c r="P20" s="260">
        <v>480.55</v>
      </c>
      <c r="Q20" s="260"/>
      <c r="R20" s="260"/>
      <c r="S20" s="260"/>
      <c r="T20" s="260"/>
      <c r="U20" s="260"/>
      <c r="V20" s="260"/>
      <c r="W20" s="260"/>
      <c r="X20" s="260"/>
      <c r="Y20" s="260"/>
      <c r="Z20" s="260"/>
    </row>
    <row r="21" ht="15.75" customHeight="1">
      <c r="A21" s="260">
        <v>19.0</v>
      </c>
      <c r="B21" s="260">
        <v>218.69</v>
      </c>
      <c r="C21" s="260">
        <v>274.44</v>
      </c>
      <c r="D21" s="260">
        <v>265.83</v>
      </c>
      <c r="E21" s="260">
        <v>348.46</v>
      </c>
      <c r="F21" s="260">
        <v>634.72</v>
      </c>
      <c r="G21" s="260">
        <v>369.96</v>
      </c>
      <c r="H21" s="260">
        <v>364.58</v>
      </c>
      <c r="I21" s="260">
        <v>427.29</v>
      </c>
      <c r="J21" s="260">
        <v>290.18</v>
      </c>
      <c r="K21" s="260">
        <v>517.8</v>
      </c>
      <c r="L21" s="260">
        <v>476.21</v>
      </c>
      <c r="M21" s="260">
        <v>729.15</v>
      </c>
      <c r="N21" s="260">
        <v>671.94</v>
      </c>
      <c r="O21" s="260">
        <v>429.44</v>
      </c>
      <c r="P21" s="260">
        <v>487.85</v>
      </c>
      <c r="Q21" s="260"/>
      <c r="R21" s="260"/>
      <c r="S21" s="260"/>
      <c r="T21" s="260"/>
      <c r="U21" s="260"/>
      <c r="V21" s="260"/>
      <c r="W21" s="260"/>
      <c r="X21" s="260"/>
      <c r="Y21" s="260"/>
      <c r="Z21" s="260"/>
    </row>
    <row r="22" ht="15.75" customHeight="1">
      <c r="A22" s="260">
        <v>20.0</v>
      </c>
      <c r="B22" s="260">
        <v>224.13</v>
      </c>
      <c r="C22" s="260">
        <v>281.01</v>
      </c>
      <c r="D22" s="260">
        <v>271.47</v>
      </c>
      <c r="E22" s="260">
        <v>359.72</v>
      </c>
      <c r="F22" s="260">
        <v>706.09</v>
      </c>
      <c r="G22" s="260">
        <v>381.94</v>
      </c>
      <c r="H22" s="260">
        <v>365.32</v>
      </c>
      <c r="I22" s="260">
        <v>428.85</v>
      </c>
      <c r="J22" s="260">
        <v>291.24</v>
      </c>
      <c r="K22" s="260">
        <v>526.9</v>
      </c>
      <c r="L22" s="260">
        <v>478.73</v>
      </c>
      <c r="M22" s="260">
        <v>731.51</v>
      </c>
      <c r="N22" s="260">
        <v>679.39</v>
      </c>
      <c r="O22" s="260">
        <v>474.35</v>
      </c>
      <c r="P22" s="260">
        <v>496.5</v>
      </c>
      <c r="Q22" s="260"/>
      <c r="R22" s="260"/>
      <c r="S22" s="260"/>
      <c r="T22" s="260"/>
      <c r="U22" s="260"/>
      <c r="V22" s="260"/>
      <c r="W22" s="260"/>
      <c r="X22" s="260"/>
      <c r="Y22" s="260"/>
      <c r="Z22" s="260"/>
    </row>
    <row r="23" ht="15.75" customHeight="1">
      <c r="A23" s="260">
        <v>21.0</v>
      </c>
      <c r="B23" s="260">
        <v>253.73</v>
      </c>
      <c r="C23" s="260">
        <v>320.33</v>
      </c>
      <c r="D23" s="260">
        <v>272.33</v>
      </c>
      <c r="E23" s="260">
        <v>388.61</v>
      </c>
      <c r="F23" s="260">
        <v>756.54</v>
      </c>
      <c r="G23" s="260">
        <v>383.15</v>
      </c>
      <c r="H23" s="260">
        <v>380.01</v>
      </c>
      <c r="I23" s="260">
        <v>433.51</v>
      </c>
      <c r="J23" s="260">
        <v>312.22</v>
      </c>
      <c r="K23" s="260">
        <v>577.24</v>
      </c>
      <c r="L23" s="260">
        <v>498.46</v>
      </c>
      <c r="M23" s="260">
        <v>759.33</v>
      </c>
      <c r="N23" s="260">
        <v>721.73</v>
      </c>
      <c r="O23" s="260">
        <v>484.9</v>
      </c>
      <c r="P23" s="260">
        <v>497.37</v>
      </c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ht="15.75" customHeight="1">
      <c r="A24" s="260">
        <v>22.0</v>
      </c>
      <c r="B24" s="260">
        <v>256.69</v>
      </c>
      <c r="C24" s="260">
        <v>324.27</v>
      </c>
      <c r="D24" s="260">
        <v>273.48</v>
      </c>
      <c r="E24" s="260">
        <v>391.5</v>
      </c>
      <c r="F24" s="260">
        <v>771.62</v>
      </c>
      <c r="G24" s="260">
        <v>383.42</v>
      </c>
      <c r="H24" s="260">
        <v>397.48</v>
      </c>
      <c r="I24" s="260">
        <v>434.08</v>
      </c>
      <c r="J24" s="260">
        <v>329.42</v>
      </c>
      <c r="K24" s="260">
        <v>582.28</v>
      </c>
      <c r="L24" s="260">
        <v>500.45</v>
      </c>
      <c r="M24" s="260">
        <v>782.61</v>
      </c>
      <c r="N24" s="260">
        <v>725.97</v>
      </c>
      <c r="O24" s="260">
        <v>486.49</v>
      </c>
      <c r="P24" s="260">
        <v>497.62</v>
      </c>
      <c r="Q24" s="260"/>
      <c r="R24" s="260"/>
      <c r="S24" s="260"/>
      <c r="T24" s="260"/>
      <c r="U24" s="260"/>
      <c r="V24" s="260"/>
      <c r="W24" s="260"/>
      <c r="X24" s="260"/>
      <c r="Y24" s="260"/>
      <c r="Z24" s="260"/>
    </row>
    <row r="25" ht="15.75" customHeight="1">
      <c r="A25" s="260">
        <v>23.0</v>
      </c>
      <c r="B25" s="260">
        <v>265.6</v>
      </c>
      <c r="C25" s="260">
        <v>324.71</v>
      </c>
      <c r="D25" s="260">
        <v>296.37</v>
      </c>
      <c r="E25" s="260">
        <v>391.79</v>
      </c>
      <c r="F25" s="260">
        <v>773.13</v>
      </c>
      <c r="G25" s="260">
        <v>383.68</v>
      </c>
      <c r="H25" s="260">
        <v>399.23</v>
      </c>
      <c r="I25" s="260">
        <v>434.33</v>
      </c>
      <c r="J25" s="260">
        <v>331.15</v>
      </c>
      <c r="K25" s="260">
        <v>582.79</v>
      </c>
      <c r="L25" s="260">
        <v>500.7</v>
      </c>
      <c r="M25" s="260">
        <v>784.94</v>
      </c>
      <c r="N25" s="260">
        <v>726.4</v>
      </c>
      <c r="O25" s="260">
        <v>486.74</v>
      </c>
      <c r="P25" s="260">
        <v>497.87</v>
      </c>
      <c r="Q25" s="260"/>
      <c r="R25" s="260"/>
      <c r="S25" s="260"/>
      <c r="T25" s="260"/>
      <c r="U25" s="260"/>
      <c r="V25" s="260"/>
      <c r="W25" s="260"/>
      <c r="X25" s="260"/>
      <c r="Y25" s="260"/>
      <c r="Z25" s="260"/>
    </row>
    <row r="26" ht="15.75" customHeight="1">
      <c r="A26" s="260">
        <v>24.0</v>
      </c>
      <c r="B26" s="260">
        <v>274.42</v>
      </c>
      <c r="C26" s="260">
        <v>324.99</v>
      </c>
      <c r="D26" s="260">
        <v>306.47</v>
      </c>
      <c r="E26" s="260">
        <v>392.14</v>
      </c>
      <c r="F26" s="260">
        <v>773.65</v>
      </c>
      <c r="G26" s="260">
        <v>383.98</v>
      </c>
      <c r="H26" s="260">
        <v>399.51</v>
      </c>
      <c r="I26" s="260">
        <v>434.78</v>
      </c>
      <c r="J26" s="260">
        <v>332.04</v>
      </c>
      <c r="K26" s="260">
        <v>583.33</v>
      </c>
      <c r="L26" s="260">
        <v>501.03</v>
      </c>
      <c r="M26" s="260">
        <v>804.04</v>
      </c>
      <c r="N26" s="260">
        <v>726.71</v>
      </c>
      <c r="O26" s="260">
        <v>487.18</v>
      </c>
      <c r="P26" s="260">
        <v>498.26</v>
      </c>
      <c r="Q26" s="260"/>
      <c r="R26" s="260"/>
      <c r="S26" s="260"/>
      <c r="T26" s="260"/>
      <c r="U26" s="260"/>
      <c r="V26" s="260"/>
      <c r="W26" s="260"/>
      <c r="X26" s="260"/>
      <c r="Y26" s="260"/>
      <c r="Z26" s="260"/>
    </row>
    <row r="27" ht="15.75" customHeight="1">
      <c r="A27" s="260">
        <v>25.0</v>
      </c>
      <c r="B27" s="260">
        <v>277.9</v>
      </c>
      <c r="C27" s="260">
        <v>329.41</v>
      </c>
      <c r="D27" s="260">
        <v>307.48</v>
      </c>
      <c r="E27" s="260">
        <v>398.94</v>
      </c>
      <c r="F27" s="260">
        <v>781.91</v>
      </c>
      <c r="G27" s="260">
        <v>389.86</v>
      </c>
      <c r="H27" s="260">
        <v>404.95</v>
      </c>
      <c r="I27" s="260">
        <v>443.5</v>
      </c>
      <c r="J27" s="260">
        <v>334.05</v>
      </c>
      <c r="K27" s="260">
        <v>593.97</v>
      </c>
      <c r="L27" s="260">
        <v>507.6</v>
      </c>
      <c r="M27" s="260">
        <v>812.65</v>
      </c>
      <c r="N27" s="260">
        <v>732.88</v>
      </c>
      <c r="O27" s="260">
        <v>495.88</v>
      </c>
      <c r="P27" s="260">
        <v>505.98</v>
      </c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ht="15.75" customHeight="1">
      <c r="A28" s="260">
        <v>26.0</v>
      </c>
      <c r="B28" s="260">
        <v>316.9</v>
      </c>
      <c r="C28" s="260">
        <v>377.34</v>
      </c>
      <c r="D28" s="260">
        <v>307.73</v>
      </c>
      <c r="E28" s="260">
        <v>528.3</v>
      </c>
      <c r="F28" s="260">
        <v>910.28</v>
      </c>
      <c r="G28" s="260">
        <v>507.41</v>
      </c>
      <c r="H28" s="260">
        <v>451.04</v>
      </c>
      <c r="I28" s="260">
        <v>617.8</v>
      </c>
      <c r="J28" s="260">
        <v>374.19</v>
      </c>
      <c r="K28" s="260">
        <v>780.59</v>
      </c>
      <c r="L28" s="260">
        <v>601.43</v>
      </c>
      <c r="M28" s="260">
        <v>877.8</v>
      </c>
      <c r="N28" s="260">
        <v>855.38</v>
      </c>
      <c r="O28" s="260">
        <v>660.57</v>
      </c>
      <c r="P28" s="260">
        <v>660.29</v>
      </c>
      <c r="Q28" s="260"/>
      <c r="R28" s="260"/>
      <c r="S28" s="260"/>
      <c r="T28" s="260"/>
      <c r="U28" s="260"/>
      <c r="V28" s="260"/>
      <c r="W28" s="260"/>
      <c r="X28" s="260"/>
      <c r="Y28" s="260"/>
      <c r="Z28" s="260"/>
    </row>
    <row r="29" ht="15.75" customHeight="1">
      <c r="A29" s="260">
        <v>27.0</v>
      </c>
      <c r="B29" s="260">
        <v>332.22</v>
      </c>
      <c r="C29" s="260">
        <v>395.48</v>
      </c>
      <c r="D29" s="260">
        <v>307.98</v>
      </c>
      <c r="E29" s="260">
        <v>557.66</v>
      </c>
      <c r="F29" s="260">
        <v>923.13</v>
      </c>
      <c r="G29" s="260">
        <v>534.36</v>
      </c>
      <c r="H29" s="260">
        <v>477.43</v>
      </c>
      <c r="I29" s="260">
        <v>635.48</v>
      </c>
      <c r="J29" s="260">
        <v>382.12</v>
      </c>
      <c r="K29" s="260">
        <v>801.13</v>
      </c>
      <c r="L29" s="260">
        <v>631.07</v>
      </c>
      <c r="M29" s="260">
        <v>884.33</v>
      </c>
      <c r="N29" s="260">
        <v>961.77</v>
      </c>
      <c r="O29" s="260">
        <v>684.77</v>
      </c>
      <c r="P29" s="260">
        <v>711.22</v>
      </c>
      <c r="Q29" s="260"/>
      <c r="R29" s="260"/>
      <c r="S29" s="260"/>
      <c r="T29" s="260"/>
      <c r="U29" s="260"/>
      <c r="V29" s="260"/>
      <c r="W29" s="260"/>
      <c r="X29" s="260"/>
      <c r="Y29" s="260"/>
      <c r="Z29" s="260"/>
    </row>
    <row r="30" ht="15.75" customHeight="1">
      <c r="A30" s="260">
        <v>28.0</v>
      </c>
      <c r="B30" s="260">
        <v>344.68</v>
      </c>
      <c r="C30" s="260">
        <v>398.4</v>
      </c>
      <c r="D30" s="260">
        <v>309.32</v>
      </c>
      <c r="E30" s="260">
        <v>560.61</v>
      </c>
      <c r="F30" s="260">
        <v>945.93</v>
      </c>
      <c r="G30" s="260">
        <v>537.06</v>
      </c>
      <c r="H30" s="260">
        <v>480.08</v>
      </c>
      <c r="I30" s="260">
        <v>651.74</v>
      </c>
      <c r="J30" s="260">
        <v>383.27</v>
      </c>
      <c r="K30" s="260">
        <v>803.19</v>
      </c>
      <c r="L30" s="260">
        <v>703.91</v>
      </c>
      <c r="M30" s="260">
        <v>889.76</v>
      </c>
      <c r="N30" s="260">
        <v>972.41</v>
      </c>
      <c r="O30" s="260">
        <v>689.12</v>
      </c>
      <c r="P30" s="260">
        <v>725.26</v>
      </c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ht="15.75" customHeight="1">
      <c r="A31" s="260">
        <v>29.0</v>
      </c>
      <c r="B31" s="260">
        <v>349.91</v>
      </c>
      <c r="C31" s="260">
        <v>399.67</v>
      </c>
      <c r="D31" s="260">
        <v>336.01</v>
      </c>
      <c r="E31" s="260">
        <v>560.96</v>
      </c>
      <c r="F31" s="260">
        <v>950.81</v>
      </c>
      <c r="G31" s="260">
        <v>537.63</v>
      </c>
      <c r="H31" s="260">
        <v>520.19</v>
      </c>
      <c r="I31" s="260">
        <v>653.59</v>
      </c>
      <c r="J31" s="260">
        <v>406.06</v>
      </c>
      <c r="K31" s="260">
        <v>806.58</v>
      </c>
      <c r="L31" s="260">
        <v>711.2</v>
      </c>
      <c r="M31" s="260">
        <v>935.16</v>
      </c>
      <c r="N31" s="260">
        <v>973.49</v>
      </c>
      <c r="O31" s="260">
        <v>727.45</v>
      </c>
      <c r="P31" s="260">
        <v>726.67</v>
      </c>
      <c r="Q31" s="260"/>
      <c r="R31" s="260"/>
      <c r="S31" s="260"/>
      <c r="T31" s="260"/>
      <c r="U31" s="260"/>
      <c r="V31" s="260"/>
      <c r="W31" s="260"/>
      <c r="X31" s="260"/>
      <c r="Y31" s="260"/>
      <c r="Z31" s="260"/>
    </row>
    <row r="32" ht="15.75" customHeight="1">
      <c r="A32" s="260">
        <v>30.0</v>
      </c>
      <c r="B32" s="260">
        <v>350.5</v>
      </c>
      <c r="C32" s="260">
        <v>414.7</v>
      </c>
      <c r="D32" s="260">
        <v>338.69</v>
      </c>
      <c r="E32" s="260">
        <v>561.68</v>
      </c>
      <c r="F32" s="260">
        <v>951.3</v>
      </c>
      <c r="G32" s="260">
        <v>537.89</v>
      </c>
      <c r="H32" s="260">
        <v>552.67</v>
      </c>
      <c r="I32" s="260">
        <v>669.86</v>
      </c>
      <c r="J32" s="260">
        <v>408.36</v>
      </c>
      <c r="K32" s="260">
        <v>806.92</v>
      </c>
      <c r="L32" s="260">
        <v>711.95</v>
      </c>
      <c r="M32" s="260">
        <v>939.71</v>
      </c>
      <c r="N32" s="260">
        <v>973.75</v>
      </c>
      <c r="O32" s="260">
        <v>731.29</v>
      </c>
      <c r="P32" s="260">
        <v>727.24</v>
      </c>
      <c r="Q32" s="260"/>
      <c r="R32" s="260"/>
      <c r="S32" s="260"/>
      <c r="T32" s="260"/>
      <c r="U32" s="260"/>
      <c r="V32" s="260"/>
      <c r="W32" s="260"/>
      <c r="X32" s="260"/>
      <c r="Y32" s="260"/>
      <c r="Z32" s="260"/>
    </row>
    <row r="33" ht="15.75" customHeight="1">
      <c r="A33" s="260">
        <v>31.0</v>
      </c>
      <c r="B33" s="260">
        <v>353.06</v>
      </c>
      <c r="C33" s="260">
        <v>416.25</v>
      </c>
      <c r="D33" s="260">
        <v>338.96</v>
      </c>
      <c r="E33" s="260">
        <v>571.86</v>
      </c>
      <c r="F33" s="260">
        <v>955.91</v>
      </c>
      <c r="G33" s="260">
        <v>539.47</v>
      </c>
      <c r="H33" s="260">
        <v>563.75</v>
      </c>
      <c r="I33" s="260">
        <v>671.65</v>
      </c>
      <c r="J33" s="260">
        <v>408.73</v>
      </c>
      <c r="K33" s="260">
        <v>807.18</v>
      </c>
      <c r="L33" s="260">
        <v>726.9</v>
      </c>
      <c r="M33" s="260">
        <v>1021.1</v>
      </c>
      <c r="N33" s="260">
        <v>974.0</v>
      </c>
      <c r="O33" s="260">
        <v>731.68</v>
      </c>
      <c r="P33" s="260">
        <v>727.49</v>
      </c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ht="15.75" customHeight="1">
      <c r="A34" s="260">
        <v>32.0</v>
      </c>
      <c r="B34" s="260">
        <v>353.32</v>
      </c>
      <c r="C34" s="260">
        <v>416.5</v>
      </c>
      <c r="D34" s="260">
        <v>339.26</v>
      </c>
      <c r="E34" s="260">
        <v>572.88</v>
      </c>
      <c r="F34" s="260">
        <v>1047.22</v>
      </c>
      <c r="G34" s="260">
        <v>570.97</v>
      </c>
      <c r="H34" s="260">
        <v>600.25</v>
      </c>
      <c r="I34" s="260">
        <v>675.28</v>
      </c>
      <c r="J34" s="260">
        <v>415.97</v>
      </c>
      <c r="K34" s="260">
        <v>807.43</v>
      </c>
      <c r="L34" s="260">
        <v>728.4</v>
      </c>
      <c r="M34" s="260">
        <v>1029.25</v>
      </c>
      <c r="N34" s="260">
        <v>974.35</v>
      </c>
      <c r="O34" s="260">
        <v>735.23</v>
      </c>
      <c r="P34" s="260">
        <v>729.72</v>
      </c>
      <c r="Q34" s="260"/>
      <c r="R34" s="260"/>
      <c r="S34" s="260"/>
      <c r="T34" s="260"/>
      <c r="U34" s="260"/>
      <c r="V34" s="260"/>
      <c r="W34" s="260"/>
      <c r="X34" s="260"/>
      <c r="Y34" s="260"/>
      <c r="Z34" s="260"/>
    </row>
    <row r="35" ht="15.75" customHeight="1">
      <c r="A35" s="260">
        <v>33.0</v>
      </c>
      <c r="B35" s="260">
        <v>353.58</v>
      </c>
      <c r="C35" s="260">
        <v>416.76</v>
      </c>
      <c r="D35" s="260">
        <v>339.6</v>
      </c>
      <c r="E35" s="260">
        <v>576.24</v>
      </c>
      <c r="F35" s="260">
        <v>1056.36</v>
      </c>
      <c r="G35" s="260">
        <v>623.78</v>
      </c>
      <c r="H35" s="260">
        <v>603.91</v>
      </c>
      <c r="I35" s="260">
        <v>694.23</v>
      </c>
      <c r="J35" s="260">
        <v>429.15</v>
      </c>
      <c r="K35" s="260">
        <v>807.7</v>
      </c>
      <c r="L35" s="260">
        <v>728.72</v>
      </c>
      <c r="M35" s="260">
        <v>1038.43</v>
      </c>
      <c r="N35" s="260">
        <v>974.73</v>
      </c>
      <c r="O35" s="260">
        <v>805.97</v>
      </c>
      <c r="P35" s="260">
        <v>772.98</v>
      </c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ht="15.75" customHeight="1">
      <c r="A36" s="260">
        <v>34.0</v>
      </c>
      <c r="B36" s="260">
        <v>353.84</v>
      </c>
      <c r="C36" s="260">
        <v>417.02</v>
      </c>
      <c r="D36" s="260">
        <v>339.85</v>
      </c>
      <c r="E36" s="260">
        <v>576.62</v>
      </c>
      <c r="F36" s="260">
        <v>1057.28</v>
      </c>
      <c r="G36" s="260">
        <v>629.07</v>
      </c>
      <c r="H36" s="260">
        <v>604.51</v>
      </c>
      <c r="I36" s="260">
        <v>696.13</v>
      </c>
      <c r="J36" s="260">
        <v>430.48</v>
      </c>
      <c r="K36" s="260">
        <v>809.37</v>
      </c>
      <c r="L36" s="260">
        <v>729.09</v>
      </c>
      <c r="M36" s="260">
        <v>1039.38</v>
      </c>
      <c r="N36" s="260">
        <v>974.98</v>
      </c>
      <c r="O36" s="260">
        <v>813.06</v>
      </c>
      <c r="P36" s="260">
        <v>800.39</v>
      </c>
      <c r="Q36" s="260"/>
      <c r="R36" s="260"/>
      <c r="S36" s="260"/>
      <c r="T36" s="260"/>
      <c r="U36" s="260"/>
      <c r="V36" s="260"/>
      <c r="W36" s="260"/>
      <c r="X36" s="260"/>
      <c r="Y36" s="260"/>
      <c r="Z36" s="260"/>
    </row>
    <row r="37" ht="15.75" customHeight="1">
      <c r="A37" s="260">
        <v>35.0</v>
      </c>
      <c r="B37" s="260">
        <v>356.62</v>
      </c>
      <c r="C37" s="260">
        <v>418.91</v>
      </c>
      <c r="D37" s="260">
        <v>340.13</v>
      </c>
      <c r="E37" s="260">
        <v>576.9</v>
      </c>
      <c r="F37" s="260">
        <v>1057.53</v>
      </c>
      <c r="G37" s="260">
        <v>633.36</v>
      </c>
      <c r="H37" s="260">
        <v>607.05</v>
      </c>
      <c r="I37" s="260">
        <v>708.18</v>
      </c>
      <c r="J37" s="260">
        <v>432.2</v>
      </c>
      <c r="K37" s="260">
        <v>842.65</v>
      </c>
      <c r="L37" s="260">
        <v>730.27</v>
      </c>
      <c r="M37" s="260">
        <v>1039.68</v>
      </c>
      <c r="N37" s="260">
        <v>975.31</v>
      </c>
      <c r="O37" s="260">
        <v>815.83</v>
      </c>
      <c r="P37" s="260">
        <v>805.67</v>
      </c>
      <c r="Q37" s="260"/>
      <c r="R37" s="260"/>
      <c r="S37" s="260"/>
      <c r="T37" s="260"/>
      <c r="U37" s="260"/>
      <c r="V37" s="260"/>
      <c r="W37" s="260"/>
      <c r="X37" s="260"/>
      <c r="Y37" s="260"/>
      <c r="Z37" s="260"/>
    </row>
    <row r="38" ht="15.75" customHeight="1">
      <c r="A38" s="260">
        <v>36.0</v>
      </c>
      <c r="B38" s="260">
        <v>396.97</v>
      </c>
      <c r="C38" s="260">
        <v>456.58</v>
      </c>
      <c r="D38" s="260">
        <v>345.69</v>
      </c>
      <c r="E38" s="260">
        <v>577.24</v>
      </c>
      <c r="F38" s="260">
        <v>1057.78</v>
      </c>
      <c r="G38" s="260">
        <v>633.79</v>
      </c>
      <c r="H38" s="260">
        <v>657.84</v>
      </c>
      <c r="I38" s="260">
        <v>735.03</v>
      </c>
      <c r="J38" s="260">
        <v>432.45</v>
      </c>
      <c r="K38" s="260">
        <v>1003.61</v>
      </c>
      <c r="L38" s="260">
        <v>753.73</v>
      </c>
      <c r="M38" s="260">
        <v>1041.54</v>
      </c>
      <c r="N38" s="260">
        <v>975.62</v>
      </c>
      <c r="O38" s="260">
        <v>871.15</v>
      </c>
      <c r="P38" s="260">
        <v>806.31</v>
      </c>
      <c r="Q38" s="260"/>
      <c r="R38" s="260"/>
      <c r="S38" s="260"/>
      <c r="T38" s="260"/>
      <c r="U38" s="260"/>
      <c r="V38" s="260"/>
      <c r="W38" s="260"/>
      <c r="X38" s="260"/>
      <c r="Y38" s="260"/>
      <c r="Z38" s="260"/>
    </row>
    <row r="39" ht="15.75" customHeight="1">
      <c r="A39" s="260">
        <v>37.0</v>
      </c>
      <c r="B39" s="260">
        <v>401.01</v>
      </c>
      <c r="C39" s="260">
        <v>465.25</v>
      </c>
      <c r="D39" s="260">
        <v>350.15</v>
      </c>
      <c r="E39" s="260">
        <v>579.54</v>
      </c>
      <c r="F39" s="260">
        <v>1058.03</v>
      </c>
      <c r="G39" s="260">
        <v>634.1</v>
      </c>
      <c r="H39" s="260">
        <v>662.94</v>
      </c>
      <c r="I39" s="260">
        <v>738.59</v>
      </c>
      <c r="J39" s="260">
        <v>433.1</v>
      </c>
      <c r="K39" s="260">
        <v>1019.71</v>
      </c>
      <c r="L39" s="260">
        <v>756.08</v>
      </c>
      <c r="M39" s="260">
        <v>1043.5</v>
      </c>
      <c r="N39" s="260">
        <v>979.19</v>
      </c>
      <c r="O39" s="260">
        <v>876.78</v>
      </c>
      <c r="P39" s="260">
        <v>818.98</v>
      </c>
      <c r="Q39" s="260"/>
      <c r="R39" s="260"/>
      <c r="S39" s="260"/>
      <c r="T39" s="260"/>
      <c r="U39" s="260"/>
      <c r="V39" s="260"/>
      <c r="W39" s="260"/>
      <c r="X39" s="260"/>
      <c r="Y39" s="260"/>
      <c r="Z39" s="260"/>
    </row>
    <row r="40" ht="15.75" customHeight="1">
      <c r="A40" s="260">
        <v>38.0</v>
      </c>
      <c r="B40" s="260">
        <v>412.49</v>
      </c>
      <c r="C40" s="260">
        <v>473.88</v>
      </c>
      <c r="D40" s="260">
        <v>350.6</v>
      </c>
      <c r="E40" s="260">
        <v>591.12</v>
      </c>
      <c r="F40" s="260">
        <v>1058.43</v>
      </c>
      <c r="G40" s="260">
        <v>634.49</v>
      </c>
      <c r="H40" s="260">
        <v>674.4</v>
      </c>
      <c r="I40" s="260">
        <v>740.16</v>
      </c>
      <c r="J40" s="260">
        <v>433.35</v>
      </c>
      <c r="K40" s="260">
        <v>1053.37</v>
      </c>
      <c r="L40" s="260">
        <v>773.95</v>
      </c>
      <c r="M40" s="260">
        <v>1082.55</v>
      </c>
      <c r="N40" s="260">
        <v>1000.31</v>
      </c>
      <c r="O40" s="260">
        <v>877.36</v>
      </c>
      <c r="P40" s="260">
        <v>830.76</v>
      </c>
      <c r="Q40" s="260"/>
      <c r="R40" s="260"/>
      <c r="S40" s="260"/>
      <c r="T40" s="260"/>
      <c r="U40" s="260"/>
      <c r="V40" s="260"/>
      <c r="W40" s="260"/>
      <c r="X40" s="260"/>
      <c r="Y40" s="260"/>
      <c r="Z40" s="260"/>
    </row>
    <row r="41" ht="15.75" customHeight="1">
      <c r="A41" s="260">
        <v>39.0</v>
      </c>
      <c r="B41" s="260">
        <v>420.25</v>
      </c>
      <c r="C41" s="260">
        <v>482.51</v>
      </c>
      <c r="D41" s="260">
        <v>352.94</v>
      </c>
      <c r="E41" s="260">
        <v>652.53</v>
      </c>
      <c r="F41" s="260">
        <v>1066.35</v>
      </c>
      <c r="G41" s="260">
        <v>634.74</v>
      </c>
      <c r="H41" s="260">
        <v>683.7</v>
      </c>
      <c r="I41" s="260">
        <v>770.55</v>
      </c>
      <c r="J41" s="260">
        <v>435.38</v>
      </c>
      <c r="K41" s="260">
        <v>1082.94</v>
      </c>
      <c r="L41" s="260">
        <v>845.63</v>
      </c>
      <c r="M41" s="260">
        <v>1192.35</v>
      </c>
      <c r="N41" s="260">
        <v>1027.92</v>
      </c>
      <c r="O41" s="260">
        <v>877.63</v>
      </c>
      <c r="P41" s="260">
        <v>867.46</v>
      </c>
      <c r="Q41" s="260"/>
      <c r="R41" s="260"/>
      <c r="S41" s="260"/>
      <c r="T41" s="260"/>
      <c r="U41" s="260"/>
      <c r="V41" s="260"/>
      <c r="W41" s="260"/>
      <c r="X41" s="260"/>
      <c r="Y41" s="260"/>
      <c r="Z41" s="260"/>
    </row>
    <row r="42" ht="15.75" customHeight="1">
      <c r="A42" s="260">
        <v>40.0</v>
      </c>
      <c r="B42" s="260">
        <v>428.04</v>
      </c>
      <c r="C42" s="260">
        <v>495.6</v>
      </c>
      <c r="D42" s="260">
        <v>353.24</v>
      </c>
      <c r="E42" s="260">
        <v>658.68</v>
      </c>
      <c r="F42" s="260">
        <v>1223.72</v>
      </c>
      <c r="G42" s="260">
        <v>635.58</v>
      </c>
      <c r="H42" s="260">
        <v>686.09</v>
      </c>
      <c r="I42" s="260">
        <v>806.13</v>
      </c>
      <c r="J42" s="260">
        <v>475.95</v>
      </c>
      <c r="K42" s="260">
        <v>1086.87</v>
      </c>
      <c r="L42" s="260">
        <v>852.8</v>
      </c>
      <c r="M42" s="260">
        <v>1203.33</v>
      </c>
      <c r="N42" s="260">
        <v>1116.57</v>
      </c>
      <c r="O42" s="260">
        <v>881.57</v>
      </c>
      <c r="P42" s="260">
        <v>907.28</v>
      </c>
      <c r="Q42" s="260"/>
      <c r="R42" s="260"/>
      <c r="S42" s="260"/>
      <c r="T42" s="260"/>
      <c r="U42" s="260"/>
      <c r="V42" s="260"/>
      <c r="W42" s="260"/>
      <c r="X42" s="260"/>
      <c r="Y42" s="260"/>
      <c r="Z42" s="260"/>
    </row>
    <row r="43" ht="15.75" customHeight="1">
      <c r="A43" s="260">
        <v>41.0</v>
      </c>
      <c r="B43" s="260">
        <v>435.83</v>
      </c>
      <c r="C43" s="260">
        <v>496.92</v>
      </c>
      <c r="D43" s="260">
        <v>356.98</v>
      </c>
      <c r="E43" s="260">
        <v>664.24</v>
      </c>
      <c r="F43" s="260">
        <v>1259.35</v>
      </c>
      <c r="G43" s="260">
        <v>652.17</v>
      </c>
      <c r="H43" s="260">
        <v>698.8</v>
      </c>
      <c r="I43" s="260">
        <v>821.35</v>
      </c>
      <c r="J43" s="260">
        <v>482.2</v>
      </c>
      <c r="K43" s="260">
        <v>1114.43</v>
      </c>
      <c r="L43" s="260">
        <v>853.67</v>
      </c>
      <c r="M43" s="260">
        <v>1204.46</v>
      </c>
      <c r="N43" s="260">
        <v>1125.44</v>
      </c>
      <c r="O43" s="260">
        <v>957.54</v>
      </c>
      <c r="P43" s="260">
        <v>913.71</v>
      </c>
      <c r="Q43" s="260"/>
      <c r="R43" s="260"/>
      <c r="S43" s="260"/>
      <c r="T43" s="260"/>
      <c r="U43" s="260"/>
      <c r="V43" s="260"/>
      <c r="W43" s="260"/>
      <c r="X43" s="260"/>
      <c r="Y43" s="260"/>
      <c r="Z43" s="260"/>
    </row>
    <row r="44" ht="15.75" customHeight="1">
      <c r="A44" s="260">
        <v>42.0</v>
      </c>
      <c r="B44" s="260">
        <v>443.66</v>
      </c>
      <c r="C44" s="260">
        <v>504.12</v>
      </c>
      <c r="D44" s="260">
        <v>357.36</v>
      </c>
      <c r="E44" s="260">
        <v>685.62</v>
      </c>
      <c r="F44" s="260">
        <v>1262.92</v>
      </c>
      <c r="G44" s="260">
        <v>707.45</v>
      </c>
      <c r="H44" s="260">
        <v>700.08</v>
      </c>
      <c r="I44" s="260">
        <v>823.97</v>
      </c>
      <c r="J44" s="260">
        <v>487.06</v>
      </c>
      <c r="K44" s="260">
        <v>1117.22</v>
      </c>
      <c r="L44" s="260">
        <v>856.54</v>
      </c>
      <c r="M44" s="260">
        <v>1204.96</v>
      </c>
      <c r="N44" s="260">
        <v>1185.97</v>
      </c>
      <c r="O44" s="260">
        <v>968.16</v>
      </c>
      <c r="P44" s="260">
        <v>914.43</v>
      </c>
      <c r="Q44" s="260"/>
      <c r="R44" s="260"/>
      <c r="S44" s="260"/>
      <c r="T44" s="260"/>
      <c r="U44" s="260"/>
      <c r="V44" s="260"/>
      <c r="W44" s="260"/>
      <c r="X44" s="260"/>
      <c r="Y44" s="260"/>
      <c r="Z44" s="260"/>
    </row>
    <row r="45" ht="15.75" customHeight="1">
      <c r="A45" s="260">
        <v>43.0</v>
      </c>
      <c r="B45" s="260">
        <v>451.45</v>
      </c>
      <c r="C45" s="260">
        <v>513.47</v>
      </c>
      <c r="D45" s="260">
        <v>358.42</v>
      </c>
      <c r="E45" s="260">
        <v>687.78</v>
      </c>
      <c r="F45" s="260">
        <v>1297.46</v>
      </c>
      <c r="G45" s="260">
        <v>714.34</v>
      </c>
      <c r="H45" s="260">
        <v>700.66</v>
      </c>
      <c r="I45" s="260">
        <v>863.92</v>
      </c>
      <c r="J45" s="260">
        <v>493.79</v>
      </c>
      <c r="K45" s="260">
        <v>1153.54</v>
      </c>
      <c r="L45" s="260">
        <v>900.5</v>
      </c>
      <c r="M45" s="260">
        <v>1205.25</v>
      </c>
      <c r="N45" s="260">
        <v>1280.15</v>
      </c>
      <c r="O45" s="260">
        <v>970.64</v>
      </c>
      <c r="P45" s="260">
        <v>914.68</v>
      </c>
      <c r="Q45" s="260"/>
      <c r="R45" s="260"/>
      <c r="S45" s="260"/>
      <c r="T45" s="260"/>
      <c r="U45" s="260"/>
      <c r="V45" s="260"/>
      <c r="W45" s="260"/>
      <c r="X45" s="260"/>
      <c r="Y45" s="260"/>
      <c r="Z45" s="260"/>
    </row>
    <row r="46" ht="15.75" customHeight="1">
      <c r="A46" s="260">
        <v>44.0</v>
      </c>
      <c r="B46" s="260">
        <v>459.29</v>
      </c>
      <c r="C46" s="260">
        <v>520.63</v>
      </c>
      <c r="D46" s="260">
        <v>379.56</v>
      </c>
      <c r="E46" s="260">
        <v>688.06</v>
      </c>
      <c r="F46" s="260">
        <v>1300.93</v>
      </c>
      <c r="G46" s="260">
        <v>715.04</v>
      </c>
      <c r="H46" s="260">
        <v>706.07</v>
      </c>
      <c r="I46" s="260">
        <v>882.04</v>
      </c>
      <c r="J46" s="260">
        <v>500.0</v>
      </c>
      <c r="K46" s="260">
        <v>1169.34</v>
      </c>
      <c r="L46" s="260">
        <v>918.13</v>
      </c>
      <c r="M46" s="260">
        <v>1205.55</v>
      </c>
      <c r="N46" s="260">
        <v>1324.7</v>
      </c>
      <c r="O46" s="260">
        <v>973.91</v>
      </c>
      <c r="P46" s="260">
        <v>914.93</v>
      </c>
      <c r="Q46" s="260"/>
      <c r="R46" s="260"/>
      <c r="S46" s="260"/>
      <c r="T46" s="260"/>
      <c r="U46" s="260"/>
      <c r="V46" s="260"/>
      <c r="W46" s="260"/>
      <c r="X46" s="260"/>
      <c r="Y46" s="260"/>
      <c r="Z46" s="260"/>
    </row>
    <row r="47" ht="15.75" customHeight="1">
      <c r="A47" s="260">
        <v>45.0</v>
      </c>
      <c r="B47" s="260">
        <v>467.13</v>
      </c>
      <c r="C47" s="260">
        <v>527.87</v>
      </c>
      <c r="D47" s="260">
        <v>381.68</v>
      </c>
      <c r="E47" s="260">
        <v>690.78</v>
      </c>
      <c r="F47" s="260">
        <v>1301.28</v>
      </c>
      <c r="G47" s="260">
        <v>715.5</v>
      </c>
      <c r="H47" s="260">
        <v>749.72</v>
      </c>
      <c r="I47" s="260">
        <v>919.36</v>
      </c>
      <c r="J47" s="260">
        <v>506.2</v>
      </c>
      <c r="K47" s="260">
        <v>1180.71</v>
      </c>
      <c r="L47" s="260">
        <v>919.9</v>
      </c>
      <c r="M47" s="260">
        <v>1209.12</v>
      </c>
      <c r="N47" s="260">
        <v>1329.16</v>
      </c>
      <c r="O47" s="260">
        <v>1039.26</v>
      </c>
      <c r="P47" s="260">
        <v>915.24</v>
      </c>
      <c r="Q47" s="260"/>
      <c r="R47" s="260"/>
      <c r="S47" s="260"/>
      <c r="T47" s="260"/>
      <c r="U47" s="260"/>
      <c r="V47" s="260"/>
      <c r="W47" s="260"/>
      <c r="X47" s="260"/>
      <c r="Y47" s="260"/>
      <c r="Z47" s="260"/>
    </row>
    <row r="48" ht="15.75" customHeight="1">
      <c r="A48" s="260">
        <v>46.0</v>
      </c>
      <c r="B48" s="260">
        <v>474.92</v>
      </c>
      <c r="C48" s="260">
        <v>534.39</v>
      </c>
      <c r="D48" s="260">
        <v>381.93</v>
      </c>
      <c r="E48" s="260">
        <v>694.1</v>
      </c>
      <c r="F48" s="260">
        <v>1306.35</v>
      </c>
      <c r="G48" s="260">
        <v>724.34</v>
      </c>
      <c r="H48" s="260">
        <v>760.18</v>
      </c>
      <c r="I48" s="260">
        <v>923.1</v>
      </c>
      <c r="J48" s="260">
        <v>513.47</v>
      </c>
      <c r="K48" s="260">
        <v>1181.85</v>
      </c>
      <c r="L48" s="260">
        <v>920.19</v>
      </c>
      <c r="M48" s="260">
        <v>1209.49</v>
      </c>
      <c r="N48" s="260">
        <v>1329.62</v>
      </c>
      <c r="O48" s="260">
        <v>1045.87</v>
      </c>
      <c r="P48" s="260">
        <v>918.48</v>
      </c>
      <c r="Q48" s="260"/>
      <c r="R48" s="260"/>
      <c r="S48" s="260"/>
      <c r="T48" s="260"/>
      <c r="U48" s="260"/>
      <c r="V48" s="260"/>
      <c r="W48" s="260"/>
      <c r="X48" s="260"/>
      <c r="Y48" s="260"/>
      <c r="Z48" s="260"/>
    </row>
    <row r="49" ht="15.75" customHeight="1">
      <c r="A49" s="260">
        <v>47.0</v>
      </c>
      <c r="B49" s="260">
        <v>487.88</v>
      </c>
      <c r="C49" s="260">
        <v>542.27</v>
      </c>
      <c r="D49" s="260">
        <v>382.18</v>
      </c>
      <c r="E49" s="260">
        <v>694.44</v>
      </c>
      <c r="F49" s="260">
        <v>1382.72</v>
      </c>
      <c r="G49" s="260">
        <v>725.23</v>
      </c>
      <c r="H49" s="260">
        <v>761.23</v>
      </c>
      <c r="I49" s="260">
        <v>923.69</v>
      </c>
      <c r="J49" s="260">
        <v>532.28</v>
      </c>
      <c r="K49" s="260">
        <v>1182.67</v>
      </c>
      <c r="L49" s="260">
        <v>922.58</v>
      </c>
      <c r="M49" s="260">
        <v>1215.87</v>
      </c>
      <c r="N49" s="260">
        <v>1330.01</v>
      </c>
      <c r="O49" s="260">
        <v>1047.2</v>
      </c>
      <c r="P49" s="260">
        <v>983.04</v>
      </c>
      <c r="Q49" s="260"/>
      <c r="R49" s="260"/>
      <c r="S49" s="260"/>
      <c r="T49" s="260"/>
      <c r="U49" s="260"/>
      <c r="V49" s="260"/>
      <c r="W49" s="260"/>
      <c r="X49" s="260"/>
      <c r="Y49" s="260"/>
      <c r="Z49" s="260"/>
    </row>
    <row r="50" ht="15.75" customHeight="1">
      <c r="A50" s="260">
        <v>48.0</v>
      </c>
      <c r="B50" s="260">
        <v>489.19</v>
      </c>
      <c r="C50" s="260">
        <v>554.74</v>
      </c>
      <c r="D50" s="260">
        <v>382.63</v>
      </c>
      <c r="E50" s="260">
        <v>694.73</v>
      </c>
      <c r="F50" s="260">
        <v>1390.36</v>
      </c>
      <c r="G50" s="260">
        <v>727.01</v>
      </c>
      <c r="H50" s="260">
        <v>761.48</v>
      </c>
      <c r="I50" s="260">
        <v>935.42</v>
      </c>
      <c r="J50" s="260">
        <v>573.34</v>
      </c>
      <c r="K50" s="260">
        <v>1197.96</v>
      </c>
      <c r="L50" s="260">
        <v>927.49</v>
      </c>
      <c r="M50" s="260">
        <v>1233.72</v>
      </c>
      <c r="N50" s="260">
        <v>1337.81</v>
      </c>
      <c r="O50" s="260">
        <v>1047.72</v>
      </c>
      <c r="P50" s="260">
        <v>989.5</v>
      </c>
      <c r="Q50" s="260"/>
      <c r="R50" s="260"/>
      <c r="S50" s="260"/>
      <c r="T50" s="260"/>
      <c r="U50" s="260"/>
      <c r="V50" s="260"/>
      <c r="W50" s="260"/>
      <c r="X50" s="260"/>
      <c r="Y50" s="260"/>
      <c r="Z50" s="260"/>
    </row>
    <row r="51" ht="15.75" customHeight="1">
      <c r="A51" s="260">
        <v>49.0</v>
      </c>
      <c r="B51" s="260">
        <v>494.91</v>
      </c>
      <c r="C51" s="260">
        <v>556.02</v>
      </c>
      <c r="D51" s="260">
        <v>382.88</v>
      </c>
      <c r="E51" s="260">
        <v>695.03</v>
      </c>
      <c r="F51" s="260">
        <v>1395.43</v>
      </c>
      <c r="G51" s="260">
        <v>762.6</v>
      </c>
      <c r="H51" s="260">
        <v>762.2</v>
      </c>
      <c r="I51" s="260">
        <v>963.8</v>
      </c>
      <c r="J51" s="260">
        <v>577.45</v>
      </c>
      <c r="K51" s="260">
        <v>1234.41</v>
      </c>
      <c r="L51" s="260">
        <v>969.19</v>
      </c>
      <c r="M51" s="260">
        <v>1346.23</v>
      </c>
      <c r="N51" s="260">
        <v>1385.68</v>
      </c>
      <c r="O51" s="260">
        <v>1057.25</v>
      </c>
      <c r="P51" s="260">
        <v>991.02</v>
      </c>
      <c r="Q51" s="260"/>
      <c r="R51" s="260"/>
      <c r="S51" s="260"/>
      <c r="T51" s="260"/>
      <c r="U51" s="260"/>
      <c r="V51" s="260"/>
      <c r="W51" s="260"/>
      <c r="X51" s="260"/>
      <c r="Y51" s="260"/>
      <c r="Z51" s="260"/>
    </row>
    <row r="52" ht="15.75" customHeight="1">
      <c r="A52" s="260">
        <v>50.0</v>
      </c>
      <c r="B52" s="260">
        <v>503.76</v>
      </c>
      <c r="C52" s="260">
        <v>565.91</v>
      </c>
      <c r="D52" s="260">
        <v>383.13</v>
      </c>
      <c r="E52" s="260">
        <v>700.45</v>
      </c>
      <c r="F52" s="260">
        <v>1496.83</v>
      </c>
      <c r="G52" s="260">
        <v>766.17</v>
      </c>
      <c r="H52" s="260">
        <v>763.75</v>
      </c>
      <c r="I52" s="260">
        <v>968.32</v>
      </c>
      <c r="J52" s="260">
        <v>577.87</v>
      </c>
      <c r="K52" s="260">
        <v>1239.26</v>
      </c>
      <c r="L52" s="260">
        <v>973.37</v>
      </c>
      <c r="M52" s="260">
        <v>1360.07</v>
      </c>
      <c r="N52" s="260">
        <v>1401.51</v>
      </c>
      <c r="O52" s="260">
        <v>1058.21</v>
      </c>
      <c r="P52" s="260">
        <v>1021.36</v>
      </c>
      <c r="Q52" s="260"/>
      <c r="R52" s="260"/>
      <c r="S52" s="260"/>
      <c r="T52" s="260"/>
      <c r="U52" s="260"/>
      <c r="V52" s="260"/>
      <c r="W52" s="260"/>
      <c r="X52" s="260"/>
      <c r="Y52" s="260"/>
      <c r="Z52" s="260"/>
    </row>
    <row r="53" ht="15.75" customHeight="1">
      <c r="A53" s="260">
        <v>51.0</v>
      </c>
      <c r="B53" s="260">
        <v>522.65</v>
      </c>
      <c r="C53" s="260">
        <v>584.32</v>
      </c>
      <c r="D53" s="260">
        <v>387.71</v>
      </c>
      <c r="E53" s="260">
        <v>701.0</v>
      </c>
      <c r="F53" s="260">
        <v>1506.97</v>
      </c>
      <c r="G53" s="260">
        <v>766.53</v>
      </c>
      <c r="H53" s="260">
        <v>789.8</v>
      </c>
      <c r="I53" s="260">
        <v>968.78</v>
      </c>
      <c r="J53" s="260">
        <v>578.16</v>
      </c>
      <c r="K53" s="260">
        <v>1271.74</v>
      </c>
      <c r="L53" s="260">
        <v>984.26</v>
      </c>
      <c r="M53" s="260">
        <v>1361.87</v>
      </c>
      <c r="N53" s="260">
        <v>1403.1</v>
      </c>
      <c r="O53" s="260">
        <v>1058.48</v>
      </c>
      <c r="P53" s="260">
        <v>1024.4</v>
      </c>
      <c r="Q53" s="260"/>
      <c r="R53" s="260"/>
      <c r="S53" s="260"/>
      <c r="T53" s="260"/>
      <c r="U53" s="260"/>
      <c r="V53" s="260"/>
      <c r="W53" s="260"/>
      <c r="X53" s="260"/>
      <c r="Y53" s="260"/>
      <c r="Z53" s="260"/>
    </row>
    <row r="54" ht="15.75" customHeight="1">
      <c r="A54" s="260">
        <v>52.0</v>
      </c>
      <c r="B54" s="260">
        <v>526.47</v>
      </c>
      <c r="C54" s="260">
        <v>586.18</v>
      </c>
      <c r="D54" s="260">
        <v>397.58</v>
      </c>
      <c r="E54" s="260">
        <v>701.67</v>
      </c>
      <c r="F54" s="260">
        <v>1553.65</v>
      </c>
      <c r="G54" s="260">
        <v>766.81</v>
      </c>
      <c r="H54" s="260">
        <v>792.41</v>
      </c>
      <c r="I54" s="260">
        <v>972.28</v>
      </c>
      <c r="J54" s="260">
        <v>578.43</v>
      </c>
      <c r="K54" s="260">
        <v>1286.28</v>
      </c>
      <c r="L54" s="260">
        <v>986.46</v>
      </c>
      <c r="M54" s="260">
        <v>1397.64</v>
      </c>
      <c r="N54" s="260">
        <v>1403.36</v>
      </c>
      <c r="O54" s="260">
        <v>1058.8</v>
      </c>
      <c r="P54" s="260">
        <v>1027.77</v>
      </c>
      <c r="Q54" s="260"/>
      <c r="R54" s="260"/>
      <c r="S54" s="260"/>
      <c r="T54" s="260"/>
      <c r="U54" s="260"/>
      <c r="V54" s="260"/>
      <c r="W54" s="260"/>
      <c r="X54" s="260"/>
      <c r="Y54" s="260"/>
      <c r="Z54" s="260"/>
    </row>
    <row r="55" ht="15.75" customHeight="1">
      <c r="A55" s="260">
        <v>53.0</v>
      </c>
      <c r="B55" s="260">
        <v>527.1</v>
      </c>
      <c r="C55" s="260">
        <v>587.58</v>
      </c>
      <c r="D55" s="260">
        <v>405.75</v>
      </c>
      <c r="E55" s="260">
        <v>702.37</v>
      </c>
      <c r="F55" s="260">
        <v>1571.74</v>
      </c>
      <c r="G55" s="260">
        <v>768.85</v>
      </c>
      <c r="H55" s="260">
        <v>793.47</v>
      </c>
      <c r="I55" s="260">
        <v>1005.94</v>
      </c>
      <c r="J55" s="260">
        <v>578.68</v>
      </c>
      <c r="K55" s="260">
        <v>1300.7</v>
      </c>
      <c r="L55" s="260">
        <v>1015.74</v>
      </c>
      <c r="M55" s="260">
        <v>1401.22</v>
      </c>
      <c r="N55" s="260">
        <v>1403.61</v>
      </c>
      <c r="O55" s="260">
        <v>1064.93</v>
      </c>
      <c r="P55" s="260">
        <v>1065.55</v>
      </c>
      <c r="Q55" s="260"/>
      <c r="R55" s="260"/>
      <c r="S55" s="260"/>
      <c r="T55" s="260"/>
      <c r="U55" s="260"/>
      <c r="V55" s="260"/>
      <c r="W55" s="260"/>
      <c r="X55" s="260"/>
      <c r="Y55" s="260"/>
      <c r="Z55" s="260"/>
    </row>
    <row r="56" ht="15.75" customHeight="1">
      <c r="A56" s="260">
        <v>54.0</v>
      </c>
      <c r="B56" s="260">
        <v>531.26</v>
      </c>
      <c r="C56" s="260">
        <v>593.28</v>
      </c>
      <c r="D56" s="260">
        <v>407.47</v>
      </c>
      <c r="E56" s="260">
        <v>716.21</v>
      </c>
      <c r="F56" s="260">
        <v>1573.55</v>
      </c>
      <c r="G56" s="260">
        <v>809.51</v>
      </c>
      <c r="H56" s="260">
        <v>814.53</v>
      </c>
      <c r="I56" s="260">
        <v>1009.42</v>
      </c>
      <c r="J56" s="260">
        <v>579.01</v>
      </c>
      <c r="K56" s="260">
        <v>1312.93</v>
      </c>
      <c r="L56" s="260">
        <v>1071.46</v>
      </c>
      <c r="M56" s="260">
        <v>1401.58</v>
      </c>
      <c r="N56" s="260">
        <v>1403.86</v>
      </c>
      <c r="O56" s="260">
        <v>1080.47</v>
      </c>
      <c r="P56" s="260">
        <v>1069.33</v>
      </c>
      <c r="Q56" s="260"/>
      <c r="R56" s="260"/>
      <c r="S56" s="260"/>
      <c r="T56" s="260"/>
      <c r="U56" s="260"/>
      <c r="V56" s="260"/>
      <c r="W56" s="260"/>
      <c r="X56" s="260"/>
      <c r="Y56" s="260"/>
      <c r="Z56" s="260"/>
    </row>
    <row r="57" ht="15.75" customHeight="1">
      <c r="A57" s="260">
        <v>55.0</v>
      </c>
      <c r="B57" s="260">
        <v>536.45</v>
      </c>
      <c r="C57" s="260">
        <v>599.94</v>
      </c>
      <c r="D57" s="260">
        <v>407.77</v>
      </c>
      <c r="E57" s="260">
        <v>742.6</v>
      </c>
      <c r="F57" s="260">
        <v>1574.13</v>
      </c>
      <c r="G57" s="260">
        <v>815.4</v>
      </c>
      <c r="H57" s="260">
        <v>824.9</v>
      </c>
      <c r="I57" s="260">
        <v>1009.77</v>
      </c>
      <c r="J57" s="260">
        <v>581.3</v>
      </c>
      <c r="K57" s="260">
        <v>1329.96</v>
      </c>
      <c r="L57" s="260">
        <v>1077.04</v>
      </c>
      <c r="M57" s="260">
        <v>1401.93</v>
      </c>
      <c r="N57" s="260">
        <v>1404.2</v>
      </c>
      <c r="O57" s="260">
        <v>1082.04</v>
      </c>
      <c r="P57" s="260">
        <v>1073.62</v>
      </c>
      <c r="Q57" s="260"/>
      <c r="R57" s="260"/>
      <c r="S57" s="260"/>
      <c r="T57" s="260"/>
      <c r="U57" s="260"/>
      <c r="V57" s="260"/>
      <c r="W57" s="260"/>
      <c r="X57" s="260"/>
      <c r="Y57" s="260"/>
      <c r="Z57" s="260"/>
    </row>
    <row r="58" ht="15.75" customHeight="1">
      <c r="A58" s="260">
        <v>56.0</v>
      </c>
      <c r="B58" s="260">
        <v>541.63</v>
      </c>
      <c r="C58" s="260">
        <v>606.62</v>
      </c>
      <c r="D58" s="260">
        <v>408.07</v>
      </c>
      <c r="E58" s="260">
        <v>768.98</v>
      </c>
      <c r="F58" s="260">
        <v>1574.69</v>
      </c>
      <c r="G58" s="260">
        <v>821.29</v>
      </c>
      <c r="H58" s="260">
        <v>835.25</v>
      </c>
      <c r="I58" s="260">
        <v>1010.12</v>
      </c>
      <c r="J58" s="260">
        <v>583.59</v>
      </c>
      <c r="K58" s="260">
        <v>1346.99</v>
      </c>
      <c r="L58" s="260">
        <v>1099.18</v>
      </c>
      <c r="M58" s="260">
        <v>1402.28</v>
      </c>
      <c r="N58" s="260">
        <v>1404.52</v>
      </c>
      <c r="O58" s="260">
        <v>1083.6</v>
      </c>
      <c r="P58" s="260">
        <v>1077.93</v>
      </c>
      <c r="Q58" s="260"/>
      <c r="R58" s="260"/>
      <c r="S58" s="260"/>
      <c r="T58" s="260"/>
      <c r="U58" s="260"/>
      <c r="V58" s="260"/>
      <c r="W58" s="260"/>
      <c r="X58" s="260"/>
      <c r="Y58" s="260"/>
      <c r="Z58" s="260"/>
    </row>
    <row r="59" ht="15.75" customHeight="1">
      <c r="A59" s="260">
        <v>57.0</v>
      </c>
      <c r="B59" s="260">
        <v>546.81</v>
      </c>
      <c r="C59" s="260">
        <v>613.29</v>
      </c>
      <c r="D59" s="260">
        <v>408.36</v>
      </c>
      <c r="E59" s="260">
        <v>795.37</v>
      </c>
      <c r="F59" s="260">
        <v>1575.27</v>
      </c>
      <c r="G59" s="260">
        <v>827.18</v>
      </c>
      <c r="H59" s="260">
        <v>845.62</v>
      </c>
      <c r="I59" s="260">
        <v>1010.48</v>
      </c>
      <c r="J59" s="260">
        <v>585.87</v>
      </c>
      <c r="K59" s="260">
        <v>1364.02</v>
      </c>
      <c r="L59" s="260">
        <v>1113.02</v>
      </c>
      <c r="M59" s="260">
        <v>1402.63</v>
      </c>
      <c r="N59" s="260">
        <v>1404.86</v>
      </c>
      <c r="O59" s="260">
        <v>1085.16</v>
      </c>
      <c r="P59" s="260">
        <v>1082.23</v>
      </c>
      <c r="Q59" s="260"/>
      <c r="R59" s="260"/>
      <c r="S59" s="260"/>
      <c r="T59" s="260"/>
      <c r="U59" s="260"/>
      <c r="V59" s="260"/>
      <c r="W59" s="260"/>
      <c r="X59" s="260"/>
      <c r="Y59" s="260"/>
      <c r="Z59" s="260"/>
    </row>
    <row r="60" ht="15.75" customHeight="1">
      <c r="A60" s="260">
        <v>58.0</v>
      </c>
      <c r="B60" s="260">
        <v>552.0</v>
      </c>
      <c r="C60" s="260">
        <v>619.97</v>
      </c>
      <c r="D60" s="260">
        <v>408.66</v>
      </c>
      <c r="E60" s="260">
        <v>821.76</v>
      </c>
      <c r="F60" s="260">
        <v>1575.83</v>
      </c>
      <c r="G60" s="260">
        <v>833.04</v>
      </c>
      <c r="H60" s="260">
        <v>855.98</v>
      </c>
      <c r="I60" s="260">
        <v>1010.8</v>
      </c>
      <c r="J60" s="260">
        <v>588.16</v>
      </c>
      <c r="K60" s="260">
        <v>1381.04</v>
      </c>
      <c r="L60" s="260">
        <v>1126.88</v>
      </c>
      <c r="M60" s="260">
        <v>1402.98</v>
      </c>
      <c r="N60" s="260">
        <v>1405.17</v>
      </c>
      <c r="O60" s="260">
        <v>1086.73</v>
      </c>
      <c r="P60" s="260">
        <v>1086.54</v>
      </c>
      <c r="Q60" s="260"/>
      <c r="R60" s="260"/>
      <c r="S60" s="260"/>
      <c r="T60" s="260"/>
      <c r="U60" s="260"/>
      <c r="V60" s="260"/>
      <c r="W60" s="260"/>
      <c r="X60" s="260"/>
      <c r="Y60" s="260"/>
      <c r="Z60" s="260"/>
    </row>
    <row r="61" ht="15.75" customHeight="1">
      <c r="A61" s="260">
        <v>59.0</v>
      </c>
      <c r="B61" s="260">
        <v>555.11</v>
      </c>
      <c r="C61" s="260">
        <v>620.66</v>
      </c>
      <c r="D61" s="260">
        <v>408.91</v>
      </c>
      <c r="E61" s="260">
        <v>824.45</v>
      </c>
      <c r="F61" s="260">
        <v>1578.18</v>
      </c>
      <c r="G61" s="260">
        <v>833.63</v>
      </c>
      <c r="H61" s="260">
        <v>874.96</v>
      </c>
      <c r="I61" s="260">
        <v>1011.05</v>
      </c>
      <c r="J61" s="260">
        <v>593.57</v>
      </c>
      <c r="K61" s="260">
        <v>1382.79</v>
      </c>
      <c r="L61" s="260">
        <v>1128.27</v>
      </c>
      <c r="M61" s="260">
        <v>1403.35</v>
      </c>
      <c r="N61" s="260">
        <v>1405.42</v>
      </c>
      <c r="O61" s="260">
        <v>1087.0</v>
      </c>
      <c r="P61" s="260">
        <v>1088.15</v>
      </c>
      <c r="Q61" s="260"/>
      <c r="R61" s="260"/>
      <c r="S61" s="260"/>
      <c r="T61" s="260"/>
      <c r="U61" s="260"/>
      <c r="V61" s="260"/>
      <c r="W61" s="260"/>
      <c r="X61" s="260"/>
      <c r="Y61" s="260"/>
      <c r="Z61" s="260"/>
    </row>
    <row r="62" ht="15.75" customHeight="1">
      <c r="A62" s="260">
        <v>60.0</v>
      </c>
      <c r="B62" s="260">
        <v>556.06</v>
      </c>
      <c r="C62" s="260">
        <v>622.15</v>
      </c>
      <c r="D62" s="260">
        <v>409.19</v>
      </c>
      <c r="E62" s="260">
        <v>824.74</v>
      </c>
      <c r="F62" s="260">
        <v>1625.05</v>
      </c>
      <c r="G62" s="260">
        <v>833.88</v>
      </c>
      <c r="H62" s="260">
        <v>881.37</v>
      </c>
      <c r="I62" s="260">
        <v>1011.3</v>
      </c>
      <c r="J62" s="260">
        <v>599.06</v>
      </c>
      <c r="K62" s="260">
        <v>1383.9</v>
      </c>
      <c r="L62" s="260">
        <v>1128.52</v>
      </c>
      <c r="M62" s="260">
        <v>1403.96</v>
      </c>
      <c r="N62" s="260">
        <v>1405.7</v>
      </c>
      <c r="O62" s="260">
        <v>1087.29</v>
      </c>
      <c r="P62" s="260">
        <v>1088.43</v>
      </c>
      <c r="Q62" s="260"/>
      <c r="R62" s="260"/>
      <c r="S62" s="260"/>
      <c r="T62" s="260"/>
      <c r="U62" s="260"/>
      <c r="V62" s="260"/>
      <c r="W62" s="260"/>
      <c r="X62" s="260"/>
      <c r="Y62" s="260"/>
      <c r="Z62" s="260"/>
    </row>
    <row r="63" ht="15.75" customHeight="1">
      <c r="A63" s="260">
        <v>61.0</v>
      </c>
      <c r="B63" s="260">
        <v>574.86</v>
      </c>
      <c r="C63" s="260">
        <v>651.73</v>
      </c>
      <c r="D63" s="260">
        <v>414.07</v>
      </c>
      <c r="E63" s="260">
        <v>825.13</v>
      </c>
      <c r="F63" s="260">
        <v>1643.33</v>
      </c>
      <c r="G63" s="260">
        <v>834.13</v>
      </c>
      <c r="H63" s="260">
        <v>888.08</v>
      </c>
      <c r="I63" s="260">
        <v>1014.07</v>
      </c>
      <c r="J63" s="260">
        <v>605.53</v>
      </c>
      <c r="K63" s="260">
        <v>1405.91</v>
      </c>
      <c r="L63" s="260">
        <v>1128.78</v>
      </c>
      <c r="M63" s="260">
        <v>1415.56</v>
      </c>
      <c r="N63" s="260">
        <v>1408.17</v>
      </c>
      <c r="O63" s="260">
        <v>1087.56</v>
      </c>
      <c r="P63" s="260">
        <v>1091.24</v>
      </c>
      <c r="Q63" s="260"/>
      <c r="R63" s="260"/>
      <c r="S63" s="260"/>
      <c r="T63" s="260"/>
      <c r="U63" s="260"/>
      <c r="V63" s="260"/>
      <c r="W63" s="260"/>
      <c r="X63" s="260"/>
      <c r="Y63" s="260"/>
      <c r="Z63" s="260"/>
    </row>
    <row r="64" ht="15.75" customHeight="1">
      <c r="A64" s="260">
        <v>62.0</v>
      </c>
      <c r="B64" s="260">
        <v>581.29</v>
      </c>
      <c r="C64" s="260">
        <v>661.81</v>
      </c>
      <c r="D64" s="260">
        <v>425.35</v>
      </c>
      <c r="E64" s="260">
        <v>825.43</v>
      </c>
      <c r="F64" s="260">
        <v>1686.24</v>
      </c>
      <c r="G64" s="260">
        <v>834.45</v>
      </c>
      <c r="H64" s="260">
        <v>888.77</v>
      </c>
      <c r="I64" s="260">
        <v>1016.57</v>
      </c>
      <c r="J64" s="260">
        <v>612.01</v>
      </c>
      <c r="K64" s="260">
        <v>1408.12</v>
      </c>
      <c r="L64" s="260">
        <v>1129.24</v>
      </c>
      <c r="M64" s="260">
        <v>1416.73</v>
      </c>
      <c r="N64" s="260">
        <v>1457.45</v>
      </c>
      <c r="O64" s="260">
        <v>1087.84</v>
      </c>
      <c r="P64" s="260">
        <v>1147.44</v>
      </c>
      <c r="Q64" s="260"/>
      <c r="R64" s="260"/>
      <c r="S64" s="260"/>
      <c r="T64" s="260"/>
      <c r="U64" s="260"/>
      <c r="V64" s="260"/>
      <c r="W64" s="260"/>
      <c r="X64" s="260"/>
      <c r="Y64" s="260"/>
      <c r="Z64" s="260"/>
    </row>
    <row r="65" ht="15.75" customHeight="1">
      <c r="A65" s="260">
        <v>63.0</v>
      </c>
      <c r="B65" s="260">
        <v>598.84</v>
      </c>
      <c r="C65" s="260">
        <v>668.01</v>
      </c>
      <c r="D65" s="260">
        <v>432.89</v>
      </c>
      <c r="E65" s="260">
        <v>825.72</v>
      </c>
      <c r="F65" s="260">
        <v>1690.54</v>
      </c>
      <c r="G65" s="260">
        <v>834.71</v>
      </c>
      <c r="H65" s="260">
        <v>889.06</v>
      </c>
      <c r="I65" s="260">
        <v>1066.28</v>
      </c>
      <c r="J65" s="260">
        <v>622.88</v>
      </c>
      <c r="K65" s="260">
        <v>1412.83</v>
      </c>
      <c r="L65" s="260">
        <v>1129.52</v>
      </c>
      <c r="M65" s="260">
        <v>1417.02</v>
      </c>
      <c r="N65" s="260">
        <v>1462.38</v>
      </c>
      <c r="O65" s="260">
        <v>1088.09</v>
      </c>
      <c r="P65" s="260">
        <v>1153.09</v>
      </c>
      <c r="Q65" s="260"/>
      <c r="R65" s="260"/>
      <c r="S65" s="260"/>
      <c r="T65" s="260"/>
      <c r="U65" s="260"/>
      <c r="V65" s="260"/>
      <c r="W65" s="260"/>
      <c r="X65" s="260"/>
      <c r="Y65" s="260"/>
      <c r="Z65" s="260"/>
    </row>
    <row r="66" ht="15.75" customHeight="1">
      <c r="A66" s="260">
        <v>64.0</v>
      </c>
      <c r="B66" s="260">
        <v>605.46</v>
      </c>
      <c r="C66" s="260">
        <v>668.65</v>
      </c>
      <c r="D66" s="260">
        <v>433.65</v>
      </c>
      <c r="E66" s="260">
        <v>826.03</v>
      </c>
      <c r="F66" s="260">
        <v>1690.97</v>
      </c>
      <c r="G66" s="260">
        <v>837.86</v>
      </c>
      <c r="H66" s="260">
        <v>890.31</v>
      </c>
      <c r="I66" s="260">
        <v>1071.26</v>
      </c>
      <c r="J66" s="260">
        <v>631.6</v>
      </c>
      <c r="K66" s="260">
        <v>1417.69</v>
      </c>
      <c r="L66" s="260">
        <v>1129.77</v>
      </c>
      <c r="M66" s="260">
        <v>1418.17</v>
      </c>
      <c r="N66" s="260">
        <v>1462.88</v>
      </c>
      <c r="O66" s="260">
        <v>1088.47</v>
      </c>
      <c r="P66" s="260">
        <v>1166.24</v>
      </c>
      <c r="Q66" s="260"/>
      <c r="R66" s="260"/>
      <c r="S66" s="260"/>
      <c r="T66" s="260"/>
      <c r="U66" s="260"/>
      <c r="V66" s="260"/>
      <c r="W66" s="260"/>
      <c r="X66" s="260"/>
      <c r="Y66" s="260"/>
      <c r="Z66" s="260"/>
    </row>
    <row r="67" ht="15.75" customHeight="1">
      <c r="A67" s="260">
        <v>65.0</v>
      </c>
      <c r="B67" s="260">
        <v>611.95</v>
      </c>
      <c r="C67" s="260">
        <v>669.36</v>
      </c>
      <c r="D67" s="260">
        <v>434.17</v>
      </c>
      <c r="E67" s="260">
        <v>826.5</v>
      </c>
      <c r="F67" s="260">
        <v>1691.22</v>
      </c>
      <c r="G67" s="260">
        <v>900.53</v>
      </c>
      <c r="H67" s="260">
        <v>915.13</v>
      </c>
      <c r="I67" s="260">
        <v>1079.47</v>
      </c>
      <c r="J67" s="260">
        <v>632.49</v>
      </c>
      <c r="K67" s="260">
        <v>1422.61</v>
      </c>
      <c r="L67" s="260">
        <v>1130.09</v>
      </c>
      <c r="M67" s="260">
        <v>1439.47</v>
      </c>
      <c r="N67" s="260">
        <v>1466.27</v>
      </c>
      <c r="O67" s="260">
        <v>1088.77</v>
      </c>
      <c r="P67" s="260">
        <v>1167.56</v>
      </c>
      <c r="Q67" s="260"/>
      <c r="R67" s="260"/>
      <c r="S67" s="260"/>
      <c r="T67" s="260"/>
      <c r="U67" s="260"/>
      <c r="V67" s="260"/>
      <c r="W67" s="260"/>
      <c r="X67" s="260"/>
      <c r="Y67" s="260"/>
      <c r="Z67" s="260"/>
    </row>
    <row r="68" ht="15.75" customHeight="1">
      <c r="A68" s="260">
        <v>66.0</v>
      </c>
      <c r="B68" s="260">
        <v>612.81</v>
      </c>
      <c r="C68" s="260">
        <v>675.16</v>
      </c>
      <c r="D68" s="260">
        <v>444.56</v>
      </c>
      <c r="E68" s="260">
        <v>826.81</v>
      </c>
      <c r="F68" s="260">
        <v>1691.47</v>
      </c>
      <c r="G68" s="260">
        <v>906.81</v>
      </c>
      <c r="H68" s="260">
        <v>921.89</v>
      </c>
      <c r="I68" s="260">
        <v>1107.06</v>
      </c>
      <c r="J68" s="260">
        <v>643.77</v>
      </c>
      <c r="K68" s="260">
        <v>1427.5</v>
      </c>
      <c r="L68" s="260">
        <v>1131.89</v>
      </c>
      <c r="M68" s="260">
        <v>1446.71</v>
      </c>
      <c r="N68" s="260">
        <v>1527.71</v>
      </c>
      <c r="O68" s="260">
        <v>1090.06</v>
      </c>
      <c r="P68" s="260">
        <v>1168.94</v>
      </c>
      <c r="Q68" s="260"/>
      <c r="R68" s="260"/>
      <c r="S68" s="260"/>
      <c r="T68" s="260"/>
      <c r="U68" s="260"/>
      <c r="V68" s="260"/>
      <c r="W68" s="260"/>
      <c r="X68" s="260"/>
      <c r="Y68" s="260"/>
      <c r="Z68" s="260"/>
    </row>
    <row r="69" ht="15.75" customHeight="1">
      <c r="A69" s="260">
        <v>67.0</v>
      </c>
      <c r="B69" s="260">
        <v>613.14</v>
      </c>
      <c r="C69" s="260">
        <v>686.33</v>
      </c>
      <c r="D69" s="260">
        <v>446.61</v>
      </c>
      <c r="E69" s="260">
        <v>828.52</v>
      </c>
      <c r="F69" s="260">
        <v>1691.72</v>
      </c>
      <c r="G69" s="260">
        <v>907.45</v>
      </c>
      <c r="H69" s="260">
        <v>928.64</v>
      </c>
      <c r="I69" s="260">
        <v>1109.82</v>
      </c>
      <c r="J69" s="260">
        <v>644.9</v>
      </c>
      <c r="K69" s="260">
        <v>1432.43</v>
      </c>
      <c r="L69" s="260">
        <v>1150.95</v>
      </c>
      <c r="M69" s="260">
        <v>1450.47</v>
      </c>
      <c r="N69" s="260">
        <v>1533.86</v>
      </c>
      <c r="O69" s="260">
        <v>1090.31</v>
      </c>
      <c r="P69" s="260">
        <v>1169.36</v>
      </c>
      <c r="Q69" s="260"/>
      <c r="R69" s="260"/>
      <c r="S69" s="260"/>
      <c r="T69" s="260"/>
      <c r="U69" s="260"/>
      <c r="V69" s="260"/>
      <c r="W69" s="260"/>
      <c r="X69" s="260"/>
      <c r="Y69" s="260"/>
      <c r="Z69" s="260"/>
    </row>
    <row r="70" ht="15.75" customHeight="1">
      <c r="A70" s="260">
        <v>68.0</v>
      </c>
      <c r="B70" s="260">
        <v>617.96</v>
      </c>
      <c r="C70" s="260">
        <v>687.47</v>
      </c>
      <c r="D70" s="260">
        <v>447.84</v>
      </c>
      <c r="E70" s="260">
        <v>861.77</v>
      </c>
      <c r="F70" s="260">
        <v>1691.97</v>
      </c>
      <c r="G70" s="260">
        <v>910.75</v>
      </c>
      <c r="H70" s="260">
        <v>935.36</v>
      </c>
      <c r="I70" s="260">
        <v>1110.1</v>
      </c>
      <c r="J70" s="260">
        <v>656.74</v>
      </c>
      <c r="K70" s="260">
        <v>1437.36</v>
      </c>
      <c r="L70" s="260">
        <v>1154.48</v>
      </c>
      <c r="M70" s="260">
        <v>1520.17</v>
      </c>
      <c r="N70" s="260">
        <v>1534.48</v>
      </c>
      <c r="O70" s="260">
        <v>1090.56</v>
      </c>
      <c r="P70" s="260">
        <v>1171.15</v>
      </c>
      <c r="Q70" s="260"/>
      <c r="R70" s="260"/>
      <c r="S70" s="260"/>
      <c r="T70" s="260"/>
      <c r="U70" s="260"/>
      <c r="V70" s="260"/>
      <c r="W70" s="260"/>
      <c r="X70" s="260"/>
      <c r="Y70" s="260"/>
      <c r="Z70" s="260"/>
    </row>
    <row r="71" ht="15.75" customHeight="1">
      <c r="A71" s="260">
        <v>69.0</v>
      </c>
      <c r="B71" s="260">
        <v>618.45</v>
      </c>
      <c r="C71" s="260">
        <v>696.72</v>
      </c>
      <c r="D71" s="260">
        <v>448.19</v>
      </c>
      <c r="E71" s="260">
        <v>865.12</v>
      </c>
      <c r="F71" s="260">
        <v>1692.34</v>
      </c>
      <c r="G71" s="260">
        <v>911.08</v>
      </c>
      <c r="H71" s="260">
        <v>942.16</v>
      </c>
      <c r="I71" s="260">
        <v>1110.36</v>
      </c>
      <c r="J71" s="260">
        <v>657.93</v>
      </c>
      <c r="K71" s="260">
        <v>1440.41</v>
      </c>
      <c r="L71" s="260">
        <v>1166.52</v>
      </c>
      <c r="M71" s="260">
        <v>1527.15</v>
      </c>
      <c r="N71" s="260">
        <v>1534.87</v>
      </c>
      <c r="O71" s="260">
        <v>1090.83</v>
      </c>
      <c r="P71" s="260">
        <v>1206.87</v>
      </c>
      <c r="Q71" s="260"/>
      <c r="R71" s="260"/>
      <c r="S71" s="260"/>
      <c r="T71" s="260"/>
      <c r="U71" s="260"/>
      <c r="V71" s="260"/>
      <c r="W71" s="260"/>
      <c r="X71" s="260"/>
      <c r="Y71" s="260"/>
      <c r="Z71" s="260"/>
    </row>
    <row r="72" ht="15.75" customHeight="1">
      <c r="A72" s="260">
        <v>70.0</v>
      </c>
      <c r="B72" s="260">
        <v>621.7</v>
      </c>
      <c r="C72" s="260">
        <v>699.81</v>
      </c>
      <c r="D72" s="260">
        <v>455.19</v>
      </c>
      <c r="E72" s="260">
        <v>887.11</v>
      </c>
      <c r="F72" s="260">
        <v>1699.62</v>
      </c>
      <c r="G72" s="260">
        <v>917.13</v>
      </c>
      <c r="H72" s="260">
        <v>948.91</v>
      </c>
      <c r="I72" s="260">
        <v>1115.44</v>
      </c>
      <c r="J72" s="260">
        <v>664.41</v>
      </c>
      <c r="K72" s="260">
        <v>1447.18</v>
      </c>
      <c r="L72" s="260">
        <v>1191.47</v>
      </c>
      <c r="M72" s="260">
        <v>1533.73</v>
      </c>
      <c r="N72" s="260">
        <v>1542.64</v>
      </c>
      <c r="O72" s="260">
        <v>1096.1</v>
      </c>
      <c r="P72" s="260">
        <v>1270.76</v>
      </c>
      <c r="Q72" s="260"/>
      <c r="R72" s="260"/>
      <c r="S72" s="260"/>
      <c r="T72" s="260"/>
      <c r="U72" s="260"/>
      <c r="V72" s="260"/>
      <c r="W72" s="260"/>
      <c r="X72" s="260"/>
      <c r="Y72" s="260"/>
      <c r="Z72" s="260"/>
    </row>
    <row r="73" ht="15.75" customHeight="1">
      <c r="A73" s="260">
        <v>71.0</v>
      </c>
      <c r="B73" s="260">
        <v>686.7</v>
      </c>
      <c r="C73" s="260">
        <v>761.46</v>
      </c>
      <c r="D73" s="260">
        <v>508.82</v>
      </c>
      <c r="E73" s="260">
        <v>968.4</v>
      </c>
      <c r="F73" s="260">
        <v>1845.03</v>
      </c>
      <c r="G73" s="260">
        <v>1038.07</v>
      </c>
      <c r="H73" s="260">
        <v>1053.84</v>
      </c>
      <c r="I73" s="260">
        <v>1216.93</v>
      </c>
      <c r="J73" s="260">
        <v>736.26</v>
      </c>
      <c r="K73" s="260">
        <v>1582.51</v>
      </c>
      <c r="L73" s="260">
        <v>1306.47</v>
      </c>
      <c r="M73" s="260">
        <v>1665.27</v>
      </c>
      <c r="N73" s="260">
        <v>1697.89</v>
      </c>
      <c r="O73" s="260">
        <v>1201.5</v>
      </c>
      <c r="P73" s="260">
        <v>1384.95</v>
      </c>
      <c r="Q73" s="260"/>
      <c r="R73" s="260"/>
      <c r="S73" s="260"/>
      <c r="T73" s="260"/>
      <c r="U73" s="260"/>
      <c r="V73" s="260"/>
      <c r="W73" s="260"/>
      <c r="X73" s="260"/>
      <c r="Y73" s="260"/>
      <c r="Z73" s="260"/>
    </row>
    <row r="74" ht="15.75" customHeight="1">
      <c r="A74" s="260">
        <v>72.0</v>
      </c>
      <c r="B74" s="260">
        <v>693.2</v>
      </c>
      <c r="C74" s="260">
        <v>767.63</v>
      </c>
      <c r="D74" s="260">
        <v>514.19</v>
      </c>
      <c r="E74" s="260">
        <v>976.53</v>
      </c>
      <c r="F74" s="260">
        <v>1859.58</v>
      </c>
      <c r="G74" s="260">
        <v>1052.09</v>
      </c>
      <c r="H74" s="260">
        <v>1064.34</v>
      </c>
      <c r="I74" s="260">
        <v>1227.08</v>
      </c>
      <c r="J74" s="260">
        <v>765.82</v>
      </c>
      <c r="K74" s="260">
        <v>1596.05</v>
      </c>
      <c r="L74" s="260">
        <v>1317.97</v>
      </c>
      <c r="M74" s="260">
        <v>1678.43</v>
      </c>
      <c r="N74" s="260">
        <v>1713.42</v>
      </c>
      <c r="O74" s="260">
        <v>1212.05</v>
      </c>
      <c r="P74" s="260">
        <v>1396.37</v>
      </c>
      <c r="Q74" s="260"/>
      <c r="R74" s="260"/>
      <c r="S74" s="260"/>
      <c r="T74" s="260"/>
      <c r="U74" s="260"/>
      <c r="V74" s="260"/>
      <c r="W74" s="260"/>
      <c r="X74" s="260"/>
      <c r="Y74" s="260"/>
      <c r="Z74" s="260"/>
    </row>
    <row r="75" ht="15.75" customHeight="1">
      <c r="A75" s="260">
        <v>73.0</v>
      </c>
      <c r="B75" s="260">
        <v>711.45</v>
      </c>
      <c r="C75" s="260">
        <v>768.25</v>
      </c>
      <c r="D75" s="260">
        <v>514.73</v>
      </c>
      <c r="E75" s="260">
        <v>1023.2</v>
      </c>
      <c r="F75" s="260">
        <v>1861.04</v>
      </c>
      <c r="G75" s="260">
        <v>1055.31</v>
      </c>
      <c r="H75" s="260">
        <v>1071.82</v>
      </c>
      <c r="I75" s="260">
        <v>1262.42</v>
      </c>
      <c r="J75" s="260">
        <v>768.78</v>
      </c>
      <c r="K75" s="260">
        <v>1601.42</v>
      </c>
      <c r="L75" s="260">
        <v>1319.13</v>
      </c>
      <c r="M75" s="260">
        <v>1679.75</v>
      </c>
      <c r="N75" s="260">
        <v>1714.98</v>
      </c>
      <c r="O75" s="260">
        <v>1213.11</v>
      </c>
      <c r="P75" s="260">
        <v>1397.52</v>
      </c>
      <c r="Q75" s="260"/>
      <c r="R75" s="260"/>
      <c r="S75" s="260"/>
      <c r="T75" s="260"/>
      <c r="U75" s="260"/>
      <c r="V75" s="260"/>
      <c r="W75" s="260"/>
      <c r="X75" s="260"/>
      <c r="Y75" s="260"/>
      <c r="Z75" s="260"/>
    </row>
    <row r="76" ht="15.75" customHeight="1">
      <c r="A76" s="260">
        <v>74.0</v>
      </c>
      <c r="B76" s="260">
        <v>713.28</v>
      </c>
      <c r="C76" s="260">
        <v>768.5</v>
      </c>
      <c r="D76" s="260">
        <v>515.3</v>
      </c>
      <c r="E76" s="260">
        <v>1027.87</v>
      </c>
      <c r="F76" s="260">
        <v>1861.44</v>
      </c>
      <c r="G76" s="260">
        <v>1119.49</v>
      </c>
      <c r="H76" s="260">
        <v>1079.26</v>
      </c>
      <c r="I76" s="260">
        <v>1265.96</v>
      </c>
      <c r="J76" s="260">
        <v>769.09</v>
      </c>
      <c r="K76" s="260">
        <v>1606.8</v>
      </c>
      <c r="L76" s="260">
        <v>1319.4</v>
      </c>
      <c r="M76" s="260">
        <v>1680.11</v>
      </c>
      <c r="N76" s="260">
        <v>1715.27</v>
      </c>
      <c r="O76" s="260">
        <v>1213.41</v>
      </c>
      <c r="P76" s="260">
        <v>1403.24</v>
      </c>
      <c r="Q76" s="260"/>
      <c r="R76" s="260"/>
      <c r="S76" s="260"/>
      <c r="T76" s="260"/>
      <c r="U76" s="260"/>
      <c r="V76" s="260"/>
      <c r="W76" s="260"/>
      <c r="X76" s="260"/>
      <c r="Y76" s="260"/>
      <c r="Z76" s="260"/>
    </row>
    <row r="77" ht="15.75" customHeight="1">
      <c r="A77" s="260">
        <v>75.0</v>
      </c>
      <c r="B77" s="260">
        <v>729.54</v>
      </c>
      <c r="C77" s="260">
        <v>768.75</v>
      </c>
      <c r="D77" s="260">
        <v>526.44</v>
      </c>
      <c r="E77" s="260">
        <v>1028.34</v>
      </c>
      <c r="F77" s="260">
        <v>1869.44</v>
      </c>
      <c r="G77" s="260">
        <v>1125.93</v>
      </c>
      <c r="H77" s="260">
        <v>1080.02</v>
      </c>
      <c r="I77" s="260">
        <v>1266.32</v>
      </c>
      <c r="J77" s="260">
        <v>770.42</v>
      </c>
      <c r="K77" s="260">
        <v>1612.2</v>
      </c>
      <c r="L77" s="260">
        <v>1321.62</v>
      </c>
      <c r="M77" s="260">
        <v>1680.46</v>
      </c>
      <c r="N77" s="260">
        <v>1715.53</v>
      </c>
      <c r="O77" s="260">
        <v>1213.72</v>
      </c>
      <c r="P77" s="260">
        <v>1472.1</v>
      </c>
      <c r="Q77" s="260"/>
      <c r="R77" s="260"/>
      <c r="S77" s="260"/>
      <c r="T77" s="260"/>
      <c r="U77" s="260"/>
      <c r="V77" s="260"/>
      <c r="W77" s="260"/>
      <c r="X77" s="260"/>
      <c r="Y77" s="260"/>
      <c r="Z77" s="260"/>
    </row>
    <row r="78" ht="15.75" customHeight="1">
      <c r="A78" s="260">
        <v>76.0</v>
      </c>
      <c r="B78" s="260">
        <v>736.28</v>
      </c>
      <c r="C78" s="260">
        <v>769.0</v>
      </c>
      <c r="D78" s="260">
        <v>539.37</v>
      </c>
      <c r="E78" s="260">
        <v>1028.67</v>
      </c>
      <c r="F78" s="260">
        <v>1870.3</v>
      </c>
      <c r="G78" s="260">
        <v>1137.66</v>
      </c>
      <c r="H78" s="260">
        <v>1094.23</v>
      </c>
      <c r="I78" s="260">
        <v>1266.62</v>
      </c>
      <c r="J78" s="260">
        <v>796.18</v>
      </c>
      <c r="K78" s="260">
        <v>1617.57</v>
      </c>
      <c r="L78" s="260">
        <v>1365.23</v>
      </c>
      <c r="M78" s="260">
        <v>1680.77</v>
      </c>
      <c r="N78" s="260">
        <v>1715.8</v>
      </c>
      <c r="O78" s="260">
        <v>1214.02</v>
      </c>
      <c r="P78" s="260">
        <v>1478.99</v>
      </c>
      <c r="Q78" s="260"/>
      <c r="R78" s="260"/>
      <c r="S78" s="260"/>
      <c r="T78" s="260"/>
      <c r="U78" s="260"/>
      <c r="V78" s="260"/>
      <c r="W78" s="260"/>
      <c r="X78" s="260"/>
      <c r="Y78" s="260"/>
      <c r="Z78" s="260"/>
    </row>
    <row r="79" ht="15.75" customHeight="1">
      <c r="A79" s="260">
        <v>77.0</v>
      </c>
      <c r="B79" s="260">
        <v>736.96</v>
      </c>
      <c r="C79" s="260">
        <v>769.25</v>
      </c>
      <c r="D79" s="260">
        <v>540.67</v>
      </c>
      <c r="E79" s="260">
        <v>1029.44</v>
      </c>
      <c r="F79" s="260">
        <v>1870.57</v>
      </c>
      <c r="G79" s="260">
        <v>1146.7</v>
      </c>
      <c r="H79" s="260">
        <v>1101.66</v>
      </c>
      <c r="I79" s="260">
        <v>1266.9</v>
      </c>
      <c r="J79" s="260">
        <v>798.76</v>
      </c>
      <c r="K79" s="260">
        <v>1622.96</v>
      </c>
      <c r="L79" s="260">
        <v>1369.6</v>
      </c>
      <c r="M79" s="260">
        <v>1681.09</v>
      </c>
      <c r="N79" s="260">
        <v>1716.09</v>
      </c>
      <c r="O79" s="260">
        <v>1214.33</v>
      </c>
      <c r="P79" s="260">
        <v>1479.68</v>
      </c>
      <c r="Q79" s="260"/>
      <c r="R79" s="260"/>
      <c r="S79" s="260"/>
      <c r="T79" s="260"/>
      <c r="U79" s="260"/>
      <c r="V79" s="260"/>
      <c r="W79" s="260"/>
      <c r="X79" s="260"/>
      <c r="Y79" s="260"/>
      <c r="Z79" s="260"/>
    </row>
    <row r="80" ht="15.75" customHeight="1">
      <c r="A80" s="260">
        <v>78.0</v>
      </c>
      <c r="B80" s="260">
        <v>737.23</v>
      </c>
      <c r="C80" s="260">
        <v>769.5</v>
      </c>
      <c r="D80" s="260">
        <v>545.6</v>
      </c>
      <c r="E80" s="260">
        <v>1029.77</v>
      </c>
      <c r="F80" s="260">
        <v>1870.83</v>
      </c>
      <c r="G80" s="260">
        <v>1155.78</v>
      </c>
      <c r="H80" s="260">
        <v>1109.14</v>
      </c>
      <c r="I80" s="260">
        <v>1267.18</v>
      </c>
      <c r="J80" s="260">
        <v>801.86</v>
      </c>
      <c r="K80" s="260">
        <v>1627.29</v>
      </c>
      <c r="L80" s="260">
        <v>1370.04</v>
      </c>
      <c r="M80" s="260">
        <v>1685.53</v>
      </c>
      <c r="N80" s="260">
        <v>1716.43</v>
      </c>
      <c r="O80" s="260">
        <v>1214.61</v>
      </c>
      <c r="P80" s="260">
        <v>1479.95</v>
      </c>
      <c r="Q80" s="260"/>
      <c r="R80" s="260"/>
      <c r="S80" s="260"/>
      <c r="T80" s="260"/>
      <c r="U80" s="260"/>
      <c r="V80" s="260"/>
      <c r="W80" s="260"/>
      <c r="X80" s="260"/>
      <c r="Y80" s="260"/>
      <c r="Z80" s="260"/>
    </row>
    <row r="81" ht="15.75" customHeight="1">
      <c r="A81" s="260">
        <v>79.0</v>
      </c>
      <c r="B81" s="260">
        <v>737.49</v>
      </c>
      <c r="C81" s="260">
        <v>769.75</v>
      </c>
      <c r="D81" s="260">
        <v>553.57</v>
      </c>
      <c r="E81" s="260">
        <v>1030.1</v>
      </c>
      <c r="F81" s="260">
        <v>1871.1</v>
      </c>
      <c r="G81" s="260">
        <v>1158.96</v>
      </c>
      <c r="H81" s="260">
        <v>1116.61</v>
      </c>
      <c r="I81" s="260">
        <v>1267.45</v>
      </c>
      <c r="J81" s="260">
        <v>802.17</v>
      </c>
      <c r="K81" s="260">
        <v>1627.74</v>
      </c>
      <c r="L81" s="260">
        <v>1370.35</v>
      </c>
      <c r="M81" s="260">
        <v>1774.06</v>
      </c>
      <c r="N81" s="260">
        <v>1723.17</v>
      </c>
      <c r="O81" s="260">
        <v>1214.91</v>
      </c>
      <c r="P81" s="260">
        <v>1480.21</v>
      </c>
      <c r="Q81" s="260"/>
      <c r="R81" s="260"/>
      <c r="S81" s="260"/>
      <c r="T81" s="260"/>
      <c r="U81" s="260"/>
      <c r="V81" s="260"/>
      <c r="W81" s="260"/>
      <c r="X81" s="260"/>
      <c r="Y81" s="260"/>
      <c r="Z81" s="260"/>
    </row>
    <row r="82" ht="15.75" customHeight="1">
      <c r="A82" s="260">
        <v>80.0</v>
      </c>
      <c r="B82" s="260">
        <v>737.76</v>
      </c>
      <c r="C82" s="260">
        <v>770.0</v>
      </c>
      <c r="D82" s="260">
        <v>554.37</v>
      </c>
      <c r="E82" s="260">
        <v>1030.43</v>
      </c>
      <c r="F82" s="260">
        <v>1871.36</v>
      </c>
      <c r="G82" s="260">
        <v>1159.28</v>
      </c>
      <c r="H82" s="260">
        <v>1117.37</v>
      </c>
      <c r="I82" s="260">
        <v>1267.74</v>
      </c>
      <c r="J82" s="260">
        <v>802.49</v>
      </c>
      <c r="K82" s="260">
        <v>1628.03</v>
      </c>
      <c r="L82" s="260">
        <v>1370.68</v>
      </c>
      <c r="M82" s="260">
        <v>1782.93</v>
      </c>
      <c r="N82" s="260">
        <v>1857.88</v>
      </c>
      <c r="O82" s="260">
        <v>1215.22</v>
      </c>
      <c r="P82" s="260">
        <v>1480.48</v>
      </c>
      <c r="Q82" s="260"/>
      <c r="R82" s="260"/>
      <c r="S82" s="260"/>
      <c r="T82" s="260"/>
      <c r="U82" s="260"/>
      <c r="V82" s="260"/>
      <c r="W82" s="260"/>
      <c r="X82" s="260"/>
      <c r="Y82" s="260"/>
      <c r="Z82" s="260"/>
    </row>
    <row r="83" ht="15.75" customHeight="1">
      <c r="A83" s="260">
        <v>81.0</v>
      </c>
      <c r="B83" s="260">
        <v>738.02</v>
      </c>
      <c r="C83" s="260">
        <v>770.25</v>
      </c>
      <c r="D83" s="260">
        <v>554.64</v>
      </c>
      <c r="E83" s="260">
        <v>1031.18</v>
      </c>
      <c r="F83" s="260">
        <v>1871.63</v>
      </c>
      <c r="G83" s="260">
        <v>1159.61</v>
      </c>
      <c r="H83" s="260">
        <v>1124.44</v>
      </c>
      <c r="I83" s="260">
        <v>1268.03</v>
      </c>
      <c r="J83" s="260">
        <v>808.35</v>
      </c>
      <c r="K83" s="260">
        <v>1628.31</v>
      </c>
      <c r="L83" s="260">
        <v>1371.0</v>
      </c>
      <c r="M83" s="260">
        <v>1783.84</v>
      </c>
      <c r="N83" s="260">
        <v>1871.98</v>
      </c>
      <c r="O83" s="260">
        <v>1215.52</v>
      </c>
      <c r="P83" s="260">
        <v>1480.74</v>
      </c>
      <c r="Q83" s="260"/>
      <c r="R83" s="260"/>
      <c r="S83" s="260"/>
      <c r="T83" s="260"/>
      <c r="U83" s="260"/>
      <c r="V83" s="260"/>
      <c r="W83" s="260"/>
      <c r="X83" s="260"/>
      <c r="Y83" s="260"/>
      <c r="Z83" s="260"/>
    </row>
    <row r="84" ht="15.75" customHeight="1">
      <c r="A84" s="260">
        <v>82.0</v>
      </c>
      <c r="B84" s="260">
        <v>738.29</v>
      </c>
      <c r="C84" s="260">
        <v>770.5</v>
      </c>
      <c r="D84" s="260">
        <v>555.12</v>
      </c>
      <c r="E84" s="260">
        <v>1046.18</v>
      </c>
      <c r="F84" s="260">
        <v>1871.89</v>
      </c>
      <c r="G84" s="260">
        <v>1159.88</v>
      </c>
      <c r="H84" s="260">
        <v>1125.17</v>
      </c>
      <c r="I84" s="260">
        <v>1268.31</v>
      </c>
      <c r="J84" s="260">
        <v>823.71</v>
      </c>
      <c r="K84" s="260">
        <v>1628.6</v>
      </c>
      <c r="L84" s="260">
        <v>1371.31</v>
      </c>
      <c r="M84" s="260">
        <v>1784.38</v>
      </c>
      <c r="N84" s="260">
        <v>1873.39</v>
      </c>
      <c r="O84" s="260">
        <v>1215.83</v>
      </c>
      <c r="P84" s="260">
        <v>1481.01</v>
      </c>
      <c r="Q84" s="260"/>
      <c r="R84" s="260"/>
      <c r="S84" s="260"/>
      <c r="T84" s="260"/>
      <c r="U84" s="260"/>
      <c r="V84" s="260"/>
      <c r="W84" s="260"/>
      <c r="X84" s="260"/>
      <c r="Y84" s="260"/>
      <c r="Z84" s="260"/>
    </row>
    <row r="85" ht="15.75" customHeight="1">
      <c r="A85" s="260">
        <v>83.0</v>
      </c>
      <c r="B85" s="260">
        <v>738.55</v>
      </c>
      <c r="C85" s="260">
        <v>770.75</v>
      </c>
      <c r="D85" s="260">
        <v>564.64</v>
      </c>
      <c r="E85" s="260">
        <v>1047.7</v>
      </c>
      <c r="F85" s="260">
        <v>1872.28</v>
      </c>
      <c r="G85" s="260">
        <v>1160.15</v>
      </c>
      <c r="H85" s="260">
        <v>1126.55</v>
      </c>
      <c r="I85" s="260">
        <v>1268.59</v>
      </c>
      <c r="J85" s="260">
        <v>825.25</v>
      </c>
      <c r="K85" s="260">
        <v>1628.87</v>
      </c>
      <c r="L85" s="260">
        <v>1371.58</v>
      </c>
      <c r="M85" s="260">
        <v>1784.73</v>
      </c>
      <c r="N85" s="260">
        <v>1873.66</v>
      </c>
      <c r="O85" s="260">
        <v>1216.13</v>
      </c>
      <c r="P85" s="260">
        <v>1481.27</v>
      </c>
      <c r="Q85" s="260"/>
      <c r="R85" s="260"/>
      <c r="S85" s="260"/>
      <c r="T85" s="260"/>
      <c r="U85" s="260"/>
      <c r="V85" s="260"/>
      <c r="W85" s="260"/>
      <c r="X85" s="260"/>
      <c r="Y85" s="260"/>
      <c r="Z85" s="260"/>
    </row>
    <row r="86" ht="15.75" customHeight="1">
      <c r="A86" s="260">
        <v>84.0</v>
      </c>
      <c r="B86" s="260">
        <v>738.8</v>
      </c>
      <c r="C86" s="260">
        <v>771.0</v>
      </c>
      <c r="D86" s="260">
        <v>565.6</v>
      </c>
      <c r="E86" s="260">
        <v>1049.29</v>
      </c>
      <c r="F86" s="260">
        <v>1872.56</v>
      </c>
      <c r="G86" s="260">
        <v>1160.42</v>
      </c>
      <c r="H86" s="260">
        <v>1153.96</v>
      </c>
      <c r="I86" s="260">
        <v>1268.86</v>
      </c>
      <c r="J86" s="260">
        <v>825.79</v>
      </c>
      <c r="K86" s="260">
        <v>1629.16</v>
      </c>
      <c r="L86" s="260">
        <v>1371.96</v>
      </c>
      <c r="M86" s="260">
        <v>1785.07</v>
      </c>
      <c r="N86" s="260">
        <v>1874.01</v>
      </c>
      <c r="O86" s="260">
        <v>1216.44</v>
      </c>
      <c r="P86" s="260">
        <v>1481.54</v>
      </c>
      <c r="Q86" s="260"/>
      <c r="R86" s="260"/>
      <c r="S86" s="260"/>
      <c r="T86" s="260"/>
      <c r="U86" s="260"/>
      <c r="V86" s="260"/>
      <c r="W86" s="260"/>
      <c r="X86" s="260"/>
      <c r="Y86" s="260"/>
      <c r="Z86" s="260"/>
    </row>
    <row r="87" ht="15.75" customHeight="1">
      <c r="A87" s="260">
        <v>85.0</v>
      </c>
      <c r="B87" s="260">
        <v>739.05</v>
      </c>
      <c r="C87" s="260">
        <v>771.25</v>
      </c>
      <c r="D87" s="260">
        <v>580.74</v>
      </c>
      <c r="E87" s="260">
        <v>1058.63</v>
      </c>
      <c r="F87" s="260">
        <v>1872.85</v>
      </c>
      <c r="G87" s="260">
        <v>1160.91</v>
      </c>
      <c r="H87" s="260">
        <v>1161.43</v>
      </c>
      <c r="I87" s="260">
        <v>1269.15</v>
      </c>
      <c r="J87" s="260">
        <v>836.41</v>
      </c>
      <c r="K87" s="260">
        <v>1629.45</v>
      </c>
      <c r="L87" s="260">
        <v>1372.27</v>
      </c>
      <c r="M87" s="260">
        <v>1785.43</v>
      </c>
      <c r="N87" s="260">
        <v>1874.32</v>
      </c>
      <c r="O87" s="260">
        <v>1216.74</v>
      </c>
      <c r="P87" s="260">
        <v>1484.08</v>
      </c>
      <c r="Q87" s="260"/>
      <c r="R87" s="260"/>
      <c r="S87" s="260"/>
      <c r="T87" s="260"/>
      <c r="U87" s="260"/>
      <c r="V87" s="260"/>
      <c r="W87" s="260"/>
      <c r="X87" s="260"/>
      <c r="Y87" s="260"/>
      <c r="Z87" s="260"/>
    </row>
    <row r="88" ht="15.75" customHeight="1">
      <c r="A88" s="260">
        <v>86.0</v>
      </c>
      <c r="B88" s="260">
        <v>739.35</v>
      </c>
      <c r="C88" s="260">
        <v>771.5</v>
      </c>
      <c r="D88" s="260">
        <v>586.68</v>
      </c>
      <c r="E88" s="260">
        <v>1059.57</v>
      </c>
      <c r="F88" s="260">
        <v>1873.29</v>
      </c>
      <c r="G88" s="260">
        <v>1170.7</v>
      </c>
      <c r="H88" s="260">
        <v>1168.87</v>
      </c>
      <c r="I88" s="260">
        <v>1269.44</v>
      </c>
      <c r="J88" s="260">
        <v>837.48</v>
      </c>
      <c r="K88" s="260">
        <v>1629.73</v>
      </c>
      <c r="L88" s="260">
        <v>1372.59</v>
      </c>
      <c r="M88" s="260">
        <v>1785.7</v>
      </c>
      <c r="N88" s="260">
        <v>1878.65</v>
      </c>
      <c r="O88" s="260">
        <v>1217.04</v>
      </c>
      <c r="P88" s="260">
        <v>1534.32</v>
      </c>
      <c r="Q88" s="260"/>
      <c r="R88" s="260"/>
      <c r="S88" s="260"/>
      <c r="T88" s="260"/>
      <c r="U88" s="260"/>
      <c r="V88" s="260"/>
      <c r="W88" s="260"/>
      <c r="X88" s="260"/>
      <c r="Y88" s="260"/>
      <c r="Z88" s="260"/>
    </row>
    <row r="89" ht="15.75" customHeight="1">
      <c r="A89" s="260">
        <v>87.0</v>
      </c>
      <c r="B89" s="260">
        <v>739.61</v>
      </c>
      <c r="C89" s="260">
        <v>771.75</v>
      </c>
      <c r="D89" s="260">
        <v>599.48</v>
      </c>
      <c r="E89" s="260">
        <v>1062.15</v>
      </c>
      <c r="F89" s="260">
        <v>1882.08</v>
      </c>
      <c r="G89" s="260">
        <v>1174.58</v>
      </c>
      <c r="H89" s="260">
        <v>1172.22</v>
      </c>
      <c r="I89" s="260">
        <v>1269.72</v>
      </c>
      <c r="J89" s="260">
        <v>838.04</v>
      </c>
      <c r="K89" s="260">
        <v>1630.02</v>
      </c>
      <c r="L89" s="260">
        <v>1372.91</v>
      </c>
      <c r="M89" s="260">
        <v>1785.97</v>
      </c>
      <c r="N89" s="260">
        <v>1965.1</v>
      </c>
      <c r="O89" s="260">
        <v>1217.34</v>
      </c>
      <c r="P89" s="260">
        <v>1539.35</v>
      </c>
      <c r="Q89" s="260"/>
      <c r="R89" s="260"/>
      <c r="S89" s="260"/>
      <c r="T89" s="260"/>
      <c r="U89" s="260"/>
      <c r="V89" s="260"/>
      <c r="W89" s="260"/>
      <c r="X89" s="260"/>
      <c r="Y89" s="260"/>
      <c r="Z89" s="260"/>
    </row>
    <row r="90" ht="15.75" customHeight="1">
      <c r="A90" s="260">
        <v>88.0</v>
      </c>
      <c r="B90" s="260">
        <v>739.88</v>
      </c>
      <c r="C90" s="260">
        <v>772.0</v>
      </c>
      <c r="D90" s="260">
        <v>600.77</v>
      </c>
      <c r="E90" s="260">
        <v>1062.42</v>
      </c>
      <c r="F90" s="260">
        <v>1999.96</v>
      </c>
      <c r="G90" s="260">
        <v>1175.15</v>
      </c>
      <c r="H90" s="260">
        <v>1172.56</v>
      </c>
      <c r="I90" s="260">
        <v>1270.0</v>
      </c>
      <c r="J90" s="260">
        <v>849.14</v>
      </c>
      <c r="K90" s="260">
        <v>1630.31</v>
      </c>
      <c r="L90" s="260">
        <v>1373.61</v>
      </c>
      <c r="M90" s="260">
        <v>1786.42</v>
      </c>
      <c r="N90" s="260">
        <v>1973.75</v>
      </c>
      <c r="O90" s="260">
        <v>1219.37</v>
      </c>
      <c r="P90" s="260">
        <v>1539.86</v>
      </c>
      <c r="Q90" s="260"/>
      <c r="R90" s="260"/>
      <c r="S90" s="260"/>
      <c r="T90" s="260"/>
      <c r="U90" s="260"/>
      <c r="V90" s="260"/>
      <c r="W90" s="260"/>
      <c r="X90" s="260"/>
      <c r="Y90" s="260"/>
      <c r="Z90" s="260"/>
    </row>
    <row r="91" ht="15.75" customHeight="1">
      <c r="A91" s="260">
        <v>89.0</v>
      </c>
      <c r="B91" s="260">
        <v>740.14</v>
      </c>
      <c r="C91" s="260">
        <v>772.25</v>
      </c>
      <c r="D91" s="260">
        <v>601.05</v>
      </c>
      <c r="E91" s="260">
        <v>1062.88</v>
      </c>
      <c r="F91" s="260">
        <v>2115.49</v>
      </c>
      <c r="G91" s="260">
        <v>1175.41</v>
      </c>
      <c r="H91" s="260">
        <v>1172.89</v>
      </c>
      <c r="I91" s="260">
        <v>1270.29</v>
      </c>
      <c r="J91" s="260">
        <v>868.0</v>
      </c>
      <c r="K91" s="260">
        <v>1630.58</v>
      </c>
      <c r="L91" s="260">
        <v>1387.14</v>
      </c>
      <c r="M91" s="260">
        <v>1786.74</v>
      </c>
      <c r="N91" s="260">
        <v>1974.62</v>
      </c>
      <c r="O91" s="260">
        <v>1252.14</v>
      </c>
      <c r="P91" s="260">
        <v>1540.12</v>
      </c>
      <c r="Q91" s="260"/>
      <c r="R91" s="260"/>
      <c r="S91" s="260"/>
      <c r="T91" s="260"/>
      <c r="U91" s="260"/>
      <c r="V91" s="260"/>
      <c r="W91" s="260"/>
      <c r="X91" s="260"/>
      <c r="Y91" s="260"/>
      <c r="Z91" s="260"/>
    </row>
    <row r="92" ht="15.75" customHeight="1">
      <c r="A92" s="260">
        <v>90.0</v>
      </c>
      <c r="B92" s="260">
        <v>740.41</v>
      </c>
      <c r="C92" s="260">
        <v>772.5</v>
      </c>
      <c r="D92" s="260">
        <v>601.34</v>
      </c>
      <c r="E92" s="260">
        <v>1071.85</v>
      </c>
      <c r="F92" s="260">
        <v>2127.05</v>
      </c>
      <c r="G92" s="260">
        <v>1175.68</v>
      </c>
      <c r="H92" s="260">
        <v>1173.75</v>
      </c>
      <c r="I92" s="260">
        <v>1270.56</v>
      </c>
      <c r="J92" s="260">
        <v>869.9</v>
      </c>
      <c r="K92" s="260">
        <v>1630.87</v>
      </c>
      <c r="L92" s="260">
        <v>1392.86</v>
      </c>
      <c r="M92" s="260">
        <v>1787.16</v>
      </c>
      <c r="N92" s="260">
        <v>1979.81</v>
      </c>
      <c r="O92" s="260">
        <v>1255.42</v>
      </c>
      <c r="P92" s="260">
        <v>1540.39</v>
      </c>
      <c r="Q92" s="260"/>
      <c r="R92" s="260"/>
      <c r="S92" s="260"/>
      <c r="T92" s="260"/>
      <c r="U92" s="260"/>
      <c r="V92" s="260"/>
      <c r="W92" s="260"/>
      <c r="X92" s="260"/>
      <c r="Y92" s="260"/>
      <c r="Z92" s="260"/>
    </row>
    <row r="93" ht="15.75" customHeight="1">
      <c r="A93" s="260">
        <v>91.0</v>
      </c>
      <c r="B93" s="260">
        <v>740.67</v>
      </c>
      <c r="C93" s="260">
        <v>772.75</v>
      </c>
      <c r="D93" s="260">
        <v>601.6</v>
      </c>
      <c r="E93" s="260">
        <v>1072.75</v>
      </c>
      <c r="F93" s="260">
        <v>2128.22</v>
      </c>
      <c r="G93" s="260">
        <v>1175.95</v>
      </c>
      <c r="H93" s="260">
        <v>1190.18</v>
      </c>
      <c r="I93" s="260">
        <v>1270.85</v>
      </c>
      <c r="J93" s="260">
        <v>871.42</v>
      </c>
      <c r="K93" s="260">
        <v>1631.15</v>
      </c>
      <c r="L93" s="260">
        <v>1395.48</v>
      </c>
      <c r="M93" s="260">
        <v>1787.5</v>
      </c>
      <c r="N93" s="260">
        <v>1985.47</v>
      </c>
      <c r="O93" s="260">
        <v>1255.75</v>
      </c>
      <c r="P93" s="260">
        <v>1540.65</v>
      </c>
      <c r="Q93" s="260"/>
      <c r="R93" s="260"/>
      <c r="S93" s="260"/>
      <c r="T93" s="260"/>
      <c r="U93" s="260"/>
      <c r="V93" s="260"/>
      <c r="W93" s="260"/>
      <c r="X93" s="260"/>
      <c r="Y93" s="260"/>
      <c r="Z93" s="260"/>
    </row>
    <row r="94" ht="15.75" customHeight="1">
      <c r="A94" s="260">
        <v>92.0</v>
      </c>
      <c r="B94" s="260">
        <v>740.94</v>
      </c>
      <c r="C94" s="260">
        <v>773.0</v>
      </c>
      <c r="D94" s="260">
        <v>601.99</v>
      </c>
      <c r="E94" s="260">
        <v>1073.0</v>
      </c>
      <c r="F94" s="260">
        <v>2128.49</v>
      </c>
      <c r="G94" s="260">
        <v>1176.22</v>
      </c>
      <c r="H94" s="260">
        <v>1191.83</v>
      </c>
      <c r="I94" s="260">
        <v>1271.14</v>
      </c>
      <c r="J94" s="260">
        <v>880.01</v>
      </c>
      <c r="K94" s="260">
        <v>1631.44</v>
      </c>
      <c r="L94" s="260">
        <v>1397.99</v>
      </c>
      <c r="M94" s="260">
        <v>1787.78</v>
      </c>
      <c r="N94" s="260">
        <v>2098.6</v>
      </c>
      <c r="O94" s="260">
        <v>1256.0</v>
      </c>
      <c r="P94" s="260">
        <v>1540.92</v>
      </c>
      <c r="Q94" s="260"/>
      <c r="R94" s="260"/>
      <c r="S94" s="260"/>
      <c r="T94" s="260"/>
      <c r="U94" s="260"/>
      <c r="V94" s="260"/>
      <c r="W94" s="260"/>
      <c r="X94" s="260"/>
      <c r="Y94" s="260"/>
      <c r="Z94" s="260"/>
    </row>
    <row r="95" ht="15.75" customHeight="1">
      <c r="A95" s="260">
        <v>93.0</v>
      </c>
      <c r="B95" s="260">
        <v>741.2</v>
      </c>
      <c r="C95" s="260">
        <v>773.25</v>
      </c>
      <c r="D95" s="260">
        <v>602.39</v>
      </c>
      <c r="E95" s="260">
        <v>1073.25</v>
      </c>
      <c r="F95" s="260">
        <v>2128.75</v>
      </c>
      <c r="G95" s="260">
        <v>1176.48</v>
      </c>
      <c r="H95" s="260">
        <v>1192.15</v>
      </c>
      <c r="I95" s="260">
        <v>1271.41</v>
      </c>
      <c r="J95" s="260">
        <v>880.88</v>
      </c>
      <c r="K95" s="260">
        <v>1631.73</v>
      </c>
      <c r="L95" s="260">
        <v>1448.19</v>
      </c>
      <c r="M95" s="260">
        <v>1788.2</v>
      </c>
      <c r="N95" s="260">
        <v>2110.47</v>
      </c>
      <c r="O95" s="260">
        <v>1256.25</v>
      </c>
      <c r="P95" s="260">
        <v>1541.18</v>
      </c>
      <c r="Q95" s="260"/>
      <c r="R95" s="260"/>
      <c r="S95" s="260"/>
      <c r="T95" s="260"/>
      <c r="U95" s="260"/>
      <c r="V95" s="260"/>
      <c r="W95" s="260"/>
      <c r="X95" s="260"/>
      <c r="Y95" s="260"/>
      <c r="Z95" s="260"/>
    </row>
    <row r="96" ht="15.75" customHeight="1">
      <c r="A96" s="260">
        <v>94.0</v>
      </c>
      <c r="B96" s="260">
        <v>741.47</v>
      </c>
      <c r="C96" s="260">
        <v>773.5</v>
      </c>
      <c r="D96" s="260">
        <v>604.46</v>
      </c>
      <c r="E96" s="260">
        <v>1073.5</v>
      </c>
      <c r="F96" s="260">
        <v>2129.01</v>
      </c>
      <c r="G96" s="260">
        <v>1176.75</v>
      </c>
      <c r="H96" s="260">
        <v>1192.44</v>
      </c>
      <c r="I96" s="260">
        <v>1271.7</v>
      </c>
      <c r="J96" s="260">
        <v>898.21</v>
      </c>
      <c r="K96" s="260">
        <v>1632.01</v>
      </c>
      <c r="L96" s="260">
        <v>1453.21</v>
      </c>
      <c r="M96" s="260">
        <v>1788.55</v>
      </c>
      <c r="N96" s="260">
        <v>2111.66</v>
      </c>
      <c r="O96" s="260">
        <v>1256.5</v>
      </c>
      <c r="P96" s="260">
        <v>1541.44</v>
      </c>
      <c r="Q96" s="260"/>
      <c r="R96" s="260"/>
      <c r="S96" s="260"/>
      <c r="T96" s="260"/>
      <c r="U96" s="260"/>
      <c r="V96" s="260"/>
      <c r="W96" s="260"/>
      <c r="X96" s="260"/>
      <c r="Y96" s="260"/>
      <c r="Z96" s="260"/>
    </row>
    <row r="97" ht="15.75" customHeight="1">
      <c r="A97" s="260">
        <v>95.0</v>
      </c>
      <c r="B97" s="260">
        <v>741.73</v>
      </c>
      <c r="C97" s="260">
        <v>773.75</v>
      </c>
      <c r="D97" s="260">
        <v>645.76</v>
      </c>
      <c r="E97" s="260">
        <v>1073.75</v>
      </c>
      <c r="F97" s="260">
        <v>2131.71</v>
      </c>
      <c r="G97" s="260">
        <v>1177.03</v>
      </c>
      <c r="H97" s="260">
        <v>1192.75</v>
      </c>
      <c r="I97" s="260">
        <v>1271.97</v>
      </c>
      <c r="J97" s="260">
        <v>900.05</v>
      </c>
      <c r="K97" s="260">
        <v>1632.29</v>
      </c>
      <c r="L97" s="260">
        <v>1453.73</v>
      </c>
      <c r="M97" s="260">
        <v>1788.89</v>
      </c>
      <c r="N97" s="260">
        <v>2111.98</v>
      </c>
      <c r="O97" s="260">
        <v>1256.75</v>
      </c>
      <c r="P97" s="260">
        <v>1543.6</v>
      </c>
      <c r="Q97" s="260"/>
      <c r="R97" s="260"/>
      <c r="S97" s="260"/>
      <c r="T97" s="260"/>
      <c r="U97" s="260"/>
      <c r="V97" s="260"/>
      <c r="W97" s="260"/>
      <c r="X97" s="260"/>
      <c r="Y97" s="260"/>
      <c r="Z97" s="260"/>
    </row>
    <row r="98" ht="15.75" customHeight="1">
      <c r="A98" s="260">
        <v>96.0</v>
      </c>
      <c r="B98" s="260">
        <v>741.99</v>
      </c>
      <c r="C98" s="260">
        <v>774.0</v>
      </c>
      <c r="D98" s="260">
        <v>649.9</v>
      </c>
      <c r="E98" s="260">
        <v>1074.0</v>
      </c>
      <c r="F98" s="260">
        <v>2185.55</v>
      </c>
      <c r="G98" s="260">
        <v>1182.57</v>
      </c>
      <c r="H98" s="260">
        <v>1193.05</v>
      </c>
      <c r="I98" s="260">
        <v>1272.26</v>
      </c>
      <c r="J98" s="260">
        <v>907.95</v>
      </c>
      <c r="K98" s="260">
        <v>1632.57</v>
      </c>
      <c r="L98" s="260">
        <v>1454.05</v>
      </c>
      <c r="M98" s="260">
        <v>1789.2</v>
      </c>
      <c r="N98" s="260">
        <v>2112.26</v>
      </c>
      <c r="O98" s="260">
        <v>1257.0</v>
      </c>
      <c r="P98" s="260">
        <v>1586.63</v>
      </c>
      <c r="Q98" s="260"/>
      <c r="R98" s="260"/>
      <c r="S98" s="260"/>
      <c r="T98" s="260"/>
      <c r="U98" s="260"/>
      <c r="V98" s="260"/>
      <c r="W98" s="260"/>
      <c r="X98" s="260"/>
      <c r="Y98" s="260"/>
      <c r="Z98" s="260"/>
    </row>
    <row r="99" ht="15.75" customHeight="1">
      <c r="A99" s="260">
        <v>97.0</v>
      </c>
      <c r="B99" s="260">
        <v>742.25</v>
      </c>
      <c r="C99" s="260">
        <v>774.25</v>
      </c>
      <c r="D99" s="260">
        <v>650.37</v>
      </c>
      <c r="E99" s="260">
        <v>1074.25</v>
      </c>
      <c r="F99" s="260">
        <v>2190.94</v>
      </c>
      <c r="G99" s="260">
        <v>1214.5</v>
      </c>
      <c r="H99" s="260">
        <v>1193.36</v>
      </c>
      <c r="I99" s="260">
        <v>1272.53</v>
      </c>
      <c r="J99" s="260">
        <v>908.75</v>
      </c>
      <c r="K99" s="260">
        <v>1632.84</v>
      </c>
      <c r="L99" s="260">
        <v>1454.36</v>
      </c>
      <c r="M99" s="260">
        <v>1789.47</v>
      </c>
      <c r="N99" s="260">
        <v>2112.59</v>
      </c>
      <c r="O99" s="260">
        <v>1257.25</v>
      </c>
      <c r="P99" s="260">
        <v>1591.74</v>
      </c>
      <c r="Q99" s="260"/>
      <c r="R99" s="260"/>
      <c r="S99" s="260"/>
      <c r="T99" s="260"/>
      <c r="U99" s="260"/>
      <c r="V99" s="260"/>
      <c r="W99" s="260"/>
      <c r="X99" s="260"/>
      <c r="Y99" s="260"/>
      <c r="Z99" s="260"/>
    </row>
    <row r="100" ht="15.75" customHeight="1">
      <c r="A100" s="260">
        <v>98.0</v>
      </c>
      <c r="B100" s="260">
        <v>742.5</v>
      </c>
      <c r="C100" s="260">
        <v>774.5</v>
      </c>
      <c r="D100" s="260">
        <v>650.64</v>
      </c>
      <c r="E100" s="260">
        <v>1074.5</v>
      </c>
      <c r="F100" s="260">
        <v>2191.48</v>
      </c>
      <c r="G100" s="260">
        <v>1217.7</v>
      </c>
      <c r="H100" s="260">
        <v>1193.67</v>
      </c>
      <c r="I100" s="260">
        <v>1272.79</v>
      </c>
      <c r="J100" s="260">
        <v>909.14</v>
      </c>
      <c r="K100" s="260">
        <v>1633.11</v>
      </c>
      <c r="L100" s="260">
        <v>1454.69</v>
      </c>
      <c r="M100" s="260">
        <v>1790.02</v>
      </c>
      <c r="N100" s="260">
        <v>2118.98</v>
      </c>
      <c r="O100" s="260">
        <v>1257.5</v>
      </c>
      <c r="P100" s="260">
        <v>1595.27</v>
      </c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</row>
    <row r="101" ht="15.75" customHeight="1">
      <c r="A101" s="260">
        <v>99.0</v>
      </c>
      <c r="B101" s="260">
        <v>742.75</v>
      </c>
      <c r="C101" s="260">
        <v>774.75</v>
      </c>
      <c r="D101" s="260">
        <v>654.82</v>
      </c>
      <c r="E101" s="260">
        <v>1074.75</v>
      </c>
      <c r="F101" s="260">
        <v>2193.28</v>
      </c>
      <c r="G101" s="260">
        <v>1219.73</v>
      </c>
      <c r="H101" s="260">
        <v>1194.67</v>
      </c>
      <c r="I101" s="260">
        <v>1273.06</v>
      </c>
      <c r="J101" s="260">
        <v>916.72</v>
      </c>
      <c r="K101" s="260">
        <v>1633.43</v>
      </c>
      <c r="L101" s="260">
        <v>1457.69</v>
      </c>
      <c r="M101" s="260">
        <v>1800.99</v>
      </c>
      <c r="N101" s="260">
        <v>2119.62</v>
      </c>
      <c r="O101" s="260">
        <v>1257.75</v>
      </c>
      <c r="P101" s="260">
        <v>1618.03</v>
      </c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</row>
    <row r="102" ht="15.75" customHeight="1">
      <c r="A102" s="260">
        <v>100.0</v>
      </c>
      <c r="B102" s="260">
        <v>743.0</v>
      </c>
      <c r="C102" s="260">
        <v>775.0</v>
      </c>
      <c r="D102" s="260">
        <v>714.0</v>
      </c>
      <c r="E102" s="260">
        <v>1075.0</v>
      </c>
      <c r="F102" s="260">
        <v>2229.0</v>
      </c>
      <c r="G102" s="260">
        <v>1259.0</v>
      </c>
      <c r="H102" s="260">
        <v>1204.0</v>
      </c>
      <c r="I102" s="260">
        <v>1277.0</v>
      </c>
      <c r="J102" s="260">
        <v>1061.0</v>
      </c>
      <c r="K102" s="260">
        <v>1639.0</v>
      </c>
      <c r="L102" s="260">
        <v>1494.0</v>
      </c>
      <c r="M102" s="260">
        <v>1979.0</v>
      </c>
      <c r="N102" s="260">
        <v>2129.0</v>
      </c>
      <c r="O102" s="260">
        <v>1258.0</v>
      </c>
      <c r="P102" s="260">
        <v>1633.0</v>
      </c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</row>
    <row r="103" ht="15.75" customHeight="1">
      <c r="A103" s="260">
        <v>10000.0</v>
      </c>
      <c r="B103" s="260">
        <v>7.43</v>
      </c>
      <c r="C103" s="260">
        <v>7.75</v>
      </c>
      <c r="D103" s="260">
        <v>7.14</v>
      </c>
      <c r="E103" s="260">
        <v>10.75</v>
      </c>
      <c r="F103" s="260">
        <v>22.29</v>
      </c>
      <c r="G103" s="260">
        <v>12.59</v>
      </c>
      <c r="H103" s="260">
        <v>12.04</v>
      </c>
      <c r="I103" s="260">
        <v>12.77</v>
      </c>
      <c r="J103" s="260">
        <v>10.61</v>
      </c>
      <c r="K103" s="260">
        <v>16.39</v>
      </c>
      <c r="L103" s="260">
        <v>14.94</v>
      </c>
      <c r="M103" s="260">
        <v>19.79</v>
      </c>
      <c r="N103" s="260">
        <v>21.29</v>
      </c>
      <c r="O103" s="260">
        <v>12.58</v>
      </c>
      <c r="P103" s="260">
        <v>16.33</v>
      </c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</row>
    <row r="104" ht="15.75" customHeight="1">
      <c r="A104" s="260" t="s">
        <v>78</v>
      </c>
      <c r="B104" s="260">
        <v>6.76</v>
      </c>
      <c r="C104" s="260">
        <v>7.05</v>
      </c>
      <c r="D104" s="260">
        <v>6.64</v>
      </c>
      <c r="E104" s="260">
        <v>10.0</v>
      </c>
      <c r="F104" s="260">
        <v>20.28</v>
      </c>
      <c r="G104" s="260">
        <v>11.71</v>
      </c>
      <c r="H104" s="260">
        <v>11.2</v>
      </c>
      <c r="I104" s="260">
        <v>11.62</v>
      </c>
      <c r="J104" s="260">
        <v>9.87</v>
      </c>
      <c r="K104" s="260">
        <v>15.57</v>
      </c>
      <c r="L104" s="260">
        <v>13.89</v>
      </c>
      <c r="M104" s="260">
        <v>18.01</v>
      </c>
      <c r="N104" s="260">
        <v>19.37</v>
      </c>
      <c r="O104" s="260">
        <v>11.7</v>
      </c>
      <c r="P104" s="260">
        <v>14.86</v>
      </c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</row>
    <row r="105" ht="15.75" customHeight="1">
      <c r="A105" s="260" t="s">
        <v>79</v>
      </c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</row>
    <row r="106" ht="15.75" customHeight="1">
      <c r="A106" s="260" t="s">
        <v>80</v>
      </c>
      <c r="B106" s="260" t="s">
        <v>81</v>
      </c>
      <c r="C106" s="260" t="s">
        <v>82</v>
      </c>
      <c r="D106" s="260" t="s">
        <v>83</v>
      </c>
      <c r="E106" s="260" t="s">
        <v>84</v>
      </c>
      <c r="F106" s="260" t="s">
        <v>85</v>
      </c>
      <c r="G106" s="260" t="s">
        <v>86</v>
      </c>
      <c r="H106" s="260" t="s">
        <v>87</v>
      </c>
      <c r="I106" s="260" t="s">
        <v>88</v>
      </c>
      <c r="J106" s="260" t="s">
        <v>89</v>
      </c>
      <c r="K106" s="260" t="s">
        <v>90</v>
      </c>
      <c r="L106" s="260" t="s">
        <v>91</v>
      </c>
      <c r="M106" s="260" t="s">
        <v>92</v>
      </c>
      <c r="N106" s="260" t="s">
        <v>93</v>
      </c>
      <c r="O106" s="260" t="s">
        <v>94</v>
      </c>
      <c r="P106" s="260" t="s">
        <v>95</v>
      </c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</row>
    <row r="107" ht="15.75" customHeight="1">
      <c r="A107" s="260">
        <v>1.0</v>
      </c>
      <c r="B107" s="261">
        <v>0.85</v>
      </c>
      <c r="C107" s="261">
        <v>0.85</v>
      </c>
      <c r="D107" s="261">
        <v>0.858</v>
      </c>
      <c r="E107" s="261">
        <v>0.867</v>
      </c>
      <c r="F107" s="261">
        <v>0.858</v>
      </c>
      <c r="G107" s="261">
        <v>0.858</v>
      </c>
      <c r="H107" s="261">
        <v>0.858</v>
      </c>
      <c r="I107" s="261">
        <v>0.858</v>
      </c>
      <c r="J107" s="261">
        <v>0.858</v>
      </c>
      <c r="K107" s="261">
        <v>0.864</v>
      </c>
      <c r="L107" s="261">
        <v>0.858</v>
      </c>
      <c r="M107" s="261">
        <v>0.858</v>
      </c>
      <c r="N107" s="261">
        <v>0.858</v>
      </c>
      <c r="O107" s="261">
        <v>0.858</v>
      </c>
      <c r="P107" s="261">
        <v>0.858</v>
      </c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</row>
    <row r="108" ht="15.75" customHeight="1">
      <c r="A108" s="260">
        <v>2.0</v>
      </c>
      <c r="B108" s="261">
        <v>0.855</v>
      </c>
      <c r="C108" s="261">
        <v>0.855</v>
      </c>
      <c r="D108" s="261">
        <v>0.858</v>
      </c>
      <c r="E108" s="261">
        <v>0.885</v>
      </c>
      <c r="F108" s="261">
        <v>0.858</v>
      </c>
      <c r="G108" s="261">
        <v>0.858</v>
      </c>
      <c r="H108" s="261">
        <v>0.858</v>
      </c>
      <c r="I108" s="261">
        <v>0.858</v>
      </c>
      <c r="J108" s="261">
        <v>0.858</v>
      </c>
      <c r="K108" s="261">
        <v>0.88</v>
      </c>
      <c r="L108" s="261">
        <v>0.858</v>
      </c>
      <c r="M108" s="261">
        <v>0.858</v>
      </c>
      <c r="N108" s="261">
        <v>0.858</v>
      </c>
      <c r="O108" s="261">
        <v>0.858</v>
      </c>
      <c r="P108" s="261">
        <v>0.858</v>
      </c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</row>
    <row r="109" ht="15.75" customHeight="1">
      <c r="A109" s="260">
        <v>3.0</v>
      </c>
      <c r="B109" s="261">
        <v>0.8575</v>
      </c>
      <c r="C109" s="261">
        <v>0.8575</v>
      </c>
      <c r="D109" s="261">
        <v>0.858</v>
      </c>
      <c r="E109" s="261">
        <v>0.885</v>
      </c>
      <c r="F109" s="261">
        <v>0.858</v>
      </c>
      <c r="G109" s="261">
        <v>0.858</v>
      </c>
      <c r="H109" s="261">
        <v>0.858</v>
      </c>
      <c r="I109" s="261">
        <v>0.858</v>
      </c>
      <c r="J109" s="261">
        <v>0.858</v>
      </c>
      <c r="K109" s="261">
        <v>0.88</v>
      </c>
      <c r="L109" s="261">
        <v>0.858</v>
      </c>
      <c r="M109" s="261">
        <v>0.858</v>
      </c>
      <c r="N109" s="261">
        <v>0.858</v>
      </c>
      <c r="O109" s="261">
        <v>0.858</v>
      </c>
      <c r="P109" s="261">
        <v>0.858</v>
      </c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</row>
    <row r="110" ht="15.75" customHeight="1">
      <c r="A110" s="260">
        <v>4.0</v>
      </c>
      <c r="B110" s="261">
        <v>0.8575</v>
      </c>
      <c r="C110" s="261">
        <v>0.8575</v>
      </c>
      <c r="D110" s="261">
        <v>0.858</v>
      </c>
      <c r="E110" s="261">
        <v>0.885</v>
      </c>
      <c r="F110" s="261">
        <v>0.858</v>
      </c>
      <c r="G110" s="261">
        <v>0.858</v>
      </c>
      <c r="H110" s="261">
        <v>0.858</v>
      </c>
      <c r="I110" s="261">
        <v>0.858</v>
      </c>
      <c r="J110" s="261">
        <v>0.858</v>
      </c>
      <c r="K110" s="261">
        <v>0.88</v>
      </c>
      <c r="L110" s="261">
        <v>0.858</v>
      </c>
      <c r="M110" s="261">
        <v>0.858</v>
      </c>
      <c r="N110" s="261">
        <v>0.858</v>
      </c>
      <c r="O110" s="261">
        <v>0.858</v>
      </c>
      <c r="P110" s="261">
        <v>0.858</v>
      </c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</row>
    <row r="111" ht="15.75" customHeight="1">
      <c r="A111" s="260">
        <v>5.0</v>
      </c>
      <c r="B111" s="261">
        <v>0.86</v>
      </c>
      <c r="C111" s="261">
        <v>0.86</v>
      </c>
      <c r="D111" s="261">
        <v>0.858</v>
      </c>
      <c r="E111" s="261">
        <v>0.885</v>
      </c>
      <c r="F111" s="261">
        <v>0.858</v>
      </c>
      <c r="G111" s="261">
        <v>0.858</v>
      </c>
      <c r="H111" s="261">
        <v>0.858</v>
      </c>
      <c r="I111" s="261">
        <v>0.858</v>
      </c>
      <c r="J111" s="261">
        <v>0.858</v>
      </c>
      <c r="K111" s="261">
        <v>0.8825</v>
      </c>
      <c r="L111" s="261">
        <v>0.858</v>
      </c>
      <c r="M111" s="261">
        <v>0.858</v>
      </c>
      <c r="N111" s="261">
        <v>0.858</v>
      </c>
      <c r="O111" s="261">
        <v>0.858</v>
      </c>
      <c r="P111" s="261">
        <v>0.858</v>
      </c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</row>
    <row r="112" ht="15.75" customHeight="1">
      <c r="A112" s="260">
        <v>6.0</v>
      </c>
      <c r="B112" s="261">
        <v>0.864</v>
      </c>
      <c r="C112" s="261">
        <v>0.864</v>
      </c>
      <c r="D112" s="261">
        <v>0.858</v>
      </c>
      <c r="E112" s="261">
        <v>0.892</v>
      </c>
      <c r="F112" s="261">
        <v>0.858</v>
      </c>
      <c r="G112" s="261">
        <v>0.858</v>
      </c>
      <c r="H112" s="261">
        <v>0.858</v>
      </c>
      <c r="I112" s="261">
        <v>0.858</v>
      </c>
      <c r="J112" s="261">
        <v>0.858</v>
      </c>
      <c r="K112" s="261">
        <v>0.895</v>
      </c>
      <c r="L112" s="261">
        <v>0.858</v>
      </c>
      <c r="M112" s="261">
        <v>0.858</v>
      </c>
      <c r="N112" s="261">
        <v>0.858</v>
      </c>
      <c r="O112" s="261">
        <v>0.858</v>
      </c>
      <c r="P112" s="261">
        <v>0.858</v>
      </c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</row>
    <row r="113" ht="15.75" customHeight="1">
      <c r="A113" s="260">
        <v>7.0</v>
      </c>
      <c r="B113" s="261">
        <v>0.864</v>
      </c>
      <c r="C113" s="261">
        <v>0.864</v>
      </c>
      <c r="D113" s="261">
        <v>0.858</v>
      </c>
      <c r="E113" s="261">
        <v>0.892</v>
      </c>
      <c r="F113" s="261">
        <v>0.858</v>
      </c>
      <c r="G113" s="261">
        <v>0.858</v>
      </c>
      <c r="H113" s="261">
        <v>0.858</v>
      </c>
      <c r="I113" s="261">
        <v>0.858</v>
      </c>
      <c r="J113" s="261">
        <v>0.858</v>
      </c>
      <c r="K113" s="261">
        <v>0.895</v>
      </c>
      <c r="L113" s="261">
        <v>0.858</v>
      </c>
      <c r="M113" s="261">
        <v>0.858</v>
      </c>
      <c r="N113" s="261">
        <v>0.858</v>
      </c>
      <c r="O113" s="261">
        <v>0.858</v>
      </c>
      <c r="P113" s="261">
        <v>0.858</v>
      </c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</row>
    <row r="114" ht="15.75" customHeight="1">
      <c r="A114" s="260">
        <v>8.0</v>
      </c>
      <c r="B114" s="261">
        <v>0.864</v>
      </c>
      <c r="C114" s="261">
        <v>0.864</v>
      </c>
      <c r="D114" s="261">
        <v>0.858</v>
      </c>
      <c r="E114" s="261">
        <v>0.892</v>
      </c>
      <c r="F114" s="261">
        <v>0.858</v>
      </c>
      <c r="G114" s="261">
        <v>0.858</v>
      </c>
      <c r="H114" s="261">
        <v>0.858</v>
      </c>
      <c r="I114" s="261">
        <v>0.858</v>
      </c>
      <c r="J114" s="261">
        <v>0.858</v>
      </c>
      <c r="K114" s="261">
        <v>0.9</v>
      </c>
      <c r="L114" s="261">
        <v>0.858</v>
      </c>
      <c r="M114" s="261">
        <v>0.858</v>
      </c>
      <c r="N114" s="261">
        <v>0.858</v>
      </c>
      <c r="O114" s="261">
        <v>0.858</v>
      </c>
      <c r="P114" s="261">
        <v>0.858</v>
      </c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</row>
    <row r="115" ht="15.75" customHeight="1">
      <c r="A115" s="260">
        <v>9.0</v>
      </c>
      <c r="B115" s="261">
        <v>0.864</v>
      </c>
      <c r="C115" s="261">
        <v>0.864</v>
      </c>
      <c r="D115" s="261">
        <v>0.858</v>
      </c>
      <c r="E115" s="261">
        <v>0.892</v>
      </c>
      <c r="F115" s="261">
        <v>0.858</v>
      </c>
      <c r="G115" s="261">
        <v>0.858</v>
      </c>
      <c r="H115" s="261">
        <v>0.858</v>
      </c>
      <c r="I115" s="261">
        <v>0.858</v>
      </c>
      <c r="J115" s="261">
        <v>0.858</v>
      </c>
      <c r="K115" s="261">
        <v>0.9</v>
      </c>
      <c r="L115" s="261">
        <v>0.858</v>
      </c>
      <c r="M115" s="261">
        <v>0.858</v>
      </c>
      <c r="N115" s="261">
        <v>0.858</v>
      </c>
      <c r="O115" s="261">
        <v>0.858</v>
      </c>
      <c r="P115" s="261">
        <v>0.858</v>
      </c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</row>
    <row r="116" ht="15.75" customHeight="1">
      <c r="A116" s="260">
        <v>10.0</v>
      </c>
      <c r="B116" s="261">
        <v>0.864</v>
      </c>
      <c r="C116" s="261">
        <v>0.864</v>
      </c>
      <c r="D116" s="261">
        <v>0.858</v>
      </c>
      <c r="E116" s="261">
        <v>0.892</v>
      </c>
      <c r="F116" s="261">
        <v>0.858</v>
      </c>
      <c r="G116" s="261">
        <v>0.858</v>
      </c>
      <c r="H116" s="261">
        <v>0.858</v>
      </c>
      <c r="I116" s="261">
        <v>0.858</v>
      </c>
      <c r="J116" s="261">
        <v>0.858</v>
      </c>
      <c r="K116" s="261">
        <v>0.9</v>
      </c>
      <c r="L116" s="261">
        <v>0.858</v>
      </c>
      <c r="M116" s="261">
        <v>0.858</v>
      </c>
      <c r="N116" s="261">
        <v>0.858</v>
      </c>
      <c r="O116" s="261">
        <v>0.858</v>
      </c>
      <c r="P116" s="261">
        <v>0.858</v>
      </c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</row>
    <row r="117" ht="15.75" customHeight="1">
      <c r="A117" s="260">
        <v>11.0</v>
      </c>
      <c r="B117" s="261">
        <v>0.8475</v>
      </c>
      <c r="C117" s="261">
        <v>0.8475</v>
      </c>
      <c r="D117" s="261">
        <v>0.85</v>
      </c>
      <c r="E117" s="261">
        <v>0.8575</v>
      </c>
      <c r="F117" s="261">
        <v>0.85</v>
      </c>
      <c r="G117" s="261">
        <v>0.85</v>
      </c>
      <c r="H117" s="261">
        <v>0.85</v>
      </c>
      <c r="I117" s="261">
        <v>0.85</v>
      </c>
      <c r="J117" s="261">
        <v>0.85</v>
      </c>
      <c r="K117" s="261">
        <v>0.8575</v>
      </c>
      <c r="L117" s="261">
        <v>0.85</v>
      </c>
      <c r="M117" s="261">
        <v>0.85</v>
      </c>
      <c r="N117" s="261">
        <v>0.85</v>
      </c>
      <c r="O117" s="261">
        <v>0.85</v>
      </c>
      <c r="P117" s="261">
        <v>0.85</v>
      </c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</row>
    <row r="118" ht="15.75" customHeight="1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</row>
    <row r="119" ht="15.75" customHeight="1">
      <c r="A119" s="260" t="s">
        <v>64</v>
      </c>
      <c r="B119" s="138">
        <v>83.89</v>
      </c>
      <c r="C119" s="138">
        <v>90.11999999999999</v>
      </c>
      <c r="D119" s="138">
        <v>75.28999999999999</v>
      </c>
      <c r="E119" s="138">
        <v>99.38</v>
      </c>
      <c r="F119" s="138">
        <v>100.06</v>
      </c>
      <c r="G119" s="138">
        <v>97.71</v>
      </c>
      <c r="H119" s="138">
        <v>91.21000000000001</v>
      </c>
      <c r="I119" s="138">
        <v>96.83</v>
      </c>
      <c r="J119" s="138">
        <v>77.18</v>
      </c>
      <c r="K119" s="138">
        <v>113.75</v>
      </c>
      <c r="L119" s="138">
        <v>100.39</v>
      </c>
      <c r="M119" s="138">
        <v>138.56</v>
      </c>
      <c r="N119" s="138">
        <v>97.56</v>
      </c>
      <c r="O119" s="138">
        <v>104.22</v>
      </c>
      <c r="P119" s="138">
        <v>105.42999999999999</v>
      </c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</row>
    <row r="120" ht="15.75" customHeight="1">
      <c r="A120" s="260" t="s">
        <v>30</v>
      </c>
      <c r="B120" s="260">
        <f t="shared" ref="B120:P120" si="1">B3-B119</f>
        <v>19.24</v>
      </c>
      <c r="C120" s="260">
        <f t="shared" si="1"/>
        <v>20.67</v>
      </c>
      <c r="D120" s="260">
        <f t="shared" si="1"/>
        <v>16.84</v>
      </c>
      <c r="E120" s="260">
        <f t="shared" si="1"/>
        <v>20.4</v>
      </c>
      <c r="F120" s="260">
        <f t="shared" si="1"/>
        <v>21.8</v>
      </c>
      <c r="G120" s="260">
        <f t="shared" si="1"/>
        <v>21.29</v>
      </c>
      <c r="H120" s="260">
        <f t="shared" si="1"/>
        <v>19.88</v>
      </c>
      <c r="I120" s="260">
        <f t="shared" si="1"/>
        <v>21.1</v>
      </c>
      <c r="J120" s="260">
        <f t="shared" si="1"/>
        <v>16.81</v>
      </c>
      <c r="K120" s="260">
        <f t="shared" si="1"/>
        <v>23.83</v>
      </c>
      <c r="L120" s="260">
        <f t="shared" si="1"/>
        <v>21.88</v>
      </c>
      <c r="M120" s="260">
        <f t="shared" si="1"/>
        <v>30.19</v>
      </c>
      <c r="N120" s="260">
        <f t="shared" si="1"/>
        <v>21.26</v>
      </c>
      <c r="O120" s="260">
        <f t="shared" si="1"/>
        <v>22.71</v>
      </c>
      <c r="P120" s="260">
        <f t="shared" si="1"/>
        <v>22.97</v>
      </c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</row>
    <row r="121" ht="15.75" customHeight="1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</row>
    <row r="122" ht="15.75" customHeight="1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</row>
    <row r="123" ht="15.75" customHeight="1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</row>
    <row r="124" ht="15.75" customHeight="1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</row>
    <row r="125" ht="15.75" customHeight="1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</row>
    <row r="126" ht="15.75" customHeight="1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</row>
    <row r="127" ht="15.75" customHeight="1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</row>
    <row r="128" ht="15.75" customHeight="1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</row>
    <row r="129" ht="15.75" customHeight="1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</row>
    <row r="130" ht="15.75" customHeight="1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</row>
    <row r="131" ht="15.75" customHeight="1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</row>
    <row r="132" ht="15.75" customHeight="1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</row>
    <row r="133" ht="15.75" customHeight="1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</row>
    <row r="134" ht="15.75" customHeight="1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</row>
    <row r="135" ht="15.75" customHeight="1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</row>
    <row r="136" ht="15.75" customHeight="1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</row>
    <row r="137" ht="15.75" customHeight="1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</row>
    <row r="138" ht="15.75" customHeight="1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</row>
    <row r="139" ht="15.75" customHeight="1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</row>
    <row r="140" ht="15.75" customHeight="1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</row>
    <row r="141" ht="15.75" customHeight="1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</row>
    <row r="142" ht="15.75" customHeight="1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</row>
    <row r="143" ht="15.75" customHeight="1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</row>
    <row r="144" ht="15.75" customHeight="1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</row>
    <row r="145" ht="15.75" customHeight="1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</row>
    <row r="146" ht="15.75" customHeight="1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</row>
    <row r="147" ht="15.75" customHeight="1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</row>
    <row r="148" ht="15.75" customHeight="1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</row>
    <row r="149" ht="15.75" customHeight="1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</row>
    <row r="150" ht="15.75" customHeight="1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</row>
    <row r="151" ht="15.75" customHeight="1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</row>
    <row r="152" ht="15.75" customHeight="1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</row>
    <row r="153" ht="15.75" customHeight="1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</row>
    <row r="154" ht="15.75" customHeight="1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</row>
    <row r="155" ht="15.75" customHeight="1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</row>
    <row r="156" ht="15.75" customHeight="1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</row>
    <row r="157" ht="15.75" customHeight="1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</row>
    <row r="158" ht="15.75" customHeight="1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</row>
    <row r="159" ht="15.75" customHeight="1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</row>
    <row r="160" ht="15.75" customHeight="1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</row>
    <row r="161" ht="15.75" customHeight="1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</row>
    <row r="162" ht="15.75" customHeight="1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</row>
    <row r="163" ht="15.75" customHeight="1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</row>
    <row r="164" ht="15.75" customHeight="1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</row>
    <row r="165" ht="15.75" customHeight="1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</row>
    <row r="166" ht="15.75" customHeight="1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</row>
    <row r="167" ht="15.75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</row>
    <row r="168" ht="15.75" customHeight="1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</row>
    <row r="169" ht="15.75" customHeight="1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</row>
    <row r="170" ht="15.75" customHeight="1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ht="15.75" customHeight="1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</row>
    <row r="172" ht="15.75" customHeight="1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</row>
    <row r="173" ht="15.75" customHeight="1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ht="15.75" customHeight="1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</row>
    <row r="175" ht="15.75" customHeight="1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</row>
    <row r="176" ht="15.75" customHeight="1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ht="15.75" customHeight="1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</row>
    <row r="178" ht="15.75" customHeight="1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</row>
    <row r="179" ht="15.75" customHeight="1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</row>
    <row r="180" ht="15.75" customHeight="1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</row>
    <row r="181" ht="15.75" customHeight="1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</row>
    <row r="182" ht="15.75" customHeight="1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</row>
    <row r="183" ht="15.75" customHeight="1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</row>
    <row r="184" ht="15.75" customHeight="1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</row>
    <row r="185" ht="15.75" customHeight="1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</row>
    <row r="186" ht="15.75" customHeight="1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</row>
    <row r="187" ht="15.75" customHeight="1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</row>
    <row r="188" ht="15.75" customHeight="1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</row>
    <row r="189" ht="15.75" customHeight="1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</row>
    <row r="190" ht="15.75" customHeight="1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</row>
    <row r="191" ht="15.75" customHeight="1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</row>
    <row r="192" ht="15.75" customHeight="1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</row>
    <row r="193" ht="15.75" customHeight="1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</row>
    <row r="194" ht="15.75" customHeight="1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</row>
    <row r="195" ht="15.75" customHeight="1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</row>
    <row r="196" ht="15.75" customHeight="1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</row>
    <row r="197" ht="15.75" customHeight="1">
      <c r="A197" s="260"/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0"/>
    </row>
    <row r="198" ht="15.75" customHeight="1">
      <c r="A198" s="260"/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0"/>
    </row>
    <row r="199" ht="15.75" customHeight="1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</row>
    <row r="200" ht="15.75" customHeight="1">
      <c r="A200" s="260"/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0"/>
    </row>
    <row r="201" ht="15.75" customHeight="1">
      <c r="A201" s="260"/>
      <c r="B201" s="260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0"/>
    </row>
    <row r="202" ht="15.75" customHeight="1">
      <c r="A202" s="260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0"/>
    </row>
    <row r="203" ht="15.75" customHeight="1">
      <c r="A203" s="260"/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0"/>
    </row>
    <row r="204" ht="15.75" customHeight="1">
      <c r="A204" s="260"/>
      <c r="B204" s="260"/>
      <c r="C204" s="260"/>
      <c r="D204" s="260"/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0"/>
    </row>
    <row r="205" ht="15.75" customHeight="1">
      <c r="A205" s="260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0"/>
    </row>
    <row r="206" ht="15.75" customHeight="1">
      <c r="A206" s="260"/>
      <c r="B206" s="260"/>
      <c r="C206" s="260"/>
      <c r="D206" s="260"/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0"/>
    </row>
    <row r="207" ht="15.75" customHeight="1">
      <c r="A207" s="260"/>
      <c r="B207" s="260"/>
      <c r="C207" s="260"/>
      <c r="D207" s="260"/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0"/>
    </row>
    <row r="208" ht="15.75" customHeight="1">
      <c r="A208" s="260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0"/>
    </row>
    <row r="209" ht="15.75" customHeight="1">
      <c r="A209" s="260"/>
      <c r="B209" s="260"/>
      <c r="C209" s="260"/>
      <c r="D209" s="260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0"/>
    </row>
    <row r="210" ht="15.75" customHeight="1">
      <c r="A210" s="260"/>
      <c r="B210" s="260"/>
      <c r="C210" s="260"/>
      <c r="D210" s="260"/>
      <c r="E210" s="260"/>
      <c r="F210" s="260"/>
      <c r="G210" s="260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0"/>
    </row>
    <row r="211" ht="15.75" customHeight="1">
      <c r="A211" s="260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0"/>
    </row>
    <row r="212" ht="15.75" customHeight="1">
      <c r="A212" s="260"/>
      <c r="B212" s="260"/>
      <c r="C212" s="260"/>
      <c r="D212" s="260"/>
      <c r="E212" s="260"/>
      <c r="F212" s="260"/>
      <c r="G212" s="260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0"/>
    </row>
    <row r="213" ht="15.75" customHeight="1">
      <c r="A213" s="260"/>
      <c r="B213" s="260"/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0"/>
    </row>
    <row r="214" ht="15.75" customHeight="1">
      <c r="A214" s="260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0"/>
    </row>
    <row r="215" ht="15.75" customHeight="1">
      <c r="A215" s="260"/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0"/>
    </row>
    <row r="216" ht="15.75" customHeight="1">
      <c r="A216" s="260"/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0"/>
    </row>
    <row r="217" ht="15.75" customHeight="1">
      <c r="A217" s="260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0"/>
    </row>
    <row r="218" ht="15.75" customHeight="1">
      <c r="A218" s="260"/>
      <c r="B218" s="260"/>
      <c r="C218" s="260"/>
      <c r="D218" s="260"/>
      <c r="E218" s="260"/>
      <c r="F218" s="260"/>
      <c r="G218" s="260"/>
      <c r="H218" s="260"/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0"/>
    </row>
    <row r="219" ht="15.75" customHeight="1">
      <c r="A219" s="260"/>
      <c r="B219" s="260"/>
      <c r="C219" s="260"/>
      <c r="D219" s="260"/>
      <c r="E219" s="260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0"/>
    </row>
    <row r="220" ht="15.75" customHeight="1">
      <c r="A220" s="260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0"/>
    </row>
    <row r="221" ht="15.75" customHeight="1">
      <c r="A221" s="260"/>
      <c r="B221" s="260"/>
      <c r="C221" s="260"/>
      <c r="D221" s="260"/>
      <c r="E221" s="260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0"/>
    </row>
    <row r="222" ht="15.75" customHeight="1">
      <c r="A222" s="260"/>
      <c r="B222" s="260"/>
      <c r="C222" s="260"/>
      <c r="D222" s="260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0"/>
    </row>
    <row r="223" ht="15.75" customHeight="1">
      <c r="A223" s="260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0"/>
    </row>
    <row r="224" ht="15.75" customHeight="1">
      <c r="A224" s="260"/>
      <c r="B224" s="260"/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0"/>
    </row>
    <row r="225" ht="15.75" customHeight="1">
      <c r="A225" s="260"/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0"/>
    </row>
    <row r="226" ht="15.75" customHeight="1">
      <c r="A226" s="260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0"/>
    </row>
    <row r="227" ht="15.75" customHeight="1">
      <c r="A227" s="260"/>
      <c r="B227" s="260"/>
      <c r="C227" s="260"/>
      <c r="D227" s="260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0"/>
    </row>
    <row r="228" ht="15.75" customHeight="1">
      <c r="A228" s="260"/>
      <c r="B228" s="260"/>
      <c r="C228" s="260"/>
      <c r="D228" s="260"/>
      <c r="E228" s="260"/>
      <c r="F228" s="260"/>
      <c r="G228" s="260"/>
      <c r="H228" s="260"/>
      <c r="I228" s="260"/>
      <c r="J228" s="260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0"/>
    </row>
    <row r="229" ht="15.75" customHeight="1">
      <c r="A229" s="260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0"/>
    </row>
    <row r="230" ht="15.75" customHeight="1">
      <c r="A230" s="260"/>
      <c r="B230" s="260"/>
      <c r="C230" s="260"/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0"/>
    </row>
    <row r="231" ht="15.75" customHeight="1">
      <c r="A231" s="260"/>
      <c r="B231" s="260"/>
      <c r="C231" s="260"/>
      <c r="D231" s="260"/>
      <c r="E231" s="260"/>
      <c r="F231" s="260"/>
      <c r="G231" s="260"/>
      <c r="H231" s="260"/>
      <c r="I231" s="260"/>
      <c r="J231" s="260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0"/>
    </row>
    <row r="232" ht="15.75" customHeight="1">
      <c r="A232" s="260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0"/>
    </row>
    <row r="233" ht="15.75" customHeight="1">
      <c r="A233" s="260"/>
      <c r="B233" s="260"/>
      <c r="C233" s="260"/>
      <c r="D233" s="260"/>
      <c r="E233" s="260"/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0"/>
    </row>
    <row r="234" ht="15.75" customHeight="1">
      <c r="A234" s="260"/>
      <c r="B234" s="260"/>
      <c r="C234" s="260"/>
      <c r="D234" s="260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0"/>
    </row>
    <row r="235" ht="15.75" customHeight="1">
      <c r="A235" s="260"/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0"/>
    </row>
    <row r="236" ht="15.75" customHeight="1">
      <c r="A236" s="260"/>
      <c r="B236" s="260"/>
      <c r="C236" s="260"/>
      <c r="D236" s="260"/>
      <c r="E236" s="260"/>
      <c r="F236" s="260"/>
      <c r="G236" s="260"/>
      <c r="H236" s="260"/>
      <c r="I236" s="260"/>
      <c r="J236" s="260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0"/>
    </row>
    <row r="237" ht="15.75" customHeight="1">
      <c r="A237" s="260"/>
      <c r="B237" s="260"/>
      <c r="C237" s="260"/>
      <c r="D237" s="260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0"/>
    </row>
    <row r="238" ht="15.75" customHeight="1">
      <c r="A238" s="260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0"/>
    </row>
    <row r="239" ht="15.75" customHeight="1">
      <c r="A239" s="260"/>
      <c r="B239" s="260"/>
      <c r="C239" s="260"/>
      <c r="D239" s="260"/>
      <c r="E239" s="260"/>
      <c r="F239" s="260"/>
      <c r="G239" s="260"/>
      <c r="H239" s="260"/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0"/>
    </row>
    <row r="240" ht="15.75" customHeight="1">
      <c r="A240" s="260"/>
      <c r="B240" s="260"/>
      <c r="C240" s="260"/>
      <c r="D240" s="260"/>
      <c r="E240" s="260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0"/>
    </row>
    <row r="241" ht="15.75" customHeight="1">
      <c r="A241" s="260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0"/>
    </row>
    <row r="242" ht="15.75" customHeight="1">
      <c r="A242" s="260"/>
      <c r="B242" s="260"/>
      <c r="C242" s="260"/>
      <c r="D242" s="260"/>
      <c r="E242" s="260"/>
      <c r="F242" s="260"/>
      <c r="G242" s="260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0"/>
    </row>
    <row r="243" ht="15.75" customHeight="1">
      <c r="A243" s="260"/>
      <c r="B243" s="260"/>
      <c r="C243" s="260"/>
      <c r="D243" s="260"/>
      <c r="E243" s="260"/>
      <c r="F243" s="260"/>
      <c r="G243" s="260"/>
      <c r="H243" s="260"/>
      <c r="I243" s="260"/>
      <c r="J243" s="260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0"/>
    </row>
    <row r="244" ht="15.75" customHeight="1">
      <c r="A244" s="260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0"/>
    </row>
    <row r="245" ht="15.75" customHeight="1">
      <c r="A245" s="260"/>
      <c r="B245" s="260"/>
      <c r="C245" s="260"/>
      <c r="D245" s="260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0"/>
    </row>
    <row r="246" ht="15.75" customHeight="1">
      <c r="A246" s="260"/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0"/>
    </row>
    <row r="247" ht="15.75" customHeight="1">
      <c r="A247" s="260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0"/>
    </row>
    <row r="248" ht="15.75" customHeight="1">
      <c r="A248" s="260"/>
      <c r="B248" s="260"/>
      <c r="C248" s="260"/>
      <c r="D248" s="260"/>
      <c r="E248" s="260"/>
      <c r="F248" s="260"/>
      <c r="G248" s="260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0"/>
    </row>
    <row r="249" ht="15.75" customHeight="1">
      <c r="A249" s="260"/>
      <c r="B249" s="260"/>
      <c r="C249" s="260"/>
      <c r="D249" s="260"/>
      <c r="E249" s="260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0"/>
    </row>
    <row r="250" ht="15.75" customHeight="1">
      <c r="A250" s="260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0"/>
    </row>
    <row r="251" ht="15.75" customHeight="1">
      <c r="A251" s="260"/>
      <c r="B251" s="260"/>
      <c r="C251" s="260"/>
      <c r="D251" s="260"/>
      <c r="E251" s="260"/>
      <c r="F251" s="260"/>
      <c r="G251" s="260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0"/>
    </row>
    <row r="252" ht="15.75" customHeight="1">
      <c r="A252" s="260"/>
      <c r="B252" s="260"/>
      <c r="C252" s="260"/>
      <c r="D252" s="260"/>
      <c r="E252" s="260"/>
      <c r="F252" s="260"/>
      <c r="G252" s="260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0"/>
    </row>
    <row r="253" ht="15.75" customHeight="1">
      <c r="A253" s="260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0"/>
    </row>
    <row r="254" ht="15.75" customHeight="1">
      <c r="A254" s="260"/>
      <c r="B254" s="260"/>
      <c r="C254" s="260"/>
      <c r="D254" s="260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0"/>
    </row>
    <row r="255" ht="15.75" customHeight="1">
      <c r="A255" s="260"/>
      <c r="B255" s="260"/>
      <c r="C255" s="260"/>
      <c r="D255" s="260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0"/>
    </row>
    <row r="256" ht="15.75" customHeight="1">
      <c r="A256" s="260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0"/>
    </row>
    <row r="257" ht="15.75" customHeight="1">
      <c r="A257" s="260"/>
      <c r="B257" s="260"/>
      <c r="C257" s="260"/>
      <c r="D257" s="260"/>
      <c r="E257" s="260"/>
      <c r="F257" s="260"/>
      <c r="G257" s="260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0"/>
    </row>
    <row r="258" ht="15.75" customHeight="1">
      <c r="A258" s="260"/>
      <c r="B258" s="260"/>
      <c r="C258" s="260"/>
      <c r="D258" s="260"/>
      <c r="E258" s="260"/>
      <c r="F258" s="260"/>
      <c r="G258" s="260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0"/>
    </row>
    <row r="259" ht="15.75" customHeight="1">
      <c r="A259" s="260"/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0"/>
    </row>
    <row r="260" ht="15.75" customHeight="1">
      <c r="A260" s="260"/>
      <c r="B260" s="260"/>
      <c r="C260" s="260"/>
      <c r="D260" s="260"/>
      <c r="E260" s="260"/>
      <c r="F260" s="260"/>
      <c r="G260" s="260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0"/>
    </row>
    <row r="261" ht="15.75" customHeight="1">
      <c r="A261" s="260"/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0"/>
    </row>
    <row r="262" ht="15.75" customHeight="1">
      <c r="A262" s="260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0"/>
    </row>
    <row r="263" ht="15.75" customHeight="1">
      <c r="A263" s="260"/>
      <c r="B263" s="26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0"/>
    </row>
    <row r="264" ht="15.75" customHeight="1">
      <c r="A264" s="260"/>
      <c r="B264" s="260"/>
      <c r="C264" s="260"/>
      <c r="D264" s="260"/>
      <c r="E264" s="260"/>
      <c r="F264" s="260"/>
      <c r="G264" s="260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0"/>
    </row>
    <row r="265" ht="15.75" customHeight="1">
      <c r="A265" s="260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0"/>
    </row>
    <row r="266" ht="15.75" customHeight="1">
      <c r="A266" s="260"/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0"/>
    </row>
    <row r="267" ht="15.75" customHeight="1">
      <c r="A267" s="260"/>
      <c r="B267" s="260"/>
      <c r="C267" s="260"/>
      <c r="D267" s="260"/>
      <c r="E267" s="260"/>
      <c r="F267" s="260"/>
      <c r="G267" s="260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0"/>
    </row>
    <row r="268" ht="15.75" customHeight="1">
      <c r="A268" s="260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0"/>
    </row>
    <row r="269" ht="15.75" customHeight="1">
      <c r="A269" s="260"/>
      <c r="B269" s="260"/>
      <c r="C269" s="260"/>
      <c r="D269" s="260"/>
      <c r="E269" s="260"/>
      <c r="F269" s="260"/>
      <c r="G269" s="260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0"/>
    </row>
    <row r="270" ht="15.75" customHeight="1">
      <c r="A270" s="260"/>
      <c r="B270" s="260"/>
      <c r="C270" s="260"/>
      <c r="D270" s="260"/>
      <c r="E270" s="260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0"/>
    </row>
    <row r="271" ht="15.75" customHeight="1">
      <c r="A271" s="260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0"/>
    </row>
    <row r="272" ht="15.75" customHeight="1">
      <c r="A272" s="260"/>
      <c r="B272" s="260"/>
      <c r="C272" s="260"/>
      <c r="D272" s="260"/>
      <c r="E272" s="260"/>
      <c r="F272" s="260"/>
      <c r="G272" s="260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</row>
    <row r="273" ht="15.75" customHeight="1">
      <c r="A273" s="260"/>
      <c r="B273" s="260"/>
      <c r="C273" s="260"/>
      <c r="D273" s="260"/>
      <c r="E273" s="260"/>
      <c r="F273" s="260"/>
      <c r="G273" s="260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</row>
    <row r="274" ht="15.75" customHeight="1">
      <c r="A274" s="260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0"/>
    </row>
    <row r="275" ht="15.75" customHeight="1">
      <c r="A275" s="260"/>
      <c r="B275" s="260"/>
      <c r="C275" s="260"/>
      <c r="D275" s="260"/>
      <c r="E275" s="260"/>
      <c r="F275" s="260"/>
      <c r="G275" s="260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0"/>
    </row>
    <row r="276" ht="15.75" customHeight="1">
      <c r="A276" s="260"/>
      <c r="B276" s="260"/>
      <c r="C276" s="260"/>
      <c r="D276" s="260"/>
      <c r="E276" s="260"/>
      <c r="F276" s="260"/>
      <c r="G276" s="260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0"/>
    </row>
    <row r="277" ht="15.75" customHeight="1">
      <c r="A277" s="260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0"/>
    </row>
    <row r="278" ht="15.75" customHeight="1">
      <c r="A278" s="260"/>
      <c r="B278" s="260"/>
      <c r="C278" s="260"/>
      <c r="D278" s="260"/>
      <c r="E278" s="260"/>
      <c r="F278" s="260"/>
      <c r="G278" s="260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0"/>
    </row>
    <row r="279" ht="15.75" customHeight="1">
      <c r="A279" s="260"/>
      <c r="B279" s="260"/>
      <c r="C279" s="260"/>
      <c r="D279" s="260"/>
      <c r="E279" s="260"/>
      <c r="F279" s="260"/>
      <c r="G279" s="260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0"/>
    </row>
    <row r="280" ht="15.75" customHeight="1">
      <c r="A280" s="260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0"/>
    </row>
    <row r="281" ht="15.75" customHeight="1">
      <c r="A281" s="260"/>
      <c r="B281" s="260"/>
      <c r="C281" s="260"/>
      <c r="D281" s="260"/>
      <c r="E281" s="260"/>
      <c r="F281" s="260"/>
      <c r="G281" s="260"/>
      <c r="H281" s="260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0"/>
    </row>
    <row r="282" ht="15.75" customHeight="1">
      <c r="A282" s="260"/>
      <c r="B282" s="260"/>
      <c r="C282" s="260"/>
      <c r="D282" s="260"/>
      <c r="E282" s="260"/>
      <c r="F282" s="260"/>
      <c r="G282" s="260"/>
      <c r="H282" s="260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0"/>
    </row>
    <row r="283" ht="15.75" customHeight="1">
      <c r="A283" s="260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0"/>
    </row>
    <row r="284" ht="15.75" customHeight="1">
      <c r="A284" s="260"/>
      <c r="B284" s="260"/>
      <c r="C284" s="260"/>
      <c r="D284" s="260"/>
      <c r="E284" s="260"/>
      <c r="F284" s="260"/>
      <c r="G284" s="260"/>
      <c r="H284" s="260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0"/>
    </row>
    <row r="285" ht="15.75" customHeight="1">
      <c r="A285" s="260"/>
      <c r="B285" s="260"/>
      <c r="C285" s="260"/>
      <c r="D285" s="260"/>
      <c r="E285" s="260"/>
      <c r="F285" s="260"/>
      <c r="G285" s="260"/>
      <c r="H285" s="260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0"/>
    </row>
    <row r="286" ht="15.75" customHeight="1">
      <c r="A286" s="260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0"/>
    </row>
    <row r="287" ht="15.75" customHeight="1">
      <c r="A287" s="260"/>
      <c r="B287" s="260"/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0"/>
    </row>
    <row r="288" ht="15.75" customHeight="1">
      <c r="A288" s="260"/>
      <c r="B288" s="260"/>
      <c r="C288" s="260"/>
      <c r="D288" s="260"/>
      <c r="E288" s="260"/>
      <c r="F288" s="260"/>
      <c r="G288" s="260"/>
      <c r="H288" s="260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0"/>
    </row>
    <row r="289" ht="15.75" customHeight="1">
      <c r="A289" s="260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0"/>
    </row>
    <row r="290" ht="15.75" customHeight="1">
      <c r="A290" s="260"/>
      <c r="B290" s="260"/>
      <c r="C290" s="260"/>
      <c r="D290" s="260"/>
      <c r="E290" s="260"/>
      <c r="F290" s="260"/>
      <c r="G290" s="260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0"/>
    </row>
    <row r="291" ht="15.75" customHeight="1">
      <c r="A291" s="260"/>
      <c r="B291" s="260"/>
      <c r="C291" s="260"/>
      <c r="D291" s="260"/>
      <c r="E291" s="260"/>
      <c r="F291" s="260"/>
      <c r="G291" s="260"/>
      <c r="H291" s="260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0"/>
    </row>
    <row r="292" ht="15.75" customHeight="1">
      <c r="A292" s="260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0"/>
    </row>
    <row r="293" ht="15.75" customHeight="1">
      <c r="A293" s="260"/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0"/>
    </row>
    <row r="294" ht="15.75" customHeight="1">
      <c r="A294" s="260"/>
      <c r="B294" s="260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0"/>
    </row>
    <row r="295" ht="15.75" customHeight="1">
      <c r="A295" s="260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0"/>
    </row>
    <row r="296" ht="15.75" customHeight="1">
      <c r="A296" s="260"/>
      <c r="B296" s="260"/>
      <c r="C296" s="260"/>
      <c r="D296" s="260"/>
      <c r="E296" s="260"/>
      <c r="F296" s="260"/>
      <c r="G296" s="260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0"/>
    </row>
    <row r="297" ht="15.75" customHeight="1">
      <c r="A297" s="260"/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0"/>
    </row>
    <row r="298" ht="15.75" customHeight="1">
      <c r="A298" s="260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0"/>
    </row>
    <row r="299" ht="15.75" customHeight="1">
      <c r="A299" s="260"/>
      <c r="B299" s="260"/>
      <c r="C299" s="260"/>
      <c r="D299" s="260"/>
      <c r="E299" s="260"/>
      <c r="F299" s="260"/>
      <c r="G299" s="260"/>
      <c r="H299" s="260"/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0"/>
    </row>
    <row r="300" ht="15.75" customHeight="1">
      <c r="A300" s="260"/>
      <c r="B300" s="260"/>
      <c r="C300" s="260"/>
      <c r="D300" s="260"/>
      <c r="E300" s="260"/>
      <c r="F300" s="260"/>
      <c r="G300" s="260"/>
      <c r="H300" s="260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0"/>
    </row>
    <row r="301" ht="15.75" customHeight="1">
      <c r="A301" s="260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0"/>
    </row>
    <row r="302" ht="15.75" customHeight="1">
      <c r="A302" s="260"/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0"/>
    </row>
    <row r="303" ht="15.75" customHeight="1">
      <c r="A303" s="260"/>
      <c r="B303" s="260"/>
      <c r="C303" s="260"/>
      <c r="D303" s="260"/>
      <c r="E303" s="260"/>
      <c r="F303" s="260"/>
      <c r="G303" s="260"/>
      <c r="H303" s="260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0"/>
    </row>
    <row r="304" ht="15.75" customHeight="1">
      <c r="A304" s="260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0"/>
    </row>
    <row r="305" ht="15.75" customHeight="1">
      <c r="A305" s="260"/>
      <c r="B305" s="260"/>
      <c r="C305" s="260"/>
      <c r="D305" s="260"/>
      <c r="E305" s="260"/>
      <c r="F305" s="260"/>
      <c r="G305" s="260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0"/>
    </row>
    <row r="306" ht="15.75" customHeight="1">
      <c r="A306" s="260"/>
      <c r="B306" s="260"/>
      <c r="C306" s="260"/>
      <c r="D306" s="260"/>
      <c r="E306" s="260"/>
      <c r="F306" s="260"/>
      <c r="G306" s="260"/>
      <c r="H306" s="260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0"/>
    </row>
    <row r="307" ht="15.75" customHeight="1">
      <c r="A307" s="260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0"/>
    </row>
    <row r="308" ht="15.75" customHeight="1">
      <c r="A308" s="260"/>
      <c r="B308" s="260"/>
      <c r="C308" s="260"/>
      <c r="D308" s="260"/>
      <c r="E308" s="260"/>
      <c r="F308" s="260"/>
      <c r="G308" s="260"/>
      <c r="H308" s="260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0"/>
    </row>
    <row r="309" ht="15.75" customHeight="1">
      <c r="A309" s="260"/>
      <c r="B309" s="260"/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0"/>
    </row>
    <row r="310" ht="15.75" customHeight="1">
      <c r="A310" s="260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0"/>
    </row>
    <row r="311" ht="15.75" customHeight="1">
      <c r="A311" s="260"/>
      <c r="B311" s="260"/>
      <c r="C311" s="260"/>
      <c r="D311" s="260"/>
      <c r="E311" s="260"/>
      <c r="F311" s="260"/>
      <c r="G311" s="260"/>
      <c r="H311" s="260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0"/>
    </row>
    <row r="312" ht="15.75" customHeight="1">
      <c r="A312" s="260"/>
      <c r="B312" s="260"/>
      <c r="C312" s="260"/>
      <c r="D312" s="260"/>
      <c r="E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0"/>
    </row>
    <row r="313" ht="15.75" customHeight="1">
      <c r="A313" s="260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0"/>
    </row>
    <row r="314" ht="15.75" customHeight="1">
      <c r="A314" s="260"/>
      <c r="B314" s="260"/>
      <c r="C314" s="260"/>
      <c r="D314" s="260"/>
      <c r="E314" s="260"/>
      <c r="F314" s="260"/>
      <c r="G314" s="260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0"/>
    </row>
    <row r="315" ht="15.75" customHeight="1">
      <c r="A315" s="260"/>
      <c r="B315" s="260"/>
      <c r="C315" s="260"/>
      <c r="D315" s="260"/>
      <c r="E315" s="260"/>
      <c r="F315" s="260"/>
      <c r="G315" s="260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0"/>
    </row>
    <row r="316" ht="15.75" customHeight="1">
      <c r="A316" s="260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0"/>
    </row>
    <row r="317" ht="15.75" customHeight="1">
      <c r="A317" s="260"/>
      <c r="B317" s="260"/>
      <c r="C317" s="260"/>
      <c r="D317" s="260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0"/>
    </row>
    <row r="318" ht="15.75" customHeight="1">
      <c r="A318" s="260"/>
      <c r="B318" s="260"/>
      <c r="C318" s="260"/>
      <c r="D318" s="260"/>
      <c r="E318" s="260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0"/>
    </row>
    <row r="319" ht="15.75" customHeight="1">
      <c r="A319" s="260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0"/>
    </row>
    <row r="320" ht="15.75" customHeight="1">
      <c r="A320" s="260"/>
      <c r="B320" s="260"/>
      <c r="C320" s="260"/>
      <c r="D320" s="260"/>
      <c r="E320" s="260"/>
      <c r="F320" s="260"/>
      <c r="G320" s="260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0"/>
    </row>
    <row r="321" ht="15.75" customHeight="1">
      <c r="A321" s="260"/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0"/>
    </row>
    <row r="322" ht="15.75" customHeight="1">
      <c r="A322" s="260"/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0"/>
    </row>
    <row r="323" ht="15.75" customHeight="1">
      <c r="A323" s="260"/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0"/>
    </row>
    <row r="324" ht="15.75" customHeight="1">
      <c r="A324" s="260"/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0"/>
    </row>
    <row r="325" ht="15.75" customHeight="1">
      <c r="A325" s="260"/>
      <c r="B325" s="260"/>
      <c r="C325" s="260"/>
      <c r="D325" s="260"/>
      <c r="E325" s="260"/>
      <c r="F325" s="260"/>
      <c r="G325" s="260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0"/>
    </row>
    <row r="326" ht="15.75" customHeight="1">
      <c r="A326" s="260"/>
      <c r="B326" s="260"/>
      <c r="C326" s="260"/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0"/>
    </row>
    <row r="327" ht="15.75" customHeight="1">
      <c r="A327" s="260"/>
      <c r="B327" s="260"/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0"/>
    </row>
    <row r="328" ht="15.75" customHeight="1">
      <c r="A328" s="260"/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0"/>
    </row>
    <row r="329" ht="15.75" customHeight="1">
      <c r="A329" s="260"/>
      <c r="B329" s="260"/>
      <c r="C329" s="260"/>
      <c r="D329" s="260"/>
      <c r="E329" s="260"/>
      <c r="F329" s="260"/>
      <c r="G329" s="260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0"/>
    </row>
    <row r="330" ht="15.75" customHeight="1">
      <c r="A330" s="260"/>
      <c r="B330" s="260"/>
      <c r="C330" s="260"/>
      <c r="D330" s="260"/>
      <c r="E330" s="260"/>
      <c r="F330" s="260"/>
      <c r="G330" s="260"/>
      <c r="H330" s="260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0"/>
    </row>
    <row r="331" ht="15.75" customHeight="1">
      <c r="A331" s="260"/>
      <c r="B331" s="260"/>
      <c r="C331" s="260"/>
      <c r="D331" s="260"/>
      <c r="E331" s="260"/>
      <c r="F331" s="260"/>
      <c r="G331" s="260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0"/>
    </row>
    <row r="332" ht="15.75" customHeight="1">
      <c r="A332" s="260"/>
      <c r="B332" s="260"/>
      <c r="C332" s="260"/>
      <c r="D332" s="260"/>
      <c r="E332" s="260"/>
      <c r="F332" s="260"/>
      <c r="G332" s="260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0"/>
    </row>
    <row r="333" ht="15.75" customHeight="1">
      <c r="A333" s="260"/>
      <c r="B333" s="260"/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0"/>
    </row>
    <row r="334" ht="15.75" customHeight="1">
      <c r="A334" s="260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0"/>
    </row>
    <row r="335" ht="15.75" customHeight="1">
      <c r="A335" s="260"/>
      <c r="B335" s="260"/>
      <c r="C335" s="260"/>
      <c r="D335" s="260"/>
      <c r="E335" s="260"/>
      <c r="F335" s="260"/>
      <c r="G335" s="260"/>
      <c r="H335" s="260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0"/>
    </row>
    <row r="336" ht="15.75" customHeight="1">
      <c r="A336" s="260"/>
      <c r="B336" s="260"/>
      <c r="C336" s="260"/>
      <c r="D336" s="260"/>
      <c r="E336" s="260"/>
      <c r="F336" s="260"/>
      <c r="G336" s="260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0"/>
    </row>
    <row r="337" ht="15.75" customHeight="1">
      <c r="A337" s="260"/>
      <c r="B337" s="260"/>
      <c r="C337" s="260"/>
      <c r="D337" s="260"/>
      <c r="E337" s="260"/>
      <c r="F337" s="260"/>
      <c r="G337" s="260"/>
      <c r="H337" s="260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0"/>
    </row>
    <row r="338" ht="15.75" customHeight="1">
      <c r="A338" s="260"/>
      <c r="B338" s="260"/>
      <c r="C338" s="260"/>
      <c r="D338" s="260"/>
      <c r="E338" s="260"/>
      <c r="F338" s="260"/>
      <c r="G338" s="260"/>
      <c r="H338" s="260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0"/>
    </row>
    <row r="339" ht="15.75" customHeight="1">
      <c r="A339" s="260"/>
      <c r="B339" s="260"/>
      <c r="C339" s="260"/>
      <c r="D339" s="260"/>
      <c r="E339" s="260"/>
      <c r="F339" s="260"/>
      <c r="G339" s="260"/>
      <c r="H339" s="260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0"/>
    </row>
    <row r="340" ht="15.75" customHeight="1">
      <c r="A340" s="260"/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0"/>
    </row>
    <row r="341" ht="15.75" customHeight="1">
      <c r="A341" s="260"/>
      <c r="B341" s="260"/>
      <c r="C341" s="260"/>
      <c r="D341" s="260"/>
      <c r="E341" s="260"/>
      <c r="F341" s="260"/>
      <c r="G341" s="260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0"/>
    </row>
    <row r="342" ht="15.75" customHeight="1">
      <c r="A342" s="260"/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0"/>
    </row>
    <row r="343" ht="15.75" customHeight="1">
      <c r="A343" s="260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0"/>
    </row>
    <row r="344" ht="15.75" customHeight="1">
      <c r="A344" s="260"/>
      <c r="B344" s="260"/>
      <c r="C344" s="260"/>
      <c r="D344" s="260"/>
      <c r="E344" s="260"/>
      <c r="F344" s="260"/>
      <c r="G344" s="260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0"/>
    </row>
    <row r="345" ht="15.75" customHeight="1">
      <c r="A345" s="260"/>
      <c r="B345" s="260"/>
      <c r="C345" s="260"/>
      <c r="D345" s="260"/>
      <c r="E345" s="260"/>
      <c r="F345" s="260"/>
      <c r="G345" s="260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0"/>
    </row>
    <row r="346" ht="15.75" customHeight="1">
      <c r="A346" s="260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0"/>
    </row>
    <row r="347" ht="15.75" customHeight="1">
      <c r="A347" s="260"/>
      <c r="B347" s="260"/>
      <c r="C347" s="260"/>
      <c r="D347" s="260"/>
      <c r="E347" s="260"/>
      <c r="F347" s="260"/>
      <c r="G347" s="260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0"/>
    </row>
    <row r="348" ht="15.75" customHeight="1">
      <c r="A348" s="260"/>
      <c r="B348" s="260"/>
      <c r="C348" s="260"/>
      <c r="D348" s="260"/>
      <c r="E348" s="260"/>
      <c r="F348" s="260"/>
      <c r="G348" s="260"/>
      <c r="H348" s="260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0"/>
    </row>
    <row r="349" ht="15.75" customHeight="1">
      <c r="A349" s="260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0"/>
    </row>
    <row r="350" ht="15.75" customHeight="1">
      <c r="A350" s="260"/>
      <c r="B350" s="260"/>
      <c r="C350" s="260"/>
      <c r="D350" s="260"/>
      <c r="E350" s="260"/>
      <c r="F350" s="260"/>
      <c r="G350" s="260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0"/>
    </row>
    <row r="351" ht="15.75" customHeight="1">
      <c r="A351" s="260"/>
      <c r="B351" s="260"/>
      <c r="C351" s="260"/>
      <c r="D351" s="260"/>
      <c r="E351" s="260"/>
      <c r="F351" s="260"/>
      <c r="G351" s="260"/>
      <c r="H351" s="260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0"/>
    </row>
    <row r="352" ht="15.75" customHeight="1">
      <c r="A352" s="260"/>
      <c r="B352" s="260"/>
      <c r="C352" s="260"/>
      <c r="D352" s="260"/>
      <c r="E352" s="260"/>
      <c r="F352" s="260"/>
      <c r="G352" s="260"/>
      <c r="H352" s="260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0"/>
    </row>
    <row r="353" ht="15.75" customHeight="1">
      <c r="A353" s="260"/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0"/>
    </row>
    <row r="354" ht="15.75" customHeight="1">
      <c r="A354" s="260"/>
      <c r="B354" s="260"/>
      <c r="C354" s="260"/>
      <c r="D354" s="260"/>
      <c r="E354" s="260"/>
      <c r="F354" s="260"/>
      <c r="G354" s="260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0"/>
    </row>
    <row r="355" ht="15.75" customHeight="1">
      <c r="A355" s="260"/>
      <c r="B355" s="260"/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0"/>
    </row>
    <row r="356" ht="15.75" customHeight="1">
      <c r="A356" s="260"/>
      <c r="B356" s="260"/>
      <c r="C356" s="260"/>
      <c r="D356" s="260"/>
      <c r="E356" s="260"/>
      <c r="F356" s="260"/>
      <c r="G356" s="260"/>
      <c r="H356" s="260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0"/>
    </row>
    <row r="357" ht="15.75" customHeight="1">
      <c r="A357" s="260"/>
      <c r="B357" s="260"/>
      <c r="C357" s="260"/>
      <c r="D357" s="260"/>
      <c r="E357" s="260"/>
      <c r="F357" s="260"/>
      <c r="G357" s="260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0"/>
    </row>
    <row r="358" ht="15.75" customHeight="1">
      <c r="A358" s="260"/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0"/>
    </row>
    <row r="359" ht="15.75" customHeight="1">
      <c r="A359" s="260"/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0"/>
    </row>
    <row r="360" ht="15.75" customHeight="1">
      <c r="A360" s="260"/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0"/>
    </row>
    <row r="361" ht="15.75" customHeight="1">
      <c r="A361" s="260"/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0"/>
    </row>
    <row r="362" ht="15.75" customHeight="1">
      <c r="A362" s="260"/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0"/>
    </row>
    <row r="363" ht="15.75" customHeight="1">
      <c r="A363" s="260"/>
      <c r="B363" s="260"/>
      <c r="C363" s="260"/>
      <c r="D363" s="260"/>
      <c r="E363" s="260"/>
      <c r="F363" s="260"/>
      <c r="G363" s="260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0"/>
    </row>
    <row r="364" ht="15.75" customHeight="1">
      <c r="A364" s="260"/>
      <c r="B364" s="260"/>
      <c r="C364" s="260"/>
      <c r="D364" s="260"/>
      <c r="E364" s="260"/>
      <c r="F364" s="260"/>
      <c r="G364" s="260"/>
      <c r="H364" s="260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0"/>
    </row>
    <row r="365" ht="15.75" customHeight="1">
      <c r="A365" s="260"/>
      <c r="B365" s="260"/>
      <c r="C365" s="260"/>
      <c r="D365" s="260"/>
      <c r="E365" s="260"/>
      <c r="F365" s="260"/>
      <c r="G365" s="260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0"/>
    </row>
    <row r="366" ht="15.75" customHeight="1">
      <c r="A366" s="260"/>
      <c r="B366" s="260"/>
      <c r="C366" s="260"/>
      <c r="D366" s="260"/>
      <c r="E366" s="260"/>
      <c r="F366" s="260"/>
      <c r="G366" s="260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0"/>
    </row>
    <row r="367" ht="15.75" customHeight="1">
      <c r="A367" s="260"/>
      <c r="B367" s="260"/>
      <c r="C367" s="260"/>
      <c r="D367" s="260"/>
      <c r="E367" s="260"/>
      <c r="F367" s="260"/>
      <c r="G367" s="260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0"/>
    </row>
    <row r="368" ht="15.75" customHeight="1">
      <c r="A368" s="260"/>
      <c r="B368" s="260"/>
      <c r="C368" s="260"/>
      <c r="D368" s="260"/>
      <c r="E368" s="260"/>
      <c r="F368" s="260"/>
      <c r="G368" s="260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</row>
    <row r="369" ht="15.75" customHeight="1">
      <c r="A369" s="260"/>
      <c r="B369" s="260"/>
      <c r="C369" s="260"/>
      <c r="D369" s="260"/>
      <c r="E369" s="260"/>
      <c r="F369" s="260"/>
      <c r="G369" s="260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0"/>
    </row>
    <row r="370" ht="15.75" customHeight="1">
      <c r="A370" s="260"/>
      <c r="B370" s="260"/>
      <c r="C370" s="260"/>
      <c r="D370" s="260"/>
      <c r="E370" s="260"/>
      <c r="F370" s="260"/>
      <c r="G370" s="260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0"/>
    </row>
    <row r="371" ht="15.75" customHeight="1">
      <c r="A371" s="260"/>
      <c r="B371" s="260"/>
      <c r="C371" s="260"/>
      <c r="D371" s="260"/>
      <c r="E371" s="260"/>
      <c r="F371" s="260"/>
      <c r="G371" s="260"/>
      <c r="H371" s="260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0"/>
    </row>
    <row r="372" ht="15.75" customHeight="1">
      <c r="A372" s="260"/>
      <c r="B372" s="260"/>
      <c r="C372" s="260"/>
      <c r="D372" s="260"/>
      <c r="E372" s="260"/>
      <c r="F372" s="260"/>
      <c r="G372" s="260"/>
      <c r="H372" s="260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</row>
    <row r="373" ht="15.75" customHeight="1">
      <c r="A373" s="260"/>
      <c r="B373" s="260"/>
      <c r="C373" s="260"/>
      <c r="D373" s="260"/>
      <c r="E373" s="260"/>
      <c r="F373" s="260"/>
      <c r="G373" s="260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0"/>
    </row>
    <row r="374" ht="15.75" customHeight="1">
      <c r="A374" s="260"/>
      <c r="B374" s="260"/>
      <c r="C374" s="260"/>
      <c r="D374" s="260"/>
      <c r="E374" s="260"/>
      <c r="F374" s="260"/>
      <c r="G374" s="260"/>
      <c r="H374" s="260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0"/>
    </row>
    <row r="375" ht="15.75" customHeight="1">
      <c r="A375" s="260"/>
      <c r="B375" s="260"/>
      <c r="C375" s="260"/>
      <c r="D375" s="260"/>
      <c r="E375" s="260"/>
      <c r="F375" s="260"/>
      <c r="G375" s="260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0"/>
    </row>
    <row r="376" ht="15.75" customHeight="1">
      <c r="A376" s="260"/>
      <c r="B376" s="260"/>
      <c r="C376" s="260"/>
      <c r="D376" s="260"/>
      <c r="E376" s="260"/>
      <c r="F376" s="260"/>
      <c r="G376" s="260"/>
      <c r="H376" s="260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0"/>
    </row>
    <row r="377" ht="15.75" customHeight="1">
      <c r="A377" s="260"/>
      <c r="B377" s="260"/>
      <c r="C377" s="260"/>
      <c r="D377" s="260"/>
      <c r="E377" s="260"/>
      <c r="F377" s="260"/>
      <c r="G377" s="260"/>
      <c r="H377" s="260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0"/>
    </row>
    <row r="378" ht="15.75" customHeight="1">
      <c r="A378" s="260"/>
      <c r="B378" s="260"/>
      <c r="C378" s="260"/>
      <c r="D378" s="260"/>
      <c r="E378" s="260"/>
      <c r="F378" s="260"/>
      <c r="G378" s="260"/>
      <c r="H378" s="260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0"/>
    </row>
    <row r="379" ht="15.75" customHeight="1">
      <c r="A379" s="260"/>
      <c r="B379" s="260"/>
      <c r="C379" s="260"/>
      <c r="D379" s="260"/>
      <c r="E379" s="260"/>
      <c r="F379" s="260"/>
      <c r="G379" s="260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0"/>
    </row>
    <row r="380" ht="15.75" customHeight="1">
      <c r="A380" s="260"/>
      <c r="B380" s="260"/>
      <c r="C380" s="260"/>
      <c r="D380" s="260"/>
      <c r="E380" s="260"/>
      <c r="F380" s="260"/>
      <c r="G380" s="260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0"/>
    </row>
    <row r="381" ht="15.75" customHeight="1">
      <c r="A381" s="260"/>
      <c r="B381" s="260"/>
      <c r="C381" s="260"/>
      <c r="D381" s="260"/>
      <c r="E381" s="260"/>
      <c r="F381" s="260"/>
      <c r="G381" s="260"/>
      <c r="H381" s="260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0"/>
    </row>
    <row r="382" ht="15.75" customHeight="1">
      <c r="A382" s="260"/>
      <c r="B382" s="260"/>
      <c r="C382" s="260"/>
      <c r="D382" s="260"/>
      <c r="E382" s="260"/>
      <c r="F382" s="260"/>
      <c r="G382" s="260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0"/>
    </row>
    <row r="383" ht="15.75" customHeight="1">
      <c r="A383" s="260"/>
      <c r="B383" s="260"/>
      <c r="C383" s="260"/>
      <c r="D383" s="260"/>
      <c r="E383" s="260"/>
      <c r="F383" s="260"/>
      <c r="G383" s="260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0"/>
    </row>
    <row r="384" ht="15.75" customHeight="1">
      <c r="A384" s="260"/>
      <c r="B384" s="260"/>
      <c r="C384" s="260"/>
      <c r="D384" s="260"/>
      <c r="E384" s="260"/>
      <c r="F384" s="260"/>
      <c r="G384" s="260"/>
      <c r="H384" s="260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0"/>
    </row>
    <row r="385" ht="15.75" customHeight="1">
      <c r="A385" s="260"/>
      <c r="B385" s="260"/>
      <c r="C385" s="260"/>
      <c r="D385" s="260"/>
      <c r="E385" s="260"/>
      <c r="F385" s="260"/>
      <c r="G385" s="260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0"/>
    </row>
    <row r="386" ht="15.75" customHeight="1">
      <c r="A386" s="260"/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0"/>
    </row>
    <row r="387" ht="15.75" customHeight="1">
      <c r="A387" s="260"/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</row>
    <row r="388" ht="15.75" customHeight="1">
      <c r="A388" s="260"/>
      <c r="B388" s="260"/>
      <c r="C388" s="260"/>
      <c r="D388" s="260"/>
      <c r="E388" s="260"/>
      <c r="F388" s="260"/>
      <c r="G388" s="260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0"/>
    </row>
    <row r="389" ht="15.75" customHeight="1">
      <c r="A389" s="260"/>
      <c r="B389" s="260"/>
      <c r="C389" s="260"/>
      <c r="D389" s="260"/>
      <c r="E389" s="260"/>
      <c r="F389" s="260"/>
      <c r="G389" s="260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0"/>
    </row>
    <row r="390" ht="15.75" customHeight="1">
      <c r="A390" s="260"/>
      <c r="B390" s="260"/>
      <c r="C390" s="260"/>
      <c r="D390" s="260"/>
      <c r="E390" s="260"/>
      <c r="F390" s="260"/>
      <c r="G390" s="260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0"/>
    </row>
    <row r="391" ht="15.75" customHeight="1">
      <c r="A391" s="260"/>
      <c r="B391" s="260"/>
      <c r="C391" s="260"/>
      <c r="D391" s="260"/>
      <c r="E391" s="260"/>
      <c r="F391" s="260"/>
      <c r="G391" s="260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0"/>
    </row>
    <row r="392" ht="15.75" customHeight="1">
      <c r="A392" s="260"/>
      <c r="B392" s="260"/>
      <c r="C392" s="260"/>
      <c r="D392" s="260"/>
      <c r="E392" s="260"/>
      <c r="F392" s="260"/>
      <c r="G392" s="260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0"/>
    </row>
    <row r="393" ht="15.75" customHeight="1">
      <c r="A393" s="260"/>
      <c r="B393" s="260"/>
      <c r="C393" s="260"/>
      <c r="D393" s="260"/>
      <c r="E393" s="260"/>
      <c r="F393" s="260"/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</row>
    <row r="394" ht="15.75" customHeight="1">
      <c r="A394" s="260"/>
      <c r="B394" s="260"/>
      <c r="C394" s="260"/>
      <c r="D394" s="260"/>
      <c r="E394" s="260"/>
      <c r="F394" s="260"/>
      <c r="G394" s="260"/>
      <c r="H394" s="260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0"/>
    </row>
    <row r="395" ht="15.75" customHeight="1">
      <c r="A395" s="260"/>
      <c r="B395" s="260"/>
      <c r="C395" s="260"/>
      <c r="D395" s="260"/>
      <c r="E395" s="260"/>
      <c r="F395" s="260"/>
      <c r="G395" s="260"/>
      <c r="H395" s="260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0"/>
    </row>
    <row r="396" ht="15.75" customHeight="1">
      <c r="A396" s="260"/>
      <c r="B396" s="260"/>
      <c r="C396" s="260"/>
      <c r="D396" s="260"/>
      <c r="E396" s="260"/>
      <c r="F396" s="260"/>
      <c r="G396" s="260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0"/>
    </row>
    <row r="397" ht="15.75" customHeight="1">
      <c r="A397" s="260"/>
      <c r="B397" s="260"/>
      <c r="C397" s="260"/>
      <c r="D397" s="260"/>
      <c r="E397" s="260"/>
      <c r="F397" s="260"/>
      <c r="G397" s="260"/>
      <c r="H397" s="260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0"/>
    </row>
    <row r="398" ht="15.75" customHeight="1">
      <c r="A398" s="260"/>
      <c r="B398" s="260"/>
      <c r="C398" s="260"/>
      <c r="D398" s="260"/>
      <c r="E398" s="260"/>
      <c r="F398" s="260"/>
      <c r="G398" s="260"/>
      <c r="H398" s="260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0"/>
    </row>
    <row r="399" ht="15.75" customHeight="1">
      <c r="A399" s="260"/>
      <c r="B399" s="260"/>
      <c r="C399" s="260"/>
      <c r="D399" s="260"/>
      <c r="E399" s="260"/>
      <c r="F399" s="260"/>
      <c r="G399" s="260"/>
      <c r="H399" s="260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0"/>
    </row>
    <row r="400" ht="15.75" customHeight="1">
      <c r="A400" s="260"/>
      <c r="B400" s="260"/>
      <c r="C400" s="260"/>
      <c r="D400" s="260"/>
      <c r="E400" s="260"/>
      <c r="F400" s="260"/>
      <c r="G400" s="260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0"/>
    </row>
    <row r="401" ht="15.75" customHeight="1">
      <c r="A401" s="260"/>
      <c r="B401" s="260"/>
      <c r="C401" s="260"/>
      <c r="D401" s="260"/>
      <c r="E401" s="260"/>
      <c r="F401" s="260"/>
      <c r="G401" s="260"/>
      <c r="H401" s="260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0"/>
    </row>
    <row r="402" ht="15.75" customHeight="1">
      <c r="A402" s="260"/>
      <c r="B402" s="260"/>
      <c r="C402" s="260"/>
      <c r="D402" s="260"/>
      <c r="E402" s="260"/>
      <c r="F402" s="260"/>
      <c r="G402" s="260"/>
      <c r="H402" s="260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0"/>
    </row>
    <row r="403" ht="15.75" customHeight="1">
      <c r="A403" s="260"/>
      <c r="B403" s="260"/>
      <c r="C403" s="260"/>
      <c r="D403" s="260"/>
      <c r="E403" s="260"/>
      <c r="F403" s="260"/>
      <c r="G403" s="260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</row>
    <row r="404" ht="15.75" customHeight="1">
      <c r="A404" s="260"/>
      <c r="B404" s="260"/>
      <c r="C404" s="260"/>
      <c r="D404" s="260"/>
      <c r="E404" s="260"/>
      <c r="F404" s="260"/>
      <c r="G404" s="260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0"/>
    </row>
    <row r="405" ht="15.75" customHeight="1">
      <c r="A405" s="260"/>
      <c r="B405" s="260"/>
      <c r="C405" s="260"/>
      <c r="D405" s="260"/>
      <c r="E405" s="260"/>
      <c r="F405" s="260"/>
      <c r="G405" s="260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0"/>
    </row>
    <row r="406" ht="15.75" customHeight="1">
      <c r="A406" s="260"/>
      <c r="B406" s="260"/>
      <c r="C406" s="260"/>
      <c r="D406" s="260"/>
      <c r="E406" s="260"/>
      <c r="F406" s="260"/>
      <c r="G406" s="260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0"/>
    </row>
    <row r="407" ht="15.75" customHeight="1">
      <c r="A407" s="260"/>
      <c r="B407" s="260"/>
      <c r="C407" s="260"/>
      <c r="D407" s="260"/>
      <c r="E407" s="260"/>
      <c r="F407" s="260"/>
      <c r="G407" s="260"/>
      <c r="H407" s="260"/>
      <c r="I407" s="260"/>
      <c r="J407" s="260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0"/>
    </row>
    <row r="408" ht="15.75" customHeight="1">
      <c r="A408" s="260"/>
      <c r="B408" s="260"/>
      <c r="C408" s="260"/>
      <c r="D408" s="260"/>
      <c r="E408" s="260"/>
      <c r="F408" s="260"/>
      <c r="G408" s="260"/>
      <c r="H408" s="260"/>
      <c r="I408" s="260"/>
      <c r="J408" s="260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0"/>
    </row>
    <row r="409" ht="15.75" customHeight="1">
      <c r="A409" s="260"/>
      <c r="B409" s="260"/>
      <c r="C409" s="260"/>
      <c r="D409" s="260"/>
      <c r="E409" s="260"/>
      <c r="F409" s="260"/>
      <c r="G409" s="260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</row>
    <row r="410" ht="15.75" customHeight="1">
      <c r="A410" s="260"/>
      <c r="B410" s="260"/>
      <c r="C410" s="260"/>
      <c r="D410" s="260"/>
      <c r="E410" s="260"/>
      <c r="F410" s="260"/>
      <c r="G410" s="260"/>
      <c r="H410" s="260"/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0"/>
    </row>
    <row r="411" ht="15.75" customHeight="1">
      <c r="A411" s="260"/>
      <c r="B411" s="260"/>
      <c r="C411" s="260"/>
      <c r="D411" s="260"/>
      <c r="E411" s="260"/>
      <c r="F411" s="260"/>
      <c r="G411" s="260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0"/>
    </row>
    <row r="412" ht="15.75" customHeight="1">
      <c r="A412" s="260"/>
      <c r="B412" s="260"/>
      <c r="C412" s="260"/>
      <c r="D412" s="260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0"/>
    </row>
    <row r="413" ht="15.75" customHeight="1">
      <c r="A413" s="260"/>
      <c r="B413" s="260"/>
      <c r="C413" s="260"/>
      <c r="D413" s="260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0"/>
    </row>
    <row r="414" ht="15.75" customHeight="1">
      <c r="A414" s="260"/>
      <c r="B414" s="260"/>
      <c r="C414" s="260"/>
      <c r="D414" s="260"/>
      <c r="E414" s="260"/>
      <c r="F414" s="260"/>
      <c r="G414" s="260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0"/>
    </row>
    <row r="415" ht="15.75" customHeight="1">
      <c r="A415" s="260"/>
      <c r="B415" s="260"/>
      <c r="C415" s="260"/>
      <c r="D415" s="260"/>
      <c r="E415" s="260"/>
      <c r="F415" s="260"/>
      <c r="G415" s="260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0"/>
    </row>
    <row r="416" ht="15.75" customHeight="1">
      <c r="A416" s="260"/>
      <c r="B416" s="260"/>
      <c r="C416" s="260"/>
      <c r="D416" s="260"/>
      <c r="E416" s="260"/>
      <c r="F416" s="260"/>
      <c r="G416" s="260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0"/>
    </row>
    <row r="417" ht="15.75" customHeight="1">
      <c r="A417" s="260"/>
      <c r="B417" s="260"/>
      <c r="C417" s="260"/>
      <c r="D417" s="260"/>
      <c r="E417" s="260"/>
      <c r="F417" s="260"/>
      <c r="G417" s="260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</row>
    <row r="418" ht="15.75" customHeight="1">
      <c r="A418" s="260"/>
      <c r="B418" s="260"/>
      <c r="C418" s="260"/>
      <c r="D418" s="260"/>
      <c r="E418" s="260"/>
      <c r="F418" s="260"/>
      <c r="G418" s="260"/>
      <c r="H418" s="260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0"/>
    </row>
    <row r="419" ht="15.75" customHeight="1">
      <c r="A419" s="260"/>
      <c r="B419" s="260"/>
      <c r="C419" s="260"/>
      <c r="D419" s="260"/>
      <c r="E419" s="260"/>
      <c r="F419" s="260"/>
      <c r="G419" s="260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0"/>
    </row>
    <row r="420" ht="15.75" customHeight="1">
      <c r="A420" s="260"/>
      <c r="B420" s="260"/>
      <c r="C420" s="260"/>
      <c r="D420" s="260"/>
      <c r="E420" s="260"/>
      <c r="F420" s="260"/>
      <c r="G420" s="260"/>
      <c r="H420" s="260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0"/>
    </row>
    <row r="421" ht="15.75" customHeight="1">
      <c r="A421" s="260"/>
      <c r="B421" s="260"/>
      <c r="C421" s="260"/>
      <c r="D421" s="260"/>
      <c r="E421" s="260"/>
      <c r="F421" s="260"/>
      <c r="G421" s="260"/>
      <c r="H421" s="260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0"/>
    </row>
    <row r="422" ht="15.75" customHeight="1">
      <c r="A422" s="260"/>
      <c r="B422" s="260"/>
      <c r="C422" s="260"/>
      <c r="D422" s="260"/>
      <c r="E422" s="260"/>
      <c r="F422" s="260"/>
      <c r="G422" s="260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0"/>
    </row>
    <row r="423" ht="15.75" customHeight="1">
      <c r="A423" s="260"/>
      <c r="B423" s="260"/>
      <c r="C423" s="260"/>
      <c r="D423" s="260"/>
      <c r="E423" s="260"/>
      <c r="F423" s="260"/>
      <c r="G423" s="260"/>
      <c r="H423" s="260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0"/>
    </row>
    <row r="424" ht="15.75" customHeight="1">
      <c r="A424" s="260"/>
      <c r="B424" s="260"/>
      <c r="C424" s="260"/>
      <c r="D424" s="260"/>
      <c r="E424" s="260"/>
      <c r="F424" s="260"/>
      <c r="G424" s="260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0"/>
    </row>
    <row r="425" ht="15.75" customHeight="1">
      <c r="A425" s="260"/>
      <c r="B425" s="260"/>
      <c r="C425" s="260"/>
      <c r="D425" s="260"/>
      <c r="E425" s="260"/>
      <c r="F425" s="260"/>
      <c r="G425" s="260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0"/>
    </row>
    <row r="426" ht="15.75" customHeight="1">
      <c r="A426" s="260"/>
      <c r="B426" s="260"/>
      <c r="C426" s="260"/>
      <c r="D426" s="260"/>
      <c r="E426" s="260"/>
      <c r="F426" s="260"/>
      <c r="G426" s="260"/>
      <c r="H426" s="260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0"/>
    </row>
    <row r="427" ht="15.75" customHeight="1">
      <c r="A427" s="260"/>
      <c r="B427" s="260"/>
      <c r="C427" s="260"/>
      <c r="D427" s="260"/>
      <c r="E427" s="260"/>
      <c r="F427" s="260"/>
      <c r="G427" s="260"/>
      <c r="H427" s="260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0"/>
    </row>
    <row r="428" ht="15.75" customHeight="1">
      <c r="A428" s="260"/>
      <c r="B428" s="260"/>
      <c r="C428" s="260"/>
      <c r="D428" s="260"/>
      <c r="E428" s="260"/>
      <c r="F428" s="260"/>
      <c r="G428" s="260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0"/>
    </row>
    <row r="429" ht="15.75" customHeight="1">
      <c r="A429" s="260"/>
      <c r="B429" s="260"/>
      <c r="C429" s="260"/>
      <c r="D429" s="260"/>
      <c r="E429" s="260"/>
      <c r="F429" s="260"/>
      <c r="G429" s="260"/>
      <c r="H429" s="260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0"/>
    </row>
    <row r="430" ht="15.75" customHeight="1">
      <c r="A430" s="260"/>
      <c r="B430" s="260"/>
      <c r="C430" s="260"/>
      <c r="D430" s="260"/>
      <c r="E430" s="260"/>
      <c r="F430" s="260"/>
      <c r="G430" s="260"/>
      <c r="H430" s="260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0"/>
    </row>
    <row r="431" ht="15.75" customHeight="1">
      <c r="A431" s="260"/>
      <c r="B431" s="260"/>
      <c r="C431" s="260"/>
      <c r="D431" s="260"/>
      <c r="E431" s="260"/>
      <c r="F431" s="260"/>
      <c r="G431" s="260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0"/>
    </row>
    <row r="432" ht="15.75" customHeight="1">
      <c r="A432" s="260"/>
      <c r="B432" s="260"/>
      <c r="C432" s="260"/>
      <c r="D432" s="260"/>
      <c r="E432" s="260"/>
      <c r="F432" s="260"/>
      <c r="G432" s="260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0"/>
    </row>
    <row r="433" ht="15.75" customHeight="1">
      <c r="A433" s="260"/>
      <c r="B433" s="260"/>
      <c r="C433" s="260"/>
      <c r="D433" s="260"/>
      <c r="E433" s="260"/>
      <c r="F433" s="260"/>
      <c r="G433" s="260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0"/>
    </row>
    <row r="434" ht="15.75" customHeight="1">
      <c r="A434" s="260"/>
      <c r="B434" s="260"/>
      <c r="C434" s="260"/>
      <c r="D434" s="260"/>
      <c r="E434" s="260"/>
      <c r="F434" s="260"/>
      <c r="G434" s="260"/>
      <c r="H434" s="260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0"/>
    </row>
    <row r="435" ht="15.75" customHeight="1">
      <c r="A435" s="260"/>
      <c r="B435" s="260"/>
      <c r="C435" s="260"/>
      <c r="D435" s="260"/>
      <c r="E435" s="260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0"/>
    </row>
    <row r="436" ht="15.75" customHeight="1">
      <c r="A436" s="260"/>
      <c r="B436" s="260"/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0"/>
    </row>
    <row r="437" ht="15.75" customHeight="1">
      <c r="A437" s="260"/>
      <c r="B437" s="260"/>
      <c r="C437" s="260"/>
      <c r="D437" s="260"/>
      <c r="E437" s="260"/>
      <c r="F437" s="260"/>
      <c r="G437" s="260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0"/>
    </row>
    <row r="438" ht="15.75" customHeight="1">
      <c r="A438" s="260"/>
      <c r="B438" s="260"/>
      <c r="C438" s="260"/>
      <c r="D438" s="260"/>
      <c r="E438" s="260"/>
      <c r="F438" s="260"/>
      <c r="G438" s="260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0"/>
    </row>
    <row r="439" ht="15.75" customHeight="1">
      <c r="A439" s="260"/>
      <c r="B439" s="260"/>
      <c r="C439" s="260"/>
      <c r="D439" s="260"/>
      <c r="E439" s="260"/>
      <c r="F439" s="260"/>
      <c r="G439" s="260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0"/>
    </row>
    <row r="440" ht="15.75" customHeight="1">
      <c r="A440" s="260"/>
      <c r="B440" s="260"/>
      <c r="C440" s="260"/>
      <c r="D440" s="260"/>
      <c r="E440" s="260"/>
      <c r="F440" s="260"/>
      <c r="G440" s="260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0"/>
    </row>
    <row r="441" ht="15.75" customHeight="1">
      <c r="A441" s="260"/>
      <c r="B441" s="260"/>
      <c r="C441" s="260"/>
      <c r="D441" s="260"/>
      <c r="E441" s="260"/>
      <c r="F441" s="260"/>
      <c r="G441" s="260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0"/>
    </row>
    <row r="442" ht="15.75" customHeight="1">
      <c r="A442" s="260"/>
      <c r="B442" s="260"/>
      <c r="C442" s="260"/>
      <c r="D442" s="260"/>
      <c r="E442" s="260"/>
      <c r="F442" s="260"/>
      <c r="G442" s="260"/>
      <c r="H442" s="260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0"/>
    </row>
    <row r="443" ht="15.75" customHeight="1">
      <c r="A443" s="260"/>
      <c r="B443" s="260"/>
      <c r="C443" s="260"/>
      <c r="D443" s="260"/>
      <c r="E443" s="260"/>
      <c r="F443" s="260"/>
      <c r="G443" s="260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0"/>
    </row>
    <row r="444" ht="15.75" customHeight="1">
      <c r="A444" s="260"/>
      <c r="B444" s="260"/>
      <c r="C444" s="260"/>
      <c r="D444" s="260"/>
      <c r="E444" s="260"/>
      <c r="F444" s="260"/>
      <c r="G444" s="260"/>
      <c r="H444" s="260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0"/>
    </row>
    <row r="445" ht="15.75" customHeight="1">
      <c r="A445" s="260"/>
      <c r="B445" s="260"/>
      <c r="C445" s="260"/>
      <c r="D445" s="260"/>
      <c r="E445" s="260"/>
      <c r="F445" s="260"/>
      <c r="G445" s="260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0"/>
    </row>
    <row r="446" ht="15.75" customHeight="1">
      <c r="A446" s="260"/>
      <c r="B446" s="260"/>
      <c r="C446" s="260"/>
      <c r="D446" s="260"/>
      <c r="E446" s="260"/>
      <c r="F446" s="260"/>
      <c r="G446" s="260"/>
      <c r="H446" s="260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0"/>
    </row>
    <row r="447" ht="15.75" customHeight="1">
      <c r="A447" s="260"/>
      <c r="B447" s="260"/>
      <c r="C447" s="260"/>
      <c r="D447" s="260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0"/>
    </row>
    <row r="448" ht="15.75" customHeight="1">
      <c r="A448" s="260"/>
      <c r="B448" s="260"/>
      <c r="C448" s="260"/>
      <c r="D448" s="260"/>
      <c r="E448" s="260"/>
      <c r="F448" s="260"/>
      <c r="G448" s="260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0"/>
    </row>
    <row r="449" ht="15.75" customHeight="1">
      <c r="A449" s="260"/>
      <c r="B449" s="260"/>
      <c r="C449" s="260"/>
      <c r="D449" s="260"/>
      <c r="E449" s="260"/>
      <c r="F449" s="260"/>
      <c r="G449" s="260"/>
      <c r="H449" s="260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0"/>
    </row>
    <row r="450" ht="15.75" customHeight="1">
      <c r="A450" s="260"/>
      <c r="B450" s="260"/>
      <c r="C450" s="260"/>
      <c r="D450" s="260"/>
      <c r="E450" s="260"/>
      <c r="F450" s="260"/>
      <c r="G450" s="260"/>
      <c r="H450" s="260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0"/>
    </row>
    <row r="451" ht="15.75" customHeight="1">
      <c r="A451" s="260"/>
      <c r="B451" s="260"/>
      <c r="C451" s="260"/>
      <c r="D451" s="260"/>
      <c r="E451" s="260"/>
      <c r="F451" s="260"/>
      <c r="G451" s="260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0"/>
    </row>
    <row r="452" ht="15.75" customHeight="1">
      <c r="A452" s="260"/>
      <c r="B452" s="260"/>
      <c r="C452" s="260"/>
      <c r="D452" s="260"/>
      <c r="E452" s="260"/>
      <c r="F452" s="260"/>
      <c r="G452" s="260"/>
      <c r="H452" s="260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0"/>
    </row>
    <row r="453" ht="15.75" customHeight="1">
      <c r="A453" s="260"/>
      <c r="B453" s="260"/>
      <c r="C453" s="260"/>
      <c r="D453" s="260"/>
      <c r="E453" s="260"/>
      <c r="F453" s="260"/>
      <c r="G453" s="260"/>
      <c r="H453" s="260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0"/>
    </row>
    <row r="454" ht="15.75" customHeight="1">
      <c r="A454" s="260"/>
      <c r="B454" s="260"/>
      <c r="C454" s="260"/>
      <c r="D454" s="260"/>
      <c r="E454" s="260"/>
      <c r="F454" s="260"/>
      <c r="G454" s="260"/>
      <c r="H454" s="260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0"/>
    </row>
    <row r="455" ht="15.75" customHeight="1">
      <c r="A455" s="260"/>
      <c r="B455" s="260"/>
      <c r="C455" s="260"/>
      <c r="D455" s="260"/>
      <c r="E455" s="260"/>
      <c r="F455" s="260"/>
      <c r="G455" s="260"/>
      <c r="H455" s="260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0"/>
    </row>
    <row r="456" ht="15.75" customHeight="1">
      <c r="A456" s="260"/>
      <c r="B456" s="260"/>
      <c r="C456" s="260"/>
      <c r="D456" s="260"/>
      <c r="E456" s="260"/>
      <c r="F456" s="260"/>
      <c r="G456" s="260"/>
      <c r="H456" s="260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0"/>
    </row>
    <row r="457" ht="15.75" customHeight="1">
      <c r="A457" s="260"/>
      <c r="B457" s="260"/>
      <c r="C457" s="260"/>
      <c r="D457" s="260"/>
      <c r="E457" s="260"/>
      <c r="F457" s="260"/>
      <c r="G457" s="260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0"/>
    </row>
    <row r="458" ht="15.75" customHeight="1">
      <c r="A458" s="260"/>
      <c r="B458" s="260"/>
      <c r="C458" s="260"/>
      <c r="D458" s="260"/>
      <c r="E458" s="260"/>
      <c r="F458" s="260"/>
      <c r="G458" s="260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0"/>
    </row>
    <row r="459" ht="15.75" customHeight="1">
      <c r="A459" s="260"/>
      <c r="B459" s="260"/>
      <c r="C459" s="260"/>
      <c r="D459" s="260"/>
      <c r="E459" s="260"/>
      <c r="F459" s="260"/>
      <c r="G459" s="260"/>
      <c r="H459" s="260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0"/>
    </row>
    <row r="460" ht="15.75" customHeight="1">
      <c r="A460" s="260"/>
      <c r="B460" s="260"/>
      <c r="C460" s="260"/>
      <c r="D460" s="260"/>
      <c r="E460" s="260"/>
      <c r="F460" s="260"/>
      <c r="G460" s="260"/>
      <c r="H460" s="260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0"/>
    </row>
    <row r="461" ht="15.75" customHeight="1">
      <c r="A461" s="260"/>
      <c r="B461" s="260"/>
      <c r="C461" s="260"/>
      <c r="D461" s="260"/>
      <c r="E461" s="260"/>
      <c r="F461" s="260"/>
      <c r="G461" s="260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0"/>
    </row>
    <row r="462" ht="15.75" customHeight="1">
      <c r="A462" s="260"/>
      <c r="B462" s="260"/>
      <c r="C462" s="260"/>
      <c r="D462" s="260"/>
      <c r="E462" s="260"/>
      <c r="F462" s="260"/>
      <c r="G462" s="260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0"/>
    </row>
    <row r="463" ht="15.75" customHeight="1">
      <c r="A463" s="260"/>
      <c r="B463" s="260"/>
      <c r="C463" s="260"/>
      <c r="D463" s="260"/>
      <c r="E463" s="260"/>
      <c r="F463" s="260"/>
      <c r="G463" s="260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0"/>
    </row>
    <row r="464" ht="15.75" customHeight="1">
      <c r="A464" s="260"/>
      <c r="B464" s="260"/>
      <c r="C464" s="260"/>
      <c r="D464" s="260"/>
      <c r="E464" s="260"/>
      <c r="F464" s="260"/>
      <c r="G464" s="260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0"/>
    </row>
    <row r="465" ht="15.75" customHeight="1">
      <c r="A465" s="260"/>
      <c r="B465" s="260"/>
      <c r="C465" s="260"/>
      <c r="D465" s="260"/>
      <c r="E465" s="260"/>
      <c r="F465" s="260"/>
      <c r="G465" s="260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0"/>
    </row>
    <row r="466" ht="15.75" customHeight="1">
      <c r="A466" s="260"/>
      <c r="B466" s="260"/>
      <c r="C466" s="260"/>
      <c r="D466" s="260"/>
      <c r="E466" s="260"/>
      <c r="F466" s="260"/>
      <c r="G466" s="260"/>
      <c r="H466" s="260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0"/>
    </row>
    <row r="467" ht="15.75" customHeight="1">
      <c r="A467" s="260"/>
      <c r="B467" s="260"/>
      <c r="C467" s="260"/>
      <c r="D467" s="260"/>
      <c r="E467" s="260"/>
      <c r="F467" s="260"/>
      <c r="G467" s="260"/>
      <c r="H467" s="260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0"/>
    </row>
    <row r="468" ht="15.75" customHeight="1">
      <c r="A468" s="260"/>
      <c r="B468" s="260"/>
      <c r="C468" s="260"/>
      <c r="D468" s="260"/>
      <c r="E468" s="260"/>
      <c r="F468" s="260"/>
      <c r="G468" s="260"/>
      <c r="H468" s="260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0"/>
    </row>
    <row r="469" ht="15.75" customHeight="1">
      <c r="A469" s="260"/>
      <c r="B469" s="260"/>
      <c r="C469" s="260"/>
      <c r="D469" s="260"/>
      <c r="E469" s="260"/>
      <c r="F469" s="260"/>
      <c r="G469" s="260"/>
      <c r="H469" s="260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0"/>
    </row>
    <row r="470" ht="15.75" customHeight="1">
      <c r="A470" s="260"/>
      <c r="B470" s="260"/>
      <c r="C470" s="260"/>
      <c r="D470" s="260"/>
      <c r="E470" s="260"/>
      <c r="F470" s="260"/>
      <c r="G470" s="260"/>
      <c r="H470" s="260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0"/>
    </row>
    <row r="471" ht="15.75" customHeight="1">
      <c r="A471" s="260"/>
      <c r="B471" s="260"/>
      <c r="C471" s="260"/>
      <c r="D471" s="260"/>
      <c r="E471" s="260"/>
      <c r="F471" s="260"/>
      <c r="G471" s="260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0"/>
    </row>
    <row r="472" ht="15.75" customHeight="1">
      <c r="A472" s="260"/>
      <c r="B472" s="260"/>
      <c r="C472" s="260"/>
      <c r="D472" s="260"/>
      <c r="E472" s="260"/>
      <c r="F472" s="260"/>
      <c r="G472" s="260"/>
      <c r="H472" s="260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0"/>
    </row>
    <row r="473" ht="15.75" customHeight="1">
      <c r="A473" s="260"/>
      <c r="B473" s="260"/>
      <c r="C473" s="260"/>
      <c r="D473" s="260"/>
      <c r="E473" s="260"/>
      <c r="F473" s="260"/>
      <c r="G473" s="260"/>
      <c r="H473" s="260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0"/>
    </row>
    <row r="474" ht="15.75" customHeight="1">
      <c r="A474" s="260"/>
      <c r="B474" s="260"/>
      <c r="C474" s="260"/>
      <c r="D474" s="260"/>
      <c r="E474" s="260"/>
      <c r="F474" s="260"/>
      <c r="G474" s="260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0"/>
    </row>
    <row r="475" ht="15.75" customHeight="1">
      <c r="A475" s="260"/>
      <c r="B475" s="260"/>
      <c r="C475" s="260"/>
      <c r="D475" s="260"/>
      <c r="E475" s="260"/>
      <c r="F475" s="260"/>
      <c r="G475" s="260"/>
      <c r="H475" s="260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0"/>
    </row>
    <row r="476" ht="15.75" customHeight="1">
      <c r="A476" s="260"/>
      <c r="B476" s="260"/>
      <c r="C476" s="260"/>
      <c r="D476" s="260"/>
      <c r="E476" s="260"/>
      <c r="F476" s="260"/>
      <c r="G476" s="260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0"/>
    </row>
    <row r="477" ht="15.75" customHeight="1">
      <c r="A477" s="260"/>
      <c r="B477" s="260"/>
      <c r="C477" s="260"/>
      <c r="D477" s="260"/>
      <c r="E477" s="260"/>
      <c r="F477" s="260"/>
      <c r="G477" s="260"/>
      <c r="H477" s="260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0"/>
    </row>
    <row r="478" ht="15.75" customHeight="1">
      <c r="A478" s="260"/>
      <c r="B478" s="260"/>
      <c r="C478" s="260"/>
      <c r="D478" s="260"/>
      <c r="E478" s="260"/>
      <c r="F478" s="260"/>
      <c r="G478" s="260"/>
      <c r="H478" s="260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0"/>
    </row>
    <row r="479" ht="15.75" customHeight="1">
      <c r="A479" s="260"/>
      <c r="B479" s="260"/>
      <c r="C479" s="260"/>
      <c r="D479" s="260"/>
      <c r="E479" s="260"/>
      <c r="F479" s="260"/>
      <c r="G479" s="260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0"/>
    </row>
    <row r="480" ht="15.75" customHeight="1">
      <c r="A480" s="260"/>
      <c r="B480" s="260"/>
      <c r="C480" s="260"/>
      <c r="D480" s="260"/>
      <c r="E480" s="260"/>
      <c r="F480" s="260"/>
      <c r="G480" s="260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0"/>
    </row>
    <row r="481" ht="15.75" customHeight="1">
      <c r="A481" s="260"/>
      <c r="B481" s="260"/>
      <c r="C481" s="260"/>
      <c r="D481" s="260"/>
      <c r="E481" s="260"/>
      <c r="F481" s="260"/>
      <c r="G481" s="260"/>
      <c r="H481" s="260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0"/>
    </row>
    <row r="482" ht="15.75" customHeight="1">
      <c r="A482" s="260"/>
      <c r="B482" s="260"/>
      <c r="C482" s="260"/>
      <c r="D482" s="260"/>
      <c r="E482" s="260"/>
      <c r="F482" s="260"/>
      <c r="G482" s="260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0"/>
    </row>
    <row r="483" ht="15.75" customHeight="1">
      <c r="A483" s="260"/>
      <c r="B483" s="260"/>
      <c r="C483" s="260"/>
      <c r="D483" s="260"/>
      <c r="E483" s="260"/>
      <c r="F483" s="260"/>
      <c r="G483" s="260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0"/>
    </row>
    <row r="484" ht="15.75" customHeight="1">
      <c r="A484" s="260"/>
      <c r="B484" s="260"/>
      <c r="C484" s="260"/>
      <c r="D484" s="260"/>
      <c r="E484" s="260"/>
      <c r="F484" s="260"/>
      <c r="G484" s="260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0"/>
    </row>
    <row r="485" ht="15.75" customHeight="1">
      <c r="A485" s="260"/>
      <c r="B485" s="260"/>
      <c r="C485" s="260"/>
      <c r="D485" s="260"/>
      <c r="E485" s="260"/>
      <c r="F485" s="260"/>
      <c r="G485" s="260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0"/>
    </row>
    <row r="486" ht="15.75" customHeight="1">
      <c r="A486" s="260"/>
      <c r="B486" s="260"/>
      <c r="C486" s="260"/>
      <c r="D486" s="260"/>
      <c r="E486" s="260"/>
      <c r="F486" s="260"/>
      <c r="G486" s="260"/>
      <c r="H486" s="260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0"/>
    </row>
    <row r="487" ht="15.75" customHeight="1">
      <c r="A487" s="260"/>
      <c r="B487" s="260"/>
      <c r="C487" s="260"/>
      <c r="D487" s="260"/>
      <c r="E487" s="260"/>
      <c r="F487" s="260"/>
      <c r="G487" s="260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0"/>
    </row>
    <row r="488" ht="15.75" customHeight="1">
      <c r="A488" s="260"/>
      <c r="B488" s="260"/>
      <c r="C488" s="260"/>
      <c r="D488" s="260"/>
      <c r="E488" s="260"/>
      <c r="F488" s="260"/>
      <c r="G488" s="260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0"/>
    </row>
    <row r="489" ht="15.75" customHeight="1">
      <c r="A489" s="260"/>
      <c r="B489" s="260"/>
      <c r="C489" s="260"/>
      <c r="D489" s="260"/>
      <c r="E489" s="260"/>
      <c r="F489" s="260"/>
      <c r="G489" s="260"/>
      <c r="H489" s="260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0"/>
    </row>
    <row r="490" ht="15.75" customHeight="1">
      <c r="A490" s="260"/>
      <c r="B490" s="260"/>
      <c r="C490" s="260"/>
      <c r="D490" s="260"/>
      <c r="E490" s="260"/>
      <c r="F490" s="260"/>
      <c r="G490" s="260"/>
      <c r="H490" s="260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0"/>
    </row>
    <row r="491" ht="15.75" customHeight="1">
      <c r="A491" s="260"/>
      <c r="B491" s="260"/>
      <c r="C491" s="260"/>
      <c r="D491" s="260"/>
      <c r="E491" s="260"/>
      <c r="F491" s="260"/>
      <c r="G491" s="260"/>
      <c r="H491" s="260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0"/>
    </row>
    <row r="492" ht="15.75" customHeight="1">
      <c r="A492" s="260"/>
      <c r="B492" s="260"/>
      <c r="C492" s="260"/>
      <c r="D492" s="260"/>
      <c r="E492" s="260"/>
      <c r="F492" s="260"/>
      <c r="G492" s="260"/>
      <c r="H492" s="260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0"/>
    </row>
    <row r="493" ht="15.75" customHeight="1">
      <c r="A493" s="260"/>
      <c r="B493" s="260"/>
      <c r="C493" s="260"/>
      <c r="D493" s="260"/>
      <c r="E493" s="260"/>
      <c r="F493" s="260"/>
      <c r="G493" s="260"/>
      <c r="H493" s="260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0"/>
    </row>
    <row r="494" ht="15.75" customHeight="1">
      <c r="A494" s="260"/>
      <c r="B494" s="260"/>
      <c r="C494" s="260"/>
      <c r="D494" s="260"/>
      <c r="E494" s="260"/>
      <c r="F494" s="260"/>
      <c r="G494" s="260"/>
      <c r="H494" s="260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0"/>
    </row>
    <row r="495" ht="15.75" customHeight="1">
      <c r="A495" s="260"/>
      <c r="B495" s="260"/>
      <c r="C495" s="260"/>
      <c r="D495" s="260"/>
      <c r="E495" s="260"/>
      <c r="F495" s="260"/>
      <c r="G495" s="260"/>
      <c r="H495" s="260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0"/>
    </row>
    <row r="496" ht="15.75" customHeight="1">
      <c r="A496" s="260"/>
      <c r="B496" s="260"/>
      <c r="C496" s="260"/>
      <c r="D496" s="260"/>
      <c r="E496" s="260"/>
      <c r="F496" s="260"/>
      <c r="G496" s="260"/>
      <c r="H496" s="260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0"/>
    </row>
    <row r="497" ht="15.75" customHeight="1">
      <c r="A497" s="260"/>
      <c r="B497" s="260"/>
      <c r="C497" s="260"/>
      <c r="D497" s="260"/>
      <c r="E497" s="260"/>
      <c r="F497" s="260"/>
      <c r="G497" s="260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0"/>
    </row>
    <row r="498" ht="15.75" customHeight="1">
      <c r="A498" s="260"/>
      <c r="B498" s="260"/>
      <c r="C498" s="260"/>
      <c r="D498" s="260"/>
      <c r="E498" s="260"/>
      <c r="F498" s="260"/>
      <c r="G498" s="260"/>
      <c r="H498" s="260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0"/>
    </row>
    <row r="499" ht="15.75" customHeight="1">
      <c r="A499" s="260"/>
      <c r="B499" s="260"/>
      <c r="C499" s="260"/>
      <c r="D499" s="260"/>
      <c r="E499" s="260"/>
      <c r="F499" s="260"/>
      <c r="G499" s="260"/>
      <c r="H499" s="260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0"/>
    </row>
    <row r="500" ht="15.75" customHeight="1">
      <c r="A500" s="260"/>
      <c r="B500" s="260"/>
      <c r="C500" s="260"/>
      <c r="D500" s="260"/>
      <c r="E500" s="260"/>
      <c r="F500" s="260"/>
      <c r="G500" s="260"/>
      <c r="H500" s="260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0"/>
    </row>
    <row r="501" ht="15.75" customHeight="1">
      <c r="A501" s="260"/>
      <c r="B501" s="260"/>
      <c r="C501" s="260"/>
      <c r="D501" s="260"/>
      <c r="E501" s="260"/>
      <c r="F501" s="260"/>
      <c r="G501" s="260"/>
      <c r="H501" s="260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0"/>
    </row>
    <row r="502" ht="15.75" customHeight="1">
      <c r="A502" s="260"/>
      <c r="B502" s="260"/>
      <c r="C502" s="260"/>
      <c r="D502" s="260"/>
      <c r="E502" s="260"/>
      <c r="F502" s="260"/>
      <c r="G502" s="260"/>
      <c r="H502" s="260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0"/>
    </row>
    <row r="503" ht="15.75" customHeight="1">
      <c r="A503" s="260"/>
      <c r="B503" s="260"/>
      <c r="C503" s="260"/>
      <c r="D503" s="260"/>
      <c r="E503" s="260"/>
      <c r="F503" s="260"/>
      <c r="G503" s="260"/>
      <c r="H503" s="260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0"/>
    </row>
    <row r="504" ht="15.75" customHeight="1">
      <c r="A504" s="260"/>
      <c r="B504" s="260"/>
      <c r="C504" s="260"/>
      <c r="D504" s="260"/>
      <c r="E504" s="260"/>
      <c r="F504" s="260"/>
      <c r="G504" s="260"/>
      <c r="H504" s="260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0"/>
    </row>
    <row r="505" ht="15.75" customHeight="1">
      <c r="A505" s="260"/>
      <c r="B505" s="260"/>
      <c r="C505" s="260"/>
      <c r="D505" s="260"/>
      <c r="E505" s="260"/>
      <c r="F505" s="260"/>
      <c r="G505" s="260"/>
      <c r="H505" s="260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0"/>
    </row>
    <row r="506" ht="15.75" customHeight="1">
      <c r="A506" s="260"/>
      <c r="B506" s="260"/>
      <c r="C506" s="260"/>
      <c r="D506" s="260"/>
      <c r="E506" s="260"/>
      <c r="F506" s="260"/>
      <c r="G506" s="260"/>
      <c r="H506" s="260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0"/>
    </row>
    <row r="507" ht="15.75" customHeight="1">
      <c r="A507" s="260"/>
      <c r="B507" s="260"/>
      <c r="C507" s="260"/>
      <c r="D507" s="260"/>
      <c r="E507" s="260"/>
      <c r="F507" s="260"/>
      <c r="G507" s="260"/>
      <c r="H507" s="260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0"/>
    </row>
    <row r="508" ht="15.75" customHeight="1">
      <c r="A508" s="260"/>
      <c r="B508" s="260"/>
      <c r="C508" s="260"/>
      <c r="D508" s="260"/>
      <c r="E508" s="260"/>
      <c r="F508" s="260"/>
      <c r="G508" s="260"/>
      <c r="H508" s="260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0"/>
    </row>
    <row r="509" ht="15.75" customHeight="1">
      <c r="A509" s="260"/>
      <c r="B509" s="260"/>
      <c r="C509" s="260"/>
      <c r="D509" s="260"/>
      <c r="E509" s="260"/>
      <c r="F509" s="260"/>
      <c r="G509" s="260"/>
      <c r="H509" s="260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0"/>
    </row>
    <row r="510" ht="15.75" customHeight="1">
      <c r="A510" s="260"/>
      <c r="B510" s="260"/>
      <c r="C510" s="260"/>
      <c r="D510" s="260"/>
      <c r="E510" s="260"/>
      <c r="F510" s="260"/>
      <c r="G510" s="260"/>
      <c r="H510" s="260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0"/>
    </row>
    <row r="511" ht="15.75" customHeight="1">
      <c r="A511" s="260"/>
      <c r="B511" s="260"/>
      <c r="C511" s="260"/>
      <c r="D511" s="260"/>
      <c r="E511" s="260"/>
      <c r="F511" s="260"/>
      <c r="G511" s="260"/>
      <c r="H511" s="260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0"/>
    </row>
    <row r="512" ht="15.75" customHeight="1">
      <c r="A512" s="260"/>
      <c r="B512" s="260"/>
      <c r="C512" s="260"/>
      <c r="D512" s="260"/>
      <c r="E512" s="260"/>
      <c r="F512" s="260"/>
      <c r="G512" s="260"/>
      <c r="H512" s="260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0"/>
    </row>
    <row r="513" ht="15.75" customHeight="1">
      <c r="A513" s="260"/>
      <c r="B513" s="260"/>
      <c r="C513" s="260"/>
      <c r="D513" s="260"/>
      <c r="E513" s="260"/>
      <c r="F513" s="26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0"/>
    </row>
    <row r="514" ht="15.75" customHeight="1">
      <c r="A514" s="260"/>
      <c r="B514" s="260"/>
      <c r="C514" s="260"/>
      <c r="D514" s="260"/>
      <c r="E514" s="260"/>
      <c r="F514" s="260"/>
      <c r="G514" s="260"/>
      <c r="H514" s="260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0"/>
    </row>
    <row r="515" ht="15.75" customHeight="1">
      <c r="A515" s="260"/>
      <c r="B515" s="260"/>
      <c r="C515" s="260"/>
      <c r="D515" s="260"/>
      <c r="E515" s="260"/>
      <c r="F515" s="260"/>
      <c r="G515" s="260"/>
      <c r="H515" s="260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0"/>
    </row>
    <row r="516" ht="15.75" customHeight="1">
      <c r="A516" s="260"/>
      <c r="B516" s="260"/>
      <c r="C516" s="260"/>
      <c r="D516" s="260"/>
      <c r="E516" s="260"/>
      <c r="F516" s="260"/>
      <c r="G516" s="260"/>
      <c r="H516" s="260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0"/>
    </row>
    <row r="517" ht="15.75" customHeight="1">
      <c r="A517" s="260"/>
      <c r="B517" s="260"/>
      <c r="C517" s="260"/>
      <c r="D517" s="260"/>
      <c r="E517" s="260"/>
      <c r="F517" s="260"/>
      <c r="G517" s="260"/>
      <c r="H517" s="260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0"/>
    </row>
    <row r="518" ht="15.75" customHeight="1">
      <c r="A518" s="260"/>
      <c r="B518" s="260"/>
      <c r="C518" s="260"/>
      <c r="D518" s="260"/>
      <c r="E518" s="260"/>
      <c r="F518" s="260"/>
      <c r="G518" s="260"/>
      <c r="H518" s="260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0"/>
    </row>
    <row r="519" ht="15.75" customHeight="1">
      <c r="A519" s="260"/>
      <c r="B519" s="260"/>
      <c r="C519" s="260"/>
      <c r="D519" s="260"/>
      <c r="E519" s="260"/>
      <c r="F519" s="260"/>
      <c r="G519" s="260"/>
      <c r="H519" s="260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0"/>
    </row>
    <row r="520" ht="15.75" customHeight="1">
      <c r="A520" s="260"/>
      <c r="B520" s="260"/>
      <c r="C520" s="260"/>
      <c r="D520" s="260"/>
      <c r="E520" s="260"/>
      <c r="F520" s="260"/>
      <c r="G520" s="260"/>
      <c r="H520" s="260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0"/>
    </row>
    <row r="521" ht="15.75" customHeight="1">
      <c r="A521" s="260"/>
      <c r="B521" s="260"/>
      <c r="C521" s="260"/>
      <c r="D521" s="260"/>
      <c r="E521" s="26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0"/>
    </row>
    <row r="522" ht="15.75" customHeight="1">
      <c r="A522" s="260"/>
      <c r="B522" s="260"/>
      <c r="C522" s="260"/>
      <c r="D522" s="260"/>
      <c r="E522" s="260"/>
      <c r="F522" s="260"/>
      <c r="G522" s="260"/>
      <c r="H522" s="260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0"/>
    </row>
    <row r="523" ht="15.75" customHeight="1">
      <c r="A523" s="260"/>
      <c r="B523" s="260"/>
      <c r="C523" s="260"/>
      <c r="D523" s="260"/>
      <c r="E523" s="260"/>
      <c r="F523" s="260"/>
      <c r="G523" s="260"/>
      <c r="H523" s="260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0"/>
    </row>
    <row r="524" ht="15.75" customHeight="1">
      <c r="A524" s="260"/>
      <c r="B524" s="260"/>
      <c r="C524" s="260"/>
      <c r="D524" s="260"/>
      <c r="E524" s="260"/>
      <c r="F524" s="260"/>
      <c r="G524" s="260"/>
      <c r="H524" s="260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0"/>
    </row>
    <row r="525" ht="15.75" customHeight="1">
      <c r="A525" s="260"/>
      <c r="B525" s="260"/>
      <c r="C525" s="260"/>
      <c r="D525" s="260"/>
      <c r="E525" s="260"/>
      <c r="F525" s="260"/>
      <c r="G525" s="260"/>
      <c r="H525" s="260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0"/>
    </row>
    <row r="526" ht="15.75" customHeight="1">
      <c r="A526" s="260"/>
      <c r="B526" s="260"/>
      <c r="C526" s="260"/>
      <c r="D526" s="260"/>
      <c r="E526" s="260"/>
      <c r="F526" s="260"/>
      <c r="G526" s="260"/>
      <c r="H526" s="260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0"/>
    </row>
    <row r="527" ht="15.75" customHeight="1">
      <c r="A527" s="260"/>
      <c r="B527" s="260"/>
      <c r="C527" s="260"/>
      <c r="D527" s="260"/>
      <c r="E527" s="260"/>
      <c r="F527" s="260"/>
      <c r="G527" s="260"/>
      <c r="H527" s="260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0"/>
    </row>
    <row r="528" ht="15.75" customHeight="1">
      <c r="A528" s="260"/>
      <c r="B528" s="260"/>
      <c r="C528" s="260"/>
      <c r="D528" s="260"/>
      <c r="E528" s="260"/>
      <c r="F528" s="260"/>
      <c r="G528" s="260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</row>
    <row r="529" ht="15.75" customHeight="1">
      <c r="A529" s="260"/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0"/>
    </row>
    <row r="530" ht="15.75" customHeight="1">
      <c r="A530" s="260"/>
      <c r="B530" s="260"/>
      <c r="C530" s="260"/>
      <c r="D530" s="260"/>
      <c r="E530" s="260"/>
      <c r="F530" s="260"/>
      <c r="G530" s="260"/>
      <c r="H530" s="260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0"/>
    </row>
    <row r="531" ht="15.75" customHeight="1">
      <c r="A531" s="260"/>
      <c r="B531" s="260"/>
      <c r="C531" s="260"/>
      <c r="D531" s="260"/>
      <c r="E531" s="260"/>
      <c r="F531" s="260"/>
      <c r="G531" s="260"/>
      <c r="H531" s="260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0"/>
    </row>
    <row r="532" ht="15.75" customHeight="1">
      <c r="A532" s="260"/>
      <c r="B532" s="260"/>
      <c r="C532" s="260"/>
      <c r="D532" s="260"/>
      <c r="E532" s="260"/>
      <c r="F532" s="260"/>
      <c r="G532" s="260"/>
      <c r="H532" s="260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0"/>
    </row>
    <row r="533" ht="15.75" customHeight="1">
      <c r="A533" s="260"/>
      <c r="B533" s="260"/>
      <c r="C533" s="260"/>
      <c r="D533" s="260"/>
      <c r="E533" s="260"/>
      <c r="F533" s="260"/>
      <c r="G533" s="260"/>
      <c r="H533" s="260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0"/>
    </row>
    <row r="534" ht="15.75" customHeight="1">
      <c r="A534" s="260"/>
      <c r="B534" s="260"/>
      <c r="C534" s="260"/>
      <c r="D534" s="260"/>
      <c r="E534" s="260"/>
      <c r="F534" s="260"/>
      <c r="G534" s="260"/>
      <c r="H534" s="260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0"/>
    </row>
    <row r="535" ht="15.75" customHeight="1">
      <c r="A535" s="260"/>
      <c r="B535" s="260"/>
      <c r="C535" s="260"/>
      <c r="D535" s="260"/>
      <c r="E535" s="260"/>
      <c r="F535" s="260"/>
      <c r="G535" s="260"/>
      <c r="H535" s="260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0"/>
    </row>
    <row r="536" ht="15.75" customHeight="1">
      <c r="A536" s="260"/>
      <c r="B536" s="260"/>
      <c r="C536" s="260"/>
      <c r="D536" s="260"/>
      <c r="E536" s="260"/>
      <c r="F536" s="260"/>
      <c r="G536" s="260"/>
      <c r="H536" s="260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0"/>
    </row>
    <row r="537" ht="15.75" customHeight="1">
      <c r="A537" s="260"/>
      <c r="B537" s="260"/>
      <c r="C537" s="260"/>
      <c r="D537" s="260"/>
      <c r="E537" s="260"/>
      <c r="F537" s="260"/>
      <c r="G537" s="260"/>
      <c r="H537" s="260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0"/>
    </row>
    <row r="538" ht="15.75" customHeight="1">
      <c r="A538" s="260"/>
      <c r="B538" s="260"/>
      <c r="C538" s="260"/>
      <c r="D538" s="260"/>
      <c r="E538" s="260"/>
      <c r="F538" s="260"/>
      <c r="G538" s="260"/>
      <c r="H538" s="260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0"/>
    </row>
    <row r="539" ht="15.75" customHeight="1">
      <c r="A539" s="260"/>
      <c r="B539" s="260"/>
      <c r="C539" s="260"/>
      <c r="D539" s="260"/>
      <c r="E539" s="260"/>
      <c r="F539" s="260"/>
      <c r="G539" s="260"/>
      <c r="H539" s="260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0"/>
    </row>
    <row r="540" ht="15.75" customHeight="1">
      <c r="A540" s="260"/>
      <c r="B540" s="260"/>
      <c r="C540" s="260"/>
      <c r="D540" s="260"/>
      <c r="E540" s="260"/>
      <c r="F540" s="260"/>
      <c r="G540" s="260"/>
      <c r="H540" s="260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0"/>
    </row>
    <row r="541" ht="15.75" customHeight="1">
      <c r="A541" s="260"/>
      <c r="B541" s="260"/>
      <c r="C541" s="260"/>
      <c r="D541" s="260"/>
      <c r="E541" s="260"/>
      <c r="F541" s="260"/>
      <c r="G541" s="260"/>
      <c r="H541" s="260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0"/>
    </row>
    <row r="542" ht="15.75" customHeight="1">
      <c r="A542" s="260"/>
      <c r="B542" s="260"/>
      <c r="C542" s="260"/>
      <c r="D542" s="260"/>
      <c r="E542" s="260"/>
      <c r="F542" s="260"/>
      <c r="G542" s="260"/>
      <c r="H542" s="260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</row>
    <row r="543" ht="15.75" customHeight="1">
      <c r="A543" s="260"/>
      <c r="B543" s="260"/>
      <c r="C543" s="260"/>
      <c r="D543" s="260"/>
      <c r="E543" s="260"/>
      <c r="F543" s="260"/>
      <c r="G543" s="260"/>
      <c r="H543" s="260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0"/>
    </row>
    <row r="544" ht="15.75" customHeight="1">
      <c r="A544" s="260"/>
      <c r="B544" s="260"/>
      <c r="C544" s="260"/>
      <c r="D544" s="260"/>
      <c r="E544" s="260"/>
      <c r="F544" s="260"/>
      <c r="G544" s="260"/>
      <c r="H544" s="260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0"/>
    </row>
    <row r="545" ht="15.75" customHeight="1">
      <c r="A545" s="260"/>
      <c r="B545" s="260"/>
      <c r="C545" s="260"/>
      <c r="D545" s="260"/>
      <c r="E545" s="260"/>
      <c r="F545" s="260"/>
      <c r="G545" s="260"/>
      <c r="H545" s="260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0"/>
    </row>
    <row r="546" ht="15.75" customHeight="1">
      <c r="A546" s="260"/>
      <c r="B546" s="260"/>
      <c r="C546" s="260"/>
      <c r="D546" s="260"/>
      <c r="E546" s="260"/>
      <c r="F546" s="260"/>
      <c r="G546" s="260"/>
      <c r="H546" s="260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0"/>
    </row>
    <row r="547" ht="15.75" customHeight="1">
      <c r="A547" s="260"/>
      <c r="B547" s="260"/>
      <c r="C547" s="260"/>
      <c r="D547" s="260"/>
      <c r="E547" s="260"/>
      <c r="F547" s="260"/>
      <c r="G547" s="260"/>
      <c r="H547" s="260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0"/>
    </row>
    <row r="548" ht="15.75" customHeight="1">
      <c r="A548" s="260"/>
      <c r="B548" s="260"/>
      <c r="C548" s="260"/>
      <c r="D548" s="260"/>
      <c r="E548" s="260"/>
      <c r="F548" s="260"/>
      <c r="G548" s="260"/>
      <c r="H548" s="260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0"/>
    </row>
    <row r="549" ht="15.75" customHeight="1">
      <c r="A549" s="260"/>
      <c r="B549" s="260"/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0"/>
    </row>
    <row r="550" ht="15.75" customHeight="1">
      <c r="A550" s="260"/>
      <c r="B550" s="260"/>
      <c r="C550" s="260"/>
      <c r="D550" s="260"/>
      <c r="E550" s="260"/>
      <c r="F550" s="260"/>
      <c r="G550" s="260"/>
      <c r="H550" s="260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0"/>
    </row>
    <row r="551" ht="15.75" customHeight="1">
      <c r="A551" s="260"/>
      <c r="B551" s="260"/>
      <c r="C551" s="260"/>
      <c r="D551" s="260"/>
      <c r="E551" s="260"/>
      <c r="F551" s="260"/>
      <c r="G551" s="260"/>
      <c r="H551" s="260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0"/>
    </row>
    <row r="552" ht="15.75" customHeight="1">
      <c r="A552" s="260"/>
      <c r="B552" s="260"/>
      <c r="C552" s="260"/>
      <c r="D552" s="260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0"/>
    </row>
    <row r="553" ht="15.75" customHeight="1">
      <c r="A553" s="260"/>
      <c r="B553" s="260"/>
      <c r="C553" s="260"/>
      <c r="D553" s="260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0"/>
    </row>
    <row r="554" ht="15.75" customHeight="1">
      <c r="A554" s="260"/>
      <c r="B554" s="260"/>
      <c r="C554" s="260"/>
      <c r="D554" s="260"/>
      <c r="E554" s="260"/>
      <c r="F554" s="260"/>
      <c r="G554" s="260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0"/>
    </row>
    <row r="555" ht="15.75" customHeight="1">
      <c r="A555" s="260"/>
      <c r="B555" s="260"/>
      <c r="C555" s="260"/>
      <c r="D555" s="260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0"/>
    </row>
    <row r="556" ht="15.75" customHeight="1">
      <c r="A556" s="260"/>
      <c r="B556" s="260"/>
      <c r="C556" s="260"/>
      <c r="D556" s="260"/>
      <c r="E556" s="260"/>
      <c r="F556" s="260"/>
      <c r="G556" s="260"/>
      <c r="H556" s="260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</row>
    <row r="557" ht="15.75" customHeight="1">
      <c r="A557" s="260"/>
      <c r="B557" s="260"/>
      <c r="C557" s="260"/>
      <c r="D557" s="260"/>
      <c r="E557" s="260"/>
      <c r="F557" s="260"/>
      <c r="G557" s="260"/>
      <c r="H557" s="260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0"/>
    </row>
    <row r="558" ht="15.75" customHeight="1">
      <c r="A558" s="260"/>
      <c r="B558" s="260"/>
      <c r="C558" s="260"/>
      <c r="D558" s="260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0"/>
    </row>
    <row r="559" ht="15.75" customHeight="1">
      <c r="A559" s="260"/>
      <c r="B559" s="260"/>
      <c r="C559" s="260"/>
      <c r="D559" s="260"/>
      <c r="E559" s="260"/>
      <c r="F559" s="260"/>
      <c r="G559" s="260"/>
      <c r="H559" s="260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0"/>
    </row>
    <row r="560" ht="15.75" customHeight="1">
      <c r="A560" s="260"/>
      <c r="B560" s="260"/>
      <c r="C560" s="260"/>
      <c r="D560" s="260"/>
      <c r="E560" s="260"/>
      <c r="F560" s="260"/>
      <c r="G560" s="260"/>
      <c r="H560" s="260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0"/>
    </row>
    <row r="561" ht="15.75" customHeight="1">
      <c r="A561" s="260"/>
      <c r="B561" s="260"/>
      <c r="C561" s="260"/>
      <c r="D561" s="260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0"/>
    </row>
    <row r="562" ht="15.75" customHeight="1">
      <c r="A562" s="260"/>
      <c r="B562" s="260"/>
      <c r="C562" s="260"/>
      <c r="D562" s="260"/>
      <c r="E562" s="260"/>
      <c r="F562" s="260"/>
      <c r="G562" s="260"/>
      <c r="H562" s="260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0"/>
    </row>
    <row r="563" ht="15.75" customHeight="1">
      <c r="A563" s="260"/>
      <c r="B563" s="260"/>
      <c r="C563" s="260"/>
      <c r="D563" s="260"/>
      <c r="E563" s="260"/>
      <c r="F563" s="260"/>
      <c r="G563" s="260"/>
      <c r="H563" s="260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0"/>
    </row>
    <row r="564" ht="15.75" customHeight="1">
      <c r="A564" s="260"/>
      <c r="B564" s="260"/>
      <c r="C564" s="260"/>
      <c r="D564" s="260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0"/>
    </row>
    <row r="565" ht="15.75" customHeight="1">
      <c r="A565" s="260"/>
      <c r="B565" s="260"/>
      <c r="C565" s="260"/>
      <c r="D565" s="260"/>
      <c r="E565" s="260"/>
      <c r="F565" s="260"/>
      <c r="G565" s="260"/>
      <c r="H565" s="260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0"/>
    </row>
    <row r="566" ht="15.75" customHeight="1">
      <c r="A566" s="260"/>
      <c r="B566" s="260"/>
      <c r="C566" s="260"/>
      <c r="D566" s="260"/>
      <c r="E566" s="260"/>
      <c r="F566" s="260"/>
      <c r="G566" s="260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0"/>
    </row>
    <row r="567" ht="15.75" customHeight="1">
      <c r="A567" s="260"/>
      <c r="B567" s="260"/>
      <c r="C567" s="260"/>
      <c r="D567" s="260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0"/>
    </row>
    <row r="568" ht="15.75" customHeight="1">
      <c r="A568" s="260"/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0"/>
    </row>
    <row r="569" ht="15.75" customHeight="1">
      <c r="A569" s="260"/>
      <c r="B569" s="260"/>
      <c r="C569" s="260"/>
      <c r="D569" s="260"/>
      <c r="E569" s="260"/>
      <c r="F569" s="260"/>
      <c r="G569" s="260"/>
      <c r="H569" s="260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0"/>
    </row>
    <row r="570" ht="15.75" customHeight="1">
      <c r="A570" s="260"/>
      <c r="B570" s="260"/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0"/>
    </row>
    <row r="571" ht="15.75" customHeight="1">
      <c r="A571" s="260"/>
      <c r="B571" s="260"/>
      <c r="C571" s="260"/>
      <c r="D571" s="260"/>
      <c r="E571" s="260"/>
      <c r="F571" s="260"/>
      <c r="G571" s="260"/>
      <c r="H571" s="260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0"/>
    </row>
    <row r="572" ht="15.75" customHeight="1">
      <c r="A572" s="260"/>
      <c r="B572" s="260"/>
      <c r="C572" s="260"/>
      <c r="D572" s="260"/>
      <c r="E572" s="260"/>
      <c r="F572" s="260"/>
      <c r="G572" s="260"/>
      <c r="H572" s="260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0"/>
    </row>
    <row r="573" ht="15.75" customHeight="1">
      <c r="A573" s="260"/>
      <c r="B573" s="260"/>
      <c r="C573" s="260"/>
      <c r="D573" s="260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0"/>
    </row>
    <row r="574" ht="15.75" customHeight="1">
      <c r="A574" s="260"/>
      <c r="B574" s="260"/>
      <c r="C574" s="260"/>
      <c r="D574" s="260"/>
      <c r="E574" s="260"/>
      <c r="F574" s="260"/>
      <c r="G574" s="260"/>
      <c r="H574" s="260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0"/>
    </row>
    <row r="575" ht="15.75" customHeight="1">
      <c r="A575" s="260"/>
      <c r="B575" s="260"/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0"/>
    </row>
    <row r="576" ht="15.75" customHeight="1">
      <c r="A576" s="260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0"/>
    </row>
    <row r="577" ht="15.75" customHeight="1">
      <c r="A577" s="260"/>
      <c r="B577" s="260"/>
      <c r="C577" s="260"/>
      <c r="D577" s="260"/>
      <c r="E577" s="260"/>
      <c r="F577" s="260"/>
      <c r="G577" s="260"/>
      <c r="H577" s="260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0"/>
    </row>
    <row r="578" ht="15.75" customHeight="1">
      <c r="A578" s="260"/>
      <c r="B578" s="260"/>
      <c r="C578" s="260"/>
      <c r="D578" s="260"/>
      <c r="E578" s="260"/>
      <c r="F578" s="260"/>
      <c r="G578" s="260"/>
      <c r="H578" s="260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0"/>
    </row>
    <row r="579" ht="15.75" customHeight="1">
      <c r="A579" s="260"/>
      <c r="B579" s="260"/>
      <c r="C579" s="260"/>
      <c r="D579" s="260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0"/>
    </row>
    <row r="580" ht="15.75" customHeight="1">
      <c r="A580" s="260"/>
      <c r="B580" s="260"/>
      <c r="C580" s="260"/>
      <c r="D580" s="260"/>
      <c r="E580" s="260"/>
      <c r="F580" s="260"/>
      <c r="G580" s="260"/>
      <c r="H580" s="260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0"/>
    </row>
    <row r="581" ht="15.75" customHeight="1">
      <c r="A581" s="260"/>
      <c r="B581" s="260"/>
      <c r="C581" s="260"/>
      <c r="D581" s="260"/>
      <c r="E581" s="260"/>
      <c r="F581" s="260"/>
      <c r="G581" s="260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0"/>
    </row>
    <row r="582" ht="15.75" customHeight="1">
      <c r="A582" s="260"/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0"/>
    </row>
    <row r="583" ht="15.75" customHeight="1">
      <c r="A583" s="260"/>
      <c r="B583" s="260"/>
      <c r="C583" s="260"/>
      <c r="D583" s="260"/>
      <c r="E583" s="260"/>
      <c r="F583" s="260"/>
      <c r="G583" s="260"/>
      <c r="H583" s="260"/>
      <c r="I583" s="260"/>
      <c r="J583" s="260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0"/>
    </row>
    <row r="584" ht="15.75" customHeight="1">
      <c r="A584" s="260"/>
      <c r="B584" s="260"/>
      <c r="C584" s="260"/>
      <c r="D584" s="260"/>
      <c r="E584" s="260"/>
      <c r="F584" s="260"/>
      <c r="G584" s="260"/>
      <c r="H584" s="260"/>
      <c r="I584" s="260"/>
      <c r="J584" s="260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0"/>
    </row>
    <row r="585" ht="15.75" customHeight="1">
      <c r="A585" s="260"/>
      <c r="B585" s="260"/>
      <c r="C585" s="260"/>
      <c r="D585" s="260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0"/>
    </row>
    <row r="586" ht="15.75" customHeight="1">
      <c r="A586" s="260"/>
      <c r="B586" s="260"/>
      <c r="C586" s="260"/>
      <c r="D586" s="260"/>
      <c r="E586" s="260"/>
      <c r="F586" s="260"/>
      <c r="G586" s="260"/>
      <c r="H586" s="260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0"/>
    </row>
    <row r="587" ht="15.75" customHeight="1">
      <c r="A587" s="260"/>
      <c r="B587" s="260"/>
      <c r="C587" s="260"/>
      <c r="D587" s="260"/>
      <c r="E587" s="260"/>
      <c r="F587" s="260"/>
      <c r="G587" s="260"/>
      <c r="H587" s="260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0"/>
    </row>
    <row r="588" ht="15.75" customHeight="1">
      <c r="A588" s="260"/>
      <c r="B588" s="260"/>
      <c r="C588" s="260"/>
      <c r="D588" s="260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0"/>
    </row>
    <row r="589" ht="15.75" customHeight="1">
      <c r="A589" s="260"/>
      <c r="B589" s="260"/>
      <c r="C589" s="260"/>
      <c r="D589" s="260"/>
      <c r="E589" s="260"/>
      <c r="F589" s="260"/>
      <c r="G589" s="260"/>
      <c r="H589" s="260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0"/>
    </row>
    <row r="590" ht="15.75" customHeight="1">
      <c r="A590" s="260"/>
      <c r="B590" s="260"/>
      <c r="C590" s="260"/>
      <c r="D590" s="260"/>
      <c r="E590" s="260"/>
      <c r="F590" s="260"/>
      <c r="G590" s="260"/>
      <c r="H590" s="260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0"/>
    </row>
    <row r="591" ht="15.75" customHeight="1">
      <c r="A591" s="260"/>
      <c r="B591" s="260"/>
      <c r="C591" s="260"/>
      <c r="D591" s="260"/>
      <c r="E591" s="260"/>
      <c r="F591" s="260"/>
      <c r="G591" s="260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0"/>
    </row>
    <row r="592" ht="15.75" customHeight="1">
      <c r="A592" s="260"/>
      <c r="B592" s="260"/>
      <c r="C592" s="260"/>
      <c r="D592" s="260"/>
      <c r="E592" s="260"/>
      <c r="F592" s="260"/>
      <c r="G592" s="260"/>
      <c r="H592" s="260"/>
      <c r="I592" s="260"/>
      <c r="J592" s="260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0"/>
    </row>
    <row r="593" ht="15.75" customHeight="1">
      <c r="A593" s="260"/>
      <c r="B593" s="260"/>
      <c r="C593" s="260"/>
      <c r="D593" s="260"/>
      <c r="E593" s="260"/>
      <c r="F593" s="260"/>
      <c r="G593" s="260"/>
      <c r="H593" s="260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0"/>
    </row>
    <row r="594" ht="15.75" customHeight="1">
      <c r="A594" s="260"/>
      <c r="B594" s="260"/>
      <c r="C594" s="260"/>
      <c r="D594" s="260"/>
      <c r="E594" s="260"/>
      <c r="F594" s="260"/>
      <c r="G594" s="260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0"/>
    </row>
    <row r="595" ht="15.75" customHeight="1">
      <c r="A595" s="260"/>
      <c r="B595" s="260"/>
      <c r="C595" s="260"/>
      <c r="D595" s="260"/>
      <c r="E595" s="260"/>
      <c r="F595" s="260"/>
      <c r="G595" s="260"/>
      <c r="H595" s="260"/>
      <c r="I595" s="260"/>
      <c r="J595" s="260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0"/>
    </row>
    <row r="596" ht="15.75" customHeight="1">
      <c r="A596" s="260"/>
      <c r="B596" s="260"/>
      <c r="C596" s="260"/>
      <c r="D596" s="260"/>
      <c r="E596" s="260"/>
      <c r="F596" s="260"/>
      <c r="G596" s="260"/>
      <c r="H596" s="260"/>
      <c r="I596" s="260"/>
      <c r="J596" s="260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  <c r="Z596" s="260"/>
    </row>
    <row r="597" ht="15.75" customHeight="1">
      <c r="A597" s="260"/>
      <c r="B597" s="260"/>
      <c r="C597" s="260"/>
      <c r="D597" s="260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0"/>
    </row>
    <row r="598" ht="15.75" customHeight="1">
      <c r="A598" s="260"/>
      <c r="B598" s="260"/>
      <c r="C598" s="260"/>
      <c r="D598" s="260"/>
      <c r="E598" s="260"/>
      <c r="F598" s="260"/>
      <c r="G598" s="260"/>
      <c r="H598" s="260"/>
      <c r="I598" s="260"/>
      <c r="J598" s="260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  <c r="Z598" s="260"/>
    </row>
    <row r="599" ht="15.75" customHeight="1">
      <c r="A599" s="260"/>
      <c r="B599" s="260"/>
      <c r="C599" s="260"/>
      <c r="D599" s="260"/>
      <c r="E599" s="260"/>
      <c r="F599" s="260"/>
      <c r="G599" s="260"/>
      <c r="H599" s="260"/>
      <c r="I599" s="260"/>
      <c r="J599" s="260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  <c r="Z599" s="260"/>
    </row>
    <row r="600" ht="15.75" customHeight="1">
      <c r="A600" s="260"/>
      <c r="B600" s="260"/>
      <c r="C600" s="260"/>
      <c r="D600" s="260"/>
      <c r="E600" s="260"/>
      <c r="F600" s="260"/>
      <c r="G600" s="260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0"/>
    </row>
    <row r="601" ht="15.75" customHeight="1">
      <c r="A601" s="260"/>
      <c r="B601" s="260"/>
      <c r="C601" s="260"/>
      <c r="D601" s="260"/>
      <c r="E601" s="260"/>
      <c r="F601" s="260"/>
      <c r="G601" s="260"/>
      <c r="H601" s="260"/>
      <c r="I601" s="260"/>
      <c r="J601" s="260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0"/>
    </row>
    <row r="602" ht="15.75" customHeight="1">
      <c r="A602" s="260"/>
      <c r="B602" s="260"/>
      <c r="C602" s="260"/>
      <c r="D602" s="260"/>
      <c r="E602" s="260"/>
      <c r="F602" s="260"/>
      <c r="G602" s="260"/>
      <c r="H602" s="260"/>
      <c r="I602" s="260"/>
      <c r="J602" s="260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0"/>
    </row>
    <row r="603" ht="15.75" customHeight="1">
      <c r="A603" s="260"/>
      <c r="B603" s="260"/>
      <c r="C603" s="260"/>
      <c r="D603" s="260"/>
      <c r="E603" s="260"/>
      <c r="F603" s="260"/>
      <c r="G603" s="260"/>
      <c r="H603" s="260"/>
      <c r="I603" s="260"/>
      <c r="J603" s="260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0"/>
    </row>
    <row r="604" ht="15.75" customHeight="1">
      <c r="A604" s="260"/>
      <c r="B604" s="260"/>
      <c r="C604" s="260"/>
      <c r="D604" s="260"/>
      <c r="E604" s="260"/>
      <c r="F604" s="260"/>
      <c r="G604" s="260"/>
      <c r="H604" s="260"/>
      <c r="I604" s="260"/>
      <c r="J604" s="260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0"/>
    </row>
    <row r="605" ht="15.75" customHeight="1">
      <c r="A605" s="260"/>
      <c r="B605" s="260"/>
      <c r="C605" s="260"/>
      <c r="D605" s="260"/>
      <c r="E605" s="260"/>
      <c r="F605" s="260"/>
      <c r="G605" s="260"/>
      <c r="H605" s="260"/>
      <c r="I605" s="260"/>
      <c r="J605" s="260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0"/>
    </row>
    <row r="606" ht="15.75" customHeight="1">
      <c r="A606" s="260"/>
      <c r="B606" s="260"/>
      <c r="C606" s="260"/>
      <c r="D606" s="260"/>
      <c r="E606" s="260"/>
      <c r="F606" s="260"/>
      <c r="G606" s="260"/>
      <c r="H606" s="260"/>
      <c r="I606" s="260"/>
      <c r="J606" s="260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0"/>
    </row>
    <row r="607" ht="15.75" customHeight="1">
      <c r="A607" s="260"/>
      <c r="B607" s="260"/>
      <c r="C607" s="260"/>
      <c r="D607" s="260"/>
      <c r="E607" s="260"/>
      <c r="F607" s="260"/>
      <c r="G607" s="260"/>
      <c r="H607" s="260"/>
      <c r="I607" s="260"/>
      <c r="J607" s="260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0"/>
    </row>
    <row r="608" ht="15.75" customHeight="1">
      <c r="A608" s="260"/>
      <c r="B608" s="260"/>
      <c r="C608" s="260"/>
      <c r="D608" s="260"/>
      <c r="E608" s="260"/>
      <c r="F608" s="260"/>
      <c r="G608" s="260"/>
      <c r="H608" s="260"/>
      <c r="I608" s="260"/>
      <c r="J608" s="260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0"/>
    </row>
    <row r="609" ht="15.75" customHeight="1">
      <c r="A609" s="260"/>
      <c r="B609" s="260"/>
      <c r="C609" s="260"/>
      <c r="D609" s="260"/>
      <c r="E609" s="260"/>
      <c r="F609" s="260"/>
      <c r="G609" s="260"/>
      <c r="H609" s="260"/>
      <c r="I609" s="260"/>
      <c r="J609" s="260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0"/>
    </row>
    <row r="610" ht="15.75" customHeight="1">
      <c r="A610" s="260"/>
      <c r="B610" s="260"/>
      <c r="C610" s="260"/>
      <c r="D610" s="260"/>
      <c r="E610" s="260"/>
      <c r="F610" s="260"/>
      <c r="G610" s="260"/>
      <c r="H610" s="260"/>
      <c r="I610" s="260"/>
      <c r="J610" s="260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0"/>
    </row>
    <row r="611" ht="15.75" customHeight="1">
      <c r="A611" s="260"/>
      <c r="B611" s="260"/>
      <c r="C611" s="260"/>
      <c r="D611" s="260"/>
      <c r="E611" s="260"/>
      <c r="F611" s="260"/>
      <c r="G611" s="260"/>
      <c r="H611" s="260"/>
      <c r="I611" s="260"/>
      <c r="J611" s="260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0"/>
    </row>
    <row r="612" ht="15.75" customHeight="1">
      <c r="A612" s="260"/>
      <c r="B612" s="260"/>
      <c r="C612" s="260"/>
      <c r="D612" s="260"/>
      <c r="E612" s="260"/>
      <c r="F612" s="260"/>
      <c r="G612" s="260"/>
      <c r="H612" s="260"/>
      <c r="I612" s="260"/>
      <c r="J612" s="260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0"/>
    </row>
    <row r="613" ht="15.75" customHeight="1">
      <c r="A613" s="260"/>
      <c r="B613" s="260"/>
      <c r="C613" s="260"/>
      <c r="D613" s="260"/>
      <c r="E613" s="260"/>
      <c r="F613" s="260"/>
      <c r="G613" s="260"/>
      <c r="H613" s="260"/>
      <c r="I613" s="260"/>
      <c r="J613" s="260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0"/>
    </row>
    <row r="614" ht="15.75" customHeight="1">
      <c r="A614" s="260"/>
      <c r="B614" s="260"/>
      <c r="C614" s="260"/>
      <c r="D614" s="260"/>
      <c r="E614" s="260"/>
      <c r="F614" s="260"/>
      <c r="G614" s="260"/>
      <c r="H614" s="260"/>
      <c r="I614" s="260"/>
      <c r="J614" s="260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0"/>
    </row>
    <row r="615" ht="15.75" customHeight="1">
      <c r="A615" s="260"/>
      <c r="B615" s="260"/>
      <c r="C615" s="260"/>
      <c r="D615" s="260"/>
      <c r="E615" s="260"/>
      <c r="F615" s="260"/>
      <c r="G615" s="260"/>
      <c r="H615" s="260"/>
      <c r="I615" s="260"/>
      <c r="J615" s="260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0"/>
    </row>
    <row r="616" ht="15.75" customHeight="1">
      <c r="A616" s="260"/>
      <c r="B616" s="260"/>
      <c r="C616" s="260"/>
      <c r="D616" s="260"/>
      <c r="E616" s="260"/>
      <c r="F616" s="260"/>
      <c r="G616" s="260"/>
      <c r="H616" s="260"/>
      <c r="I616" s="260"/>
      <c r="J616" s="260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0"/>
    </row>
    <row r="617" ht="15.75" customHeight="1">
      <c r="A617" s="260"/>
      <c r="B617" s="260"/>
      <c r="C617" s="260"/>
      <c r="D617" s="260"/>
      <c r="E617" s="260"/>
      <c r="F617" s="260"/>
      <c r="G617" s="260"/>
      <c r="H617" s="260"/>
      <c r="I617" s="260"/>
      <c r="J617" s="260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0"/>
    </row>
    <row r="618" ht="15.75" customHeight="1">
      <c r="A618" s="260"/>
      <c r="B618" s="260"/>
      <c r="C618" s="260"/>
      <c r="D618" s="260"/>
      <c r="E618" s="260"/>
      <c r="F618" s="260"/>
      <c r="G618" s="260"/>
      <c r="H618" s="260"/>
      <c r="I618" s="260"/>
      <c r="J618" s="260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0"/>
    </row>
    <row r="619" ht="15.75" customHeight="1">
      <c r="A619" s="260"/>
      <c r="B619" s="260"/>
      <c r="C619" s="260"/>
      <c r="D619" s="260"/>
      <c r="E619" s="260"/>
      <c r="F619" s="260"/>
      <c r="G619" s="260"/>
      <c r="H619" s="260"/>
      <c r="I619" s="260"/>
      <c r="J619" s="260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0"/>
    </row>
    <row r="620" ht="15.75" customHeight="1">
      <c r="A620" s="260"/>
      <c r="B620" s="260"/>
      <c r="C620" s="260"/>
      <c r="D620" s="260"/>
      <c r="E620" s="260"/>
      <c r="F620" s="260"/>
      <c r="G620" s="260"/>
      <c r="H620" s="260"/>
      <c r="I620" s="260"/>
      <c r="J620" s="260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0"/>
    </row>
    <row r="621" ht="15.75" customHeight="1">
      <c r="A621" s="260"/>
      <c r="B621" s="260"/>
      <c r="C621" s="260"/>
      <c r="D621" s="260"/>
      <c r="E621" s="260"/>
      <c r="F621" s="260"/>
      <c r="G621" s="260"/>
      <c r="H621" s="260"/>
      <c r="I621" s="260"/>
      <c r="J621" s="260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0"/>
    </row>
    <row r="622" ht="15.75" customHeight="1">
      <c r="A622" s="260"/>
      <c r="B622" s="260"/>
      <c r="C622" s="260"/>
      <c r="D622" s="260"/>
      <c r="E622" s="260"/>
      <c r="F622" s="260"/>
      <c r="G622" s="260"/>
      <c r="H622" s="260"/>
      <c r="I622" s="260"/>
      <c r="J622" s="260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0"/>
    </row>
    <row r="623" ht="15.75" customHeight="1">
      <c r="A623" s="260"/>
      <c r="B623" s="260"/>
      <c r="C623" s="260"/>
      <c r="D623" s="260"/>
      <c r="E623" s="260"/>
      <c r="F623" s="260"/>
      <c r="G623" s="260"/>
      <c r="H623" s="260"/>
      <c r="I623" s="260"/>
      <c r="J623" s="260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0"/>
    </row>
    <row r="624" ht="15.75" customHeight="1">
      <c r="A624" s="260"/>
      <c r="B624" s="260"/>
      <c r="C624" s="260"/>
      <c r="D624" s="260"/>
      <c r="E624" s="260"/>
      <c r="F624" s="260"/>
      <c r="G624" s="260"/>
      <c r="H624" s="260"/>
      <c r="I624" s="260"/>
      <c r="J624" s="260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  <c r="Z624" s="260"/>
    </row>
    <row r="625" ht="15.75" customHeight="1">
      <c r="A625" s="260"/>
      <c r="B625" s="260"/>
      <c r="C625" s="260"/>
      <c r="D625" s="260"/>
      <c r="E625" s="260"/>
      <c r="F625" s="260"/>
      <c r="G625" s="260"/>
      <c r="H625" s="260"/>
      <c r="I625" s="260"/>
      <c r="J625" s="260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0"/>
    </row>
    <row r="626" ht="15.75" customHeight="1">
      <c r="A626" s="260"/>
      <c r="B626" s="260"/>
      <c r="C626" s="260"/>
      <c r="D626" s="260"/>
      <c r="E626" s="260"/>
      <c r="F626" s="260"/>
      <c r="G626" s="260"/>
      <c r="H626" s="260"/>
      <c r="I626" s="260"/>
      <c r="J626" s="260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</row>
    <row r="627" ht="15.75" customHeight="1">
      <c r="A627" s="260"/>
      <c r="B627" s="260"/>
      <c r="C627" s="260"/>
      <c r="D627" s="260"/>
      <c r="E627" s="260"/>
      <c r="F627" s="260"/>
      <c r="G627" s="260"/>
      <c r="H627" s="260"/>
      <c r="I627" s="260"/>
      <c r="J627" s="260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0"/>
    </row>
    <row r="628" ht="15.75" customHeight="1">
      <c r="A628" s="260"/>
      <c r="B628" s="260"/>
      <c r="C628" s="260"/>
      <c r="D628" s="260"/>
      <c r="E628" s="260"/>
      <c r="F628" s="260"/>
      <c r="G628" s="260"/>
      <c r="H628" s="260"/>
      <c r="I628" s="260"/>
      <c r="J628" s="260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  <c r="Z628" s="260"/>
    </row>
    <row r="629" ht="15.75" customHeight="1">
      <c r="A629" s="260"/>
      <c r="B629" s="260"/>
      <c r="C629" s="260"/>
      <c r="D629" s="260"/>
      <c r="E629" s="260"/>
      <c r="F629" s="260"/>
      <c r="G629" s="260"/>
      <c r="H629" s="260"/>
      <c r="I629" s="260"/>
      <c r="J629" s="260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  <c r="Z629" s="260"/>
    </row>
    <row r="630" ht="15.75" customHeight="1">
      <c r="A630" s="260"/>
      <c r="B630" s="260"/>
      <c r="C630" s="260"/>
      <c r="D630" s="260"/>
      <c r="E630" s="260"/>
      <c r="F630" s="260"/>
      <c r="G630" s="260"/>
      <c r="H630" s="260"/>
      <c r="I630" s="260"/>
      <c r="J630" s="260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  <c r="Z630" s="260"/>
    </row>
    <row r="631" ht="15.75" customHeight="1">
      <c r="A631" s="260"/>
      <c r="B631" s="260"/>
      <c r="C631" s="260"/>
      <c r="D631" s="260"/>
      <c r="E631" s="260"/>
      <c r="F631" s="260"/>
      <c r="G631" s="260"/>
      <c r="H631" s="260"/>
      <c r="I631" s="260"/>
      <c r="J631" s="260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  <c r="Z631" s="260"/>
    </row>
    <row r="632" ht="15.75" customHeight="1">
      <c r="A632" s="260"/>
      <c r="B632" s="260"/>
      <c r="C632" s="260"/>
      <c r="D632" s="260"/>
      <c r="E632" s="260"/>
      <c r="F632" s="260"/>
      <c r="G632" s="260"/>
      <c r="H632" s="260"/>
      <c r="I632" s="260"/>
      <c r="J632" s="260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0"/>
    </row>
    <row r="633" ht="15.75" customHeight="1">
      <c r="A633" s="260"/>
      <c r="B633" s="260"/>
      <c r="C633" s="260"/>
      <c r="D633" s="260"/>
      <c r="E633" s="260"/>
      <c r="F633" s="260"/>
      <c r="G633" s="260"/>
      <c r="H633" s="260"/>
      <c r="I633" s="260"/>
      <c r="J633" s="260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0"/>
    </row>
    <row r="634" ht="15.75" customHeight="1">
      <c r="A634" s="260"/>
      <c r="B634" s="260"/>
      <c r="C634" s="260"/>
      <c r="D634" s="260"/>
      <c r="E634" s="260"/>
      <c r="F634" s="260"/>
      <c r="G634" s="260"/>
      <c r="H634" s="260"/>
      <c r="I634" s="260"/>
      <c r="J634" s="260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0"/>
    </row>
    <row r="635" ht="15.75" customHeight="1">
      <c r="A635" s="260"/>
      <c r="B635" s="260"/>
      <c r="C635" s="260"/>
      <c r="D635" s="260"/>
      <c r="E635" s="260"/>
      <c r="F635" s="260"/>
      <c r="G635" s="260"/>
      <c r="H635" s="260"/>
      <c r="I635" s="260"/>
      <c r="J635" s="260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0"/>
    </row>
    <row r="636" ht="15.75" customHeight="1">
      <c r="A636" s="260"/>
      <c r="B636" s="260"/>
      <c r="C636" s="260"/>
      <c r="D636" s="260"/>
      <c r="E636" s="260"/>
      <c r="F636" s="260"/>
      <c r="G636" s="260"/>
      <c r="H636" s="260"/>
      <c r="I636" s="260"/>
      <c r="J636" s="260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  <c r="Z636" s="260"/>
    </row>
    <row r="637" ht="15.75" customHeight="1">
      <c r="A637" s="260"/>
      <c r="B637" s="260"/>
      <c r="C637" s="260"/>
      <c r="D637" s="260"/>
      <c r="E637" s="260"/>
      <c r="F637" s="260"/>
      <c r="G637" s="260"/>
      <c r="H637" s="260"/>
      <c r="I637" s="260"/>
      <c r="J637" s="260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0"/>
    </row>
    <row r="638" ht="15.75" customHeight="1">
      <c r="A638" s="260"/>
      <c r="B638" s="260"/>
      <c r="C638" s="260"/>
      <c r="D638" s="260"/>
      <c r="E638" s="260"/>
      <c r="F638" s="260"/>
      <c r="G638" s="260"/>
      <c r="H638" s="260"/>
      <c r="I638" s="260"/>
      <c r="J638" s="260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  <c r="Z638" s="260"/>
    </row>
    <row r="639" ht="15.75" customHeight="1">
      <c r="A639" s="260"/>
      <c r="B639" s="260"/>
      <c r="C639" s="260"/>
      <c r="D639" s="260"/>
      <c r="E639" s="260"/>
      <c r="F639" s="260"/>
      <c r="G639" s="260"/>
      <c r="H639" s="260"/>
      <c r="I639" s="260"/>
      <c r="J639" s="260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  <c r="Z639" s="260"/>
    </row>
    <row r="640" ht="15.75" customHeight="1">
      <c r="A640" s="260"/>
      <c r="B640" s="260"/>
      <c r="C640" s="260"/>
      <c r="D640" s="260"/>
      <c r="E640" s="260"/>
      <c r="F640" s="260"/>
      <c r="G640" s="260"/>
      <c r="H640" s="260"/>
      <c r="I640" s="260"/>
      <c r="J640" s="260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  <c r="Z640" s="260"/>
    </row>
    <row r="641" ht="15.75" customHeight="1">
      <c r="A641" s="260"/>
      <c r="B641" s="260"/>
      <c r="C641" s="260"/>
      <c r="D641" s="260"/>
      <c r="E641" s="260"/>
      <c r="F641" s="260"/>
      <c r="G641" s="260"/>
      <c r="H641" s="260"/>
      <c r="I641" s="260"/>
      <c r="J641" s="260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  <c r="Z641" s="260"/>
    </row>
    <row r="642" ht="15.75" customHeight="1">
      <c r="A642" s="260"/>
      <c r="B642" s="260"/>
      <c r="C642" s="260"/>
      <c r="D642" s="260"/>
      <c r="E642" s="260"/>
      <c r="F642" s="260"/>
      <c r="G642" s="260"/>
      <c r="H642" s="260"/>
      <c r="I642" s="260"/>
      <c r="J642" s="260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  <c r="Z642" s="260"/>
    </row>
    <row r="643" ht="15.75" customHeight="1">
      <c r="A643" s="260"/>
      <c r="B643" s="260"/>
      <c r="C643" s="260"/>
      <c r="D643" s="260"/>
      <c r="E643" s="260"/>
      <c r="F643" s="260"/>
      <c r="G643" s="260"/>
      <c r="H643" s="260"/>
      <c r="I643" s="260"/>
      <c r="J643" s="260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  <c r="Z643" s="260"/>
    </row>
    <row r="644" ht="15.75" customHeight="1">
      <c r="A644" s="260"/>
      <c r="B644" s="260"/>
      <c r="C644" s="260"/>
      <c r="D644" s="260"/>
      <c r="E644" s="260"/>
      <c r="F644" s="260"/>
      <c r="G644" s="260"/>
      <c r="H644" s="260"/>
      <c r="I644" s="260"/>
      <c r="J644" s="260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  <c r="Z644" s="260"/>
    </row>
    <row r="645" ht="15.75" customHeight="1">
      <c r="A645" s="260"/>
      <c r="B645" s="260"/>
      <c r="C645" s="260"/>
      <c r="D645" s="260"/>
      <c r="E645" s="260"/>
      <c r="F645" s="260"/>
      <c r="G645" s="260"/>
      <c r="H645" s="260"/>
      <c r="I645" s="260"/>
      <c r="J645" s="260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  <c r="Z645" s="260"/>
    </row>
    <row r="646" ht="15.75" customHeight="1">
      <c r="A646" s="260"/>
      <c r="B646" s="260"/>
      <c r="C646" s="260"/>
      <c r="D646" s="260"/>
      <c r="E646" s="260"/>
      <c r="F646" s="260"/>
      <c r="G646" s="260"/>
      <c r="H646" s="260"/>
      <c r="I646" s="260"/>
      <c r="J646" s="260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  <c r="Z646" s="260"/>
    </row>
    <row r="647" ht="15.75" customHeight="1">
      <c r="A647" s="260"/>
      <c r="B647" s="260"/>
      <c r="C647" s="260"/>
      <c r="D647" s="260"/>
      <c r="E647" s="260"/>
      <c r="F647" s="260"/>
      <c r="G647" s="260"/>
      <c r="H647" s="260"/>
      <c r="I647" s="260"/>
      <c r="J647" s="260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  <c r="Z647" s="260"/>
    </row>
    <row r="648" ht="15.75" customHeight="1">
      <c r="A648" s="260"/>
      <c r="B648" s="260"/>
      <c r="C648" s="260"/>
      <c r="D648" s="260"/>
      <c r="E648" s="260"/>
      <c r="F648" s="260"/>
      <c r="G648" s="260"/>
      <c r="H648" s="260"/>
      <c r="I648" s="260"/>
      <c r="J648" s="260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  <c r="Z648" s="260"/>
    </row>
    <row r="649" ht="15.75" customHeight="1">
      <c r="A649" s="260"/>
      <c r="B649" s="260"/>
      <c r="C649" s="260"/>
      <c r="D649" s="260"/>
      <c r="E649" s="260"/>
      <c r="F649" s="260"/>
      <c r="G649" s="260"/>
      <c r="H649" s="260"/>
      <c r="I649" s="260"/>
      <c r="J649" s="260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0"/>
    </row>
    <row r="650" ht="15.75" customHeight="1">
      <c r="A650" s="260"/>
      <c r="B650" s="260"/>
      <c r="C650" s="260"/>
      <c r="D650" s="260"/>
      <c r="E650" s="260"/>
      <c r="F650" s="260"/>
      <c r="G650" s="260"/>
      <c r="H650" s="260"/>
      <c r="I650" s="260"/>
      <c r="J650" s="260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0"/>
    </row>
    <row r="651" ht="15.75" customHeight="1">
      <c r="A651" s="260"/>
      <c r="B651" s="260"/>
      <c r="C651" s="260"/>
      <c r="D651" s="260"/>
      <c r="E651" s="260"/>
      <c r="F651" s="260"/>
      <c r="G651" s="260"/>
      <c r="H651" s="260"/>
      <c r="I651" s="260"/>
      <c r="J651" s="260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0"/>
    </row>
    <row r="652" ht="15.75" customHeight="1">
      <c r="A652" s="260"/>
      <c r="B652" s="260"/>
      <c r="C652" s="260"/>
      <c r="D652" s="260"/>
      <c r="E652" s="260"/>
      <c r="F652" s="260"/>
      <c r="G652" s="260"/>
      <c r="H652" s="260"/>
      <c r="I652" s="260"/>
      <c r="J652" s="260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  <c r="Z652" s="260"/>
    </row>
    <row r="653" ht="15.75" customHeight="1">
      <c r="A653" s="260"/>
      <c r="B653" s="260"/>
      <c r="C653" s="260"/>
      <c r="D653" s="260"/>
      <c r="E653" s="260"/>
      <c r="F653" s="260"/>
      <c r="G653" s="260"/>
      <c r="H653" s="260"/>
      <c r="I653" s="260"/>
      <c r="J653" s="260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  <c r="Z653" s="260"/>
    </row>
    <row r="654" ht="15.75" customHeight="1">
      <c r="A654" s="260"/>
      <c r="B654" s="260"/>
      <c r="C654" s="260"/>
      <c r="D654" s="260"/>
      <c r="E654" s="260"/>
      <c r="F654" s="260"/>
      <c r="G654" s="260"/>
      <c r="H654" s="260"/>
      <c r="I654" s="260"/>
      <c r="J654" s="260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  <c r="Z654" s="260"/>
    </row>
    <row r="655" ht="15.75" customHeight="1">
      <c r="A655" s="260"/>
      <c r="B655" s="260"/>
      <c r="C655" s="260"/>
      <c r="D655" s="260"/>
      <c r="E655" s="260"/>
      <c r="F655" s="260"/>
      <c r="G655" s="260"/>
      <c r="H655" s="260"/>
      <c r="I655" s="260"/>
      <c r="J655" s="260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  <c r="Z655" s="260"/>
    </row>
    <row r="656" ht="15.75" customHeight="1">
      <c r="A656" s="260"/>
      <c r="B656" s="260"/>
      <c r="C656" s="260"/>
      <c r="D656" s="260"/>
      <c r="E656" s="260"/>
      <c r="F656" s="260"/>
      <c r="G656" s="260"/>
      <c r="H656" s="260"/>
      <c r="I656" s="260"/>
      <c r="J656" s="260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  <c r="Z656" s="260"/>
    </row>
    <row r="657" ht="15.75" customHeight="1">
      <c r="A657" s="260"/>
      <c r="B657" s="260"/>
      <c r="C657" s="260"/>
      <c r="D657" s="260"/>
      <c r="E657" s="260"/>
      <c r="F657" s="260"/>
      <c r="G657" s="260"/>
      <c r="H657" s="260"/>
      <c r="I657" s="260"/>
      <c r="J657" s="260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  <c r="Z657" s="260"/>
    </row>
    <row r="658" ht="15.75" customHeight="1">
      <c r="A658" s="260"/>
      <c r="B658" s="260"/>
      <c r="C658" s="260"/>
      <c r="D658" s="260"/>
      <c r="E658" s="260"/>
      <c r="F658" s="260"/>
      <c r="G658" s="260"/>
      <c r="H658" s="260"/>
      <c r="I658" s="260"/>
      <c r="J658" s="260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0"/>
    </row>
    <row r="659" ht="15.75" customHeight="1">
      <c r="A659" s="260"/>
      <c r="B659" s="260"/>
      <c r="C659" s="260"/>
      <c r="D659" s="260"/>
      <c r="E659" s="260"/>
      <c r="F659" s="260"/>
      <c r="G659" s="260"/>
      <c r="H659" s="260"/>
      <c r="I659" s="260"/>
      <c r="J659" s="260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0"/>
    </row>
    <row r="660" ht="15.75" customHeight="1">
      <c r="A660" s="260"/>
      <c r="B660" s="260"/>
      <c r="C660" s="260"/>
      <c r="D660" s="260"/>
      <c r="E660" s="260"/>
      <c r="F660" s="260"/>
      <c r="G660" s="260"/>
      <c r="H660" s="260"/>
      <c r="I660" s="260"/>
      <c r="J660" s="260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0"/>
    </row>
    <row r="661" ht="15.75" customHeight="1">
      <c r="A661" s="260"/>
      <c r="B661" s="260"/>
      <c r="C661" s="260"/>
      <c r="D661" s="260"/>
      <c r="E661" s="260"/>
      <c r="F661" s="260"/>
      <c r="G661" s="260"/>
      <c r="H661" s="260"/>
      <c r="I661" s="260"/>
      <c r="J661" s="260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  <c r="Z661" s="260"/>
    </row>
    <row r="662" ht="15.75" customHeight="1">
      <c r="A662" s="260"/>
      <c r="B662" s="260"/>
      <c r="C662" s="260"/>
      <c r="D662" s="260"/>
      <c r="E662" s="260"/>
      <c r="F662" s="260"/>
      <c r="G662" s="260"/>
      <c r="H662" s="260"/>
      <c r="I662" s="260"/>
      <c r="J662" s="260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  <c r="Z662" s="260"/>
    </row>
    <row r="663" ht="15.75" customHeight="1">
      <c r="A663" s="260"/>
      <c r="B663" s="260"/>
      <c r="C663" s="260"/>
      <c r="D663" s="260"/>
      <c r="E663" s="260"/>
      <c r="F663" s="260"/>
      <c r="G663" s="260"/>
      <c r="H663" s="260"/>
      <c r="I663" s="260"/>
      <c r="J663" s="260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  <c r="Z663" s="260"/>
    </row>
    <row r="664" ht="15.75" customHeight="1">
      <c r="A664" s="260"/>
      <c r="B664" s="260"/>
      <c r="C664" s="260"/>
      <c r="D664" s="260"/>
      <c r="E664" s="260"/>
      <c r="F664" s="260"/>
      <c r="G664" s="260"/>
      <c r="H664" s="260"/>
      <c r="I664" s="260"/>
      <c r="J664" s="260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  <c r="Z664" s="260"/>
    </row>
    <row r="665" ht="15.75" customHeight="1">
      <c r="A665" s="260"/>
      <c r="B665" s="260"/>
      <c r="C665" s="260"/>
      <c r="D665" s="260"/>
      <c r="E665" s="260"/>
      <c r="F665" s="260"/>
      <c r="G665" s="260"/>
      <c r="H665" s="260"/>
      <c r="I665" s="260"/>
      <c r="J665" s="260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  <c r="Z665" s="260"/>
    </row>
    <row r="666" ht="15.75" customHeight="1">
      <c r="A666" s="260"/>
      <c r="B666" s="260"/>
      <c r="C666" s="260"/>
      <c r="D666" s="260"/>
      <c r="E666" s="260"/>
      <c r="F666" s="260"/>
      <c r="G666" s="260"/>
      <c r="H666" s="260"/>
      <c r="I666" s="260"/>
      <c r="J666" s="260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  <c r="Z666" s="260"/>
    </row>
    <row r="667" ht="15.75" customHeight="1">
      <c r="A667" s="260"/>
      <c r="B667" s="260"/>
      <c r="C667" s="260"/>
      <c r="D667" s="260"/>
      <c r="E667" s="260"/>
      <c r="F667" s="260"/>
      <c r="G667" s="260"/>
      <c r="H667" s="260"/>
      <c r="I667" s="260"/>
      <c r="J667" s="260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0"/>
    </row>
    <row r="668" ht="15.75" customHeight="1">
      <c r="A668" s="260"/>
      <c r="B668" s="260"/>
      <c r="C668" s="260"/>
      <c r="D668" s="260"/>
      <c r="E668" s="260"/>
      <c r="F668" s="260"/>
      <c r="G668" s="260"/>
      <c r="H668" s="260"/>
      <c r="I668" s="260"/>
      <c r="J668" s="260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  <c r="Z668" s="260"/>
    </row>
    <row r="669" ht="15.75" customHeight="1">
      <c r="A669" s="260"/>
      <c r="B669" s="260"/>
      <c r="C669" s="260"/>
      <c r="D669" s="260"/>
      <c r="E669" s="260"/>
      <c r="F669" s="260"/>
      <c r="G669" s="260"/>
      <c r="H669" s="260"/>
      <c r="I669" s="260"/>
      <c r="J669" s="260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  <c r="Z669" s="260"/>
    </row>
    <row r="670" ht="15.75" customHeight="1">
      <c r="A670" s="260"/>
      <c r="B670" s="260"/>
      <c r="C670" s="260"/>
      <c r="D670" s="260"/>
      <c r="E670" s="260"/>
      <c r="F670" s="260"/>
      <c r="G670" s="260"/>
      <c r="H670" s="260"/>
      <c r="I670" s="260"/>
      <c r="J670" s="260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  <c r="Z670" s="260"/>
    </row>
    <row r="671" ht="15.75" customHeight="1">
      <c r="A671" s="260"/>
      <c r="B671" s="260"/>
      <c r="C671" s="260"/>
      <c r="D671" s="260"/>
      <c r="E671" s="260"/>
      <c r="F671" s="260"/>
      <c r="G671" s="260"/>
      <c r="H671" s="260"/>
      <c r="I671" s="260"/>
      <c r="J671" s="260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0"/>
    </row>
    <row r="672" ht="15.75" customHeight="1">
      <c r="A672" s="260"/>
      <c r="B672" s="260"/>
      <c r="C672" s="260"/>
      <c r="D672" s="260"/>
      <c r="E672" s="260"/>
      <c r="F672" s="260"/>
      <c r="G672" s="260"/>
      <c r="H672" s="260"/>
      <c r="I672" s="260"/>
      <c r="J672" s="260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0"/>
    </row>
    <row r="673" ht="15.75" customHeight="1">
      <c r="A673" s="260"/>
      <c r="B673" s="260"/>
      <c r="C673" s="260"/>
      <c r="D673" s="260"/>
      <c r="E673" s="260"/>
      <c r="F673" s="260"/>
      <c r="G673" s="260"/>
      <c r="H673" s="260"/>
      <c r="I673" s="260"/>
      <c r="J673" s="260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  <c r="Z673" s="260"/>
    </row>
    <row r="674" ht="15.75" customHeight="1">
      <c r="A674" s="260"/>
      <c r="B674" s="260"/>
      <c r="C674" s="260"/>
      <c r="D674" s="260"/>
      <c r="E674" s="260"/>
      <c r="F674" s="260"/>
      <c r="G674" s="260"/>
      <c r="H674" s="260"/>
      <c r="I674" s="260"/>
      <c r="J674" s="260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  <c r="Z674" s="260"/>
    </row>
    <row r="675" ht="15.75" customHeight="1">
      <c r="A675" s="260"/>
      <c r="B675" s="260"/>
      <c r="C675" s="260"/>
      <c r="D675" s="260"/>
      <c r="E675" s="260"/>
      <c r="F675" s="260"/>
      <c r="G675" s="260"/>
      <c r="H675" s="260"/>
      <c r="I675" s="260"/>
      <c r="J675" s="260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  <c r="Z675" s="260"/>
    </row>
    <row r="676" ht="15.75" customHeight="1">
      <c r="A676" s="260"/>
      <c r="B676" s="260"/>
      <c r="C676" s="260"/>
      <c r="D676" s="260"/>
      <c r="E676" s="260"/>
      <c r="F676" s="260"/>
      <c r="G676" s="260"/>
      <c r="H676" s="260"/>
      <c r="I676" s="260"/>
      <c r="J676" s="260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0"/>
    </row>
    <row r="677" ht="15.75" customHeight="1">
      <c r="A677" s="260"/>
      <c r="B677" s="260"/>
      <c r="C677" s="260"/>
      <c r="D677" s="260"/>
      <c r="E677" s="260"/>
      <c r="F677" s="260"/>
      <c r="G677" s="260"/>
      <c r="H677" s="260"/>
      <c r="I677" s="260"/>
      <c r="J677" s="260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0"/>
    </row>
    <row r="678" ht="15.75" customHeight="1">
      <c r="A678" s="260"/>
      <c r="B678" s="260"/>
      <c r="C678" s="260"/>
      <c r="D678" s="260"/>
      <c r="E678" s="260"/>
      <c r="F678" s="260"/>
      <c r="G678" s="260"/>
      <c r="H678" s="260"/>
      <c r="I678" s="260"/>
      <c r="J678" s="260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0"/>
    </row>
    <row r="679" ht="15.75" customHeight="1">
      <c r="A679" s="260"/>
      <c r="B679" s="260"/>
      <c r="C679" s="260"/>
      <c r="D679" s="260"/>
      <c r="E679" s="260"/>
      <c r="F679" s="260"/>
      <c r="G679" s="260"/>
      <c r="H679" s="260"/>
      <c r="I679" s="260"/>
      <c r="J679" s="260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  <c r="Z679" s="260"/>
    </row>
    <row r="680" ht="15.75" customHeight="1">
      <c r="A680" s="260"/>
      <c r="B680" s="260"/>
      <c r="C680" s="260"/>
      <c r="D680" s="260"/>
      <c r="E680" s="260"/>
      <c r="F680" s="260"/>
      <c r="G680" s="260"/>
      <c r="H680" s="260"/>
      <c r="I680" s="260"/>
      <c r="J680" s="260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0"/>
    </row>
    <row r="681" ht="15.75" customHeight="1">
      <c r="A681" s="260"/>
      <c r="B681" s="260"/>
      <c r="C681" s="260"/>
      <c r="D681" s="260"/>
      <c r="E681" s="260"/>
      <c r="F681" s="260"/>
      <c r="G681" s="260"/>
      <c r="H681" s="260"/>
      <c r="I681" s="260"/>
      <c r="J681" s="260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0"/>
    </row>
    <row r="682" ht="15.75" customHeight="1">
      <c r="A682" s="260"/>
      <c r="B682" s="260"/>
      <c r="C682" s="260"/>
      <c r="D682" s="260"/>
      <c r="E682" s="260"/>
      <c r="F682" s="260"/>
      <c r="G682" s="260"/>
      <c r="H682" s="260"/>
      <c r="I682" s="260"/>
      <c r="J682" s="260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0"/>
    </row>
    <row r="683" ht="15.75" customHeight="1">
      <c r="A683" s="260"/>
      <c r="B683" s="260"/>
      <c r="C683" s="260"/>
      <c r="D683" s="260"/>
      <c r="E683" s="260"/>
      <c r="F683" s="260"/>
      <c r="G683" s="260"/>
      <c r="H683" s="260"/>
      <c r="I683" s="260"/>
      <c r="J683" s="260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0"/>
    </row>
    <row r="684" ht="15.75" customHeight="1">
      <c r="A684" s="260"/>
      <c r="B684" s="260"/>
      <c r="C684" s="260"/>
      <c r="D684" s="260"/>
      <c r="E684" s="260"/>
      <c r="F684" s="260"/>
      <c r="G684" s="260"/>
      <c r="H684" s="260"/>
      <c r="I684" s="260"/>
      <c r="J684" s="260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0"/>
    </row>
    <row r="685" ht="15.75" customHeight="1">
      <c r="A685" s="260"/>
      <c r="B685" s="260"/>
      <c r="C685" s="260"/>
      <c r="D685" s="260"/>
      <c r="E685" s="260"/>
      <c r="F685" s="260"/>
      <c r="G685" s="260"/>
      <c r="H685" s="260"/>
      <c r="I685" s="260"/>
      <c r="J685" s="260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0"/>
    </row>
    <row r="686" ht="15.75" customHeight="1">
      <c r="A686" s="260"/>
      <c r="B686" s="260"/>
      <c r="C686" s="260"/>
      <c r="D686" s="260"/>
      <c r="E686" s="260"/>
      <c r="F686" s="260"/>
      <c r="G686" s="260"/>
      <c r="H686" s="260"/>
      <c r="I686" s="260"/>
      <c r="J686" s="260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</row>
    <row r="687" ht="15.75" customHeight="1">
      <c r="A687" s="260"/>
      <c r="B687" s="260"/>
      <c r="C687" s="260"/>
      <c r="D687" s="260"/>
      <c r="E687" s="260"/>
      <c r="F687" s="260"/>
      <c r="G687" s="260"/>
      <c r="H687" s="260"/>
      <c r="I687" s="260"/>
      <c r="J687" s="260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0"/>
    </row>
    <row r="688" ht="15.75" customHeight="1">
      <c r="A688" s="260"/>
      <c r="B688" s="260"/>
      <c r="C688" s="260"/>
      <c r="D688" s="260"/>
      <c r="E688" s="260"/>
      <c r="F688" s="260"/>
      <c r="G688" s="260"/>
      <c r="H688" s="260"/>
      <c r="I688" s="260"/>
      <c r="J688" s="260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0"/>
    </row>
    <row r="689" ht="15.75" customHeight="1">
      <c r="A689" s="260"/>
      <c r="B689" s="260"/>
      <c r="C689" s="260"/>
      <c r="D689" s="260"/>
      <c r="E689" s="260"/>
      <c r="F689" s="260"/>
      <c r="G689" s="260"/>
      <c r="H689" s="260"/>
      <c r="I689" s="260"/>
      <c r="J689" s="260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0"/>
    </row>
    <row r="690" ht="15.75" customHeight="1">
      <c r="A690" s="260"/>
      <c r="B690" s="260"/>
      <c r="C690" s="260"/>
      <c r="D690" s="260"/>
      <c r="E690" s="260"/>
      <c r="F690" s="260"/>
      <c r="G690" s="260"/>
      <c r="H690" s="260"/>
      <c r="I690" s="260"/>
      <c r="J690" s="260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0"/>
    </row>
    <row r="691" ht="15.75" customHeight="1">
      <c r="A691" s="260"/>
      <c r="B691" s="260"/>
      <c r="C691" s="260"/>
      <c r="D691" s="260"/>
      <c r="E691" s="260"/>
      <c r="F691" s="260"/>
      <c r="G691" s="260"/>
      <c r="H691" s="260"/>
      <c r="I691" s="260"/>
      <c r="J691" s="260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0"/>
    </row>
    <row r="692" ht="15.75" customHeight="1">
      <c r="A692" s="260"/>
      <c r="B692" s="260"/>
      <c r="C692" s="260"/>
      <c r="D692" s="260"/>
      <c r="E692" s="260"/>
      <c r="F692" s="260"/>
      <c r="G692" s="260"/>
      <c r="H692" s="260"/>
      <c r="I692" s="260"/>
      <c r="J692" s="260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0"/>
    </row>
    <row r="693" ht="15.75" customHeight="1">
      <c r="A693" s="260"/>
      <c r="B693" s="260"/>
      <c r="C693" s="260"/>
      <c r="D693" s="260"/>
      <c r="E693" s="260"/>
      <c r="F693" s="260"/>
      <c r="G693" s="260"/>
      <c r="H693" s="260"/>
      <c r="I693" s="260"/>
      <c r="J693" s="260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0"/>
    </row>
    <row r="694" ht="15.75" customHeight="1">
      <c r="A694" s="260"/>
      <c r="B694" s="260"/>
      <c r="C694" s="260"/>
      <c r="D694" s="260"/>
      <c r="E694" s="260"/>
      <c r="F694" s="260"/>
      <c r="G694" s="260"/>
      <c r="H694" s="260"/>
      <c r="I694" s="260"/>
      <c r="J694" s="260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0"/>
    </row>
    <row r="695" ht="15.75" customHeight="1">
      <c r="A695" s="260"/>
      <c r="B695" s="260"/>
      <c r="C695" s="260"/>
      <c r="D695" s="260"/>
      <c r="E695" s="260"/>
      <c r="F695" s="260"/>
      <c r="G695" s="260"/>
      <c r="H695" s="260"/>
      <c r="I695" s="260"/>
      <c r="J695" s="260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0"/>
    </row>
    <row r="696" ht="15.75" customHeight="1">
      <c r="A696" s="260"/>
      <c r="B696" s="260"/>
      <c r="C696" s="260"/>
      <c r="D696" s="260"/>
      <c r="E696" s="260"/>
      <c r="F696" s="260"/>
      <c r="G696" s="260"/>
      <c r="H696" s="260"/>
      <c r="I696" s="260"/>
      <c r="J696" s="260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0"/>
    </row>
    <row r="697" ht="15.75" customHeight="1">
      <c r="A697" s="260"/>
      <c r="B697" s="260"/>
      <c r="C697" s="260"/>
      <c r="D697" s="260"/>
      <c r="E697" s="260"/>
      <c r="F697" s="260"/>
      <c r="G697" s="260"/>
      <c r="H697" s="260"/>
      <c r="I697" s="260"/>
      <c r="J697" s="260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0"/>
    </row>
    <row r="698" ht="15.75" customHeight="1">
      <c r="A698" s="260"/>
      <c r="B698" s="260"/>
      <c r="C698" s="260"/>
      <c r="D698" s="260"/>
      <c r="E698" s="260"/>
      <c r="F698" s="260"/>
      <c r="G698" s="260"/>
      <c r="H698" s="260"/>
      <c r="I698" s="260"/>
      <c r="J698" s="260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0"/>
    </row>
    <row r="699" ht="15.75" customHeight="1">
      <c r="A699" s="260"/>
      <c r="B699" s="260"/>
      <c r="C699" s="260"/>
      <c r="D699" s="260"/>
      <c r="E699" s="260"/>
      <c r="F699" s="260"/>
      <c r="G699" s="260"/>
      <c r="H699" s="260"/>
      <c r="I699" s="260"/>
      <c r="J699" s="260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</row>
    <row r="700" ht="15.75" customHeight="1">
      <c r="A700" s="260"/>
      <c r="B700" s="260"/>
      <c r="C700" s="260"/>
      <c r="D700" s="260"/>
      <c r="E700" s="260"/>
      <c r="F700" s="260"/>
      <c r="G700" s="260"/>
      <c r="H700" s="260"/>
      <c r="I700" s="260"/>
      <c r="J700" s="260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0"/>
    </row>
    <row r="701" ht="15.75" customHeight="1">
      <c r="A701" s="260"/>
      <c r="B701" s="260"/>
      <c r="C701" s="260"/>
      <c r="D701" s="260"/>
      <c r="E701" s="260"/>
      <c r="F701" s="260"/>
      <c r="G701" s="260"/>
      <c r="H701" s="260"/>
      <c r="I701" s="260"/>
      <c r="J701" s="260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0"/>
    </row>
    <row r="702" ht="15.75" customHeight="1">
      <c r="A702" s="260"/>
      <c r="B702" s="260"/>
      <c r="C702" s="260"/>
      <c r="D702" s="260"/>
      <c r="E702" s="260"/>
      <c r="F702" s="260"/>
      <c r="G702" s="260"/>
      <c r="H702" s="260"/>
      <c r="I702" s="260"/>
      <c r="J702" s="260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0"/>
    </row>
    <row r="703" ht="15.75" customHeight="1">
      <c r="A703" s="260"/>
      <c r="B703" s="260"/>
      <c r="C703" s="260"/>
      <c r="D703" s="260"/>
      <c r="E703" s="260"/>
      <c r="F703" s="260"/>
      <c r="G703" s="260"/>
      <c r="H703" s="260"/>
      <c r="I703" s="260"/>
      <c r="J703" s="260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0"/>
    </row>
    <row r="704" ht="15.75" customHeight="1">
      <c r="A704" s="260"/>
      <c r="B704" s="260"/>
      <c r="C704" s="260"/>
      <c r="D704" s="260"/>
      <c r="E704" s="260"/>
      <c r="F704" s="260"/>
      <c r="G704" s="260"/>
      <c r="H704" s="260"/>
      <c r="I704" s="260"/>
      <c r="J704" s="260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0"/>
    </row>
    <row r="705" ht="15.75" customHeight="1">
      <c r="A705" s="260"/>
      <c r="B705" s="260"/>
      <c r="C705" s="260"/>
      <c r="D705" s="260"/>
      <c r="E705" s="260"/>
      <c r="F705" s="260"/>
      <c r="G705" s="260"/>
      <c r="H705" s="260"/>
      <c r="I705" s="260"/>
      <c r="J705" s="260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0"/>
    </row>
    <row r="706" ht="15.75" customHeight="1">
      <c r="A706" s="260"/>
      <c r="B706" s="260"/>
      <c r="C706" s="260"/>
      <c r="D706" s="260"/>
      <c r="E706" s="260"/>
      <c r="F706" s="260"/>
      <c r="G706" s="260"/>
      <c r="H706" s="260"/>
      <c r="I706" s="260"/>
      <c r="J706" s="260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0"/>
    </row>
    <row r="707" ht="15.75" customHeight="1">
      <c r="A707" s="260"/>
      <c r="B707" s="260"/>
      <c r="C707" s="260"/>
      <c r="D707" s="260"/>
      <c r="E707" s="260"/>
      <c r="F707" s="260"/>
      <c r="G707" s="260"/>
      <c r="H707" s="260"/>
      <c r="I707" s="260"/>
      <c r="J707" s="260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0"/>
    </row>
    <row r="708" ht="15.75" customHeight="1">
      <c r="A708" s="260"/>
      <c r="B708" s="260"/>
      <c r="C708" s="260"/>
      <c r="D708" s="260"/>
      <c r="E708" s="260"/>
      <c r="F708" s="260"/>
      <c r="G708" s="260"/>
      <c r="H708" s="260"/>
      <c r="I708" s="260"/>
      <c r="J708" s="260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0"/>
    </row>
    <row r="709" ht="15.75" customHeight="1">
      <c r="A709" s="260"/>
      <c r="B709" s="260"/>
      <c r="C709" s="260"/>
      <c r="D709" s="260"/>
      <c r="E709" s="260"/>
      <c r="F709" s="260"/>
      <c r="G709" s="260"/>
      <c r="H709" s="260"/>
      <c r="I709" s="260"/>
      <c r="J709" s="260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0"/>
    </row>
    <row r="710" ht="15.75" customHeight="1">
      <c r="A710" s="260"/>
      <c r="B710" s="260"/>
      <c r="C710" s="260"/>
      <c r="D710" s="260"/>
      <c r="E710" s="260"/>
      <c r="F710" s="260"/>
      <c r="G710" s="260"/>
      <c r="H710" s="260"/>
      <c r="I710" s="260"/>
      <c r="J710" s="260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0"/>
    </row>
    <row r="711" ht="15.75" customHeight="1">
      <c r="A711" s="260"/>
      <c r="B711" s="260"/>
      <c r="C711" s="260"/>
      <c r="D711" s="260"/>
      <c r="E711" s="260"/>
      <c r="F711" s="260"/>
      <c r="G711" s="260"/>
      <c r="H711" s="260"/>
      <c r="I711" s="260"/>
      <c r="J711" s="260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0"/>
    </row>
    <row r="712" ht="15.75" customHeight="1">
      <c r="A712" s="260"/>
      <c r="B712" s="260"/>
      <c r="C712" s="260"/>
      <c r="D712" s="260"/>
      <c r="E712" s="260"/>
      <c r="F712" s="260"/>
      <c r="G712" s="260"/>
      <c r="H712" s="260"/>
      <c r="I712" s="260"/>
      <c r="J712" s="260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0"/>
    </row>
    <row r="713" ht="15.75" customHeight="1">
      <c r="A713" s="260"/>
      <c r="B713" s="260"/>
      <c r="C713" s="260"/>
      <c r="D713" s="260"/>
      <c r="E713" s="260"/>
      <c r="F713" s="260"/>
      <c r="G713" s="260"/>
      <c r="H713" s="260"/>
      <c r="I713" s="260"/>
      <c r="J713" s="260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0"/>
    </row>
    <row r="714" ht="15.75" customHeight="1">
      <c r="A714" s="260"/>
      <c r="B714" s="260"/>
      <c r="C714" s="260"/>
      <c r="D714" s="260"/>
      <c r="E714" s="260"/>
      <c r="F714" s="260"/>
      <c r="G714" s="260"/>
      <c r="H714" s="260"/>
      <c r="I714" s="260"/>
      <c r="J714" s="260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0"/>
    </row>
    <row r="715" ht="15.75" customHeight="1">
      <c r="A715" s="260"/>
      <c r="B715" s="260"/>
      <c r="C715" s="260"/>
      <c r="D715" s="260"/>
      <c r="E715" s="260"/>
      <c r="F715" s="260"/>
      <c r="G715" s="260"/>
      <c r="H715" s="260"/>
      <c r="I715" s="260"/>
      <c r="J715" s="260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0"/>
    </row>
    <row r="716" ht="15.75" customHeight="1">
      <c r="A716" s="260"/>
      <c r="B716" s="260"/>
      <c r="C716" s="260"/>
      <c r="D716" s="260"/>
      <c r="E716" s="260"/>
      <c r="F716" s="260"/>
      <c r="G716" s="260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0"/>
    </row>
    <row r="717" ht="15.75" customHeight="1">
      <c r="A717" s="260"/>
      <c r="B717" s="260"/>
      <c r="C717" s="260"/>
      <c r="D717" s="260"/>
      <c r="E717" s="260"/>
      <c r="F717" s="260"/>
      <c r="G717" s="260"/>
      <c r="H717" s="260"/>
      <c r="I717" s="260"/>
      <c r="J717" s="260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0"/>
    </row>
    <row r="718" ht="15.75" customHeight="1">
      <c r="A718" s="260"/>
      <c r="B718" s="260"/>
      <c r="C718" s="260"/>
      <c r="D718" s="260"/>
      <c r="E718" s="260"/>
      <c r="F718" s="260"/>
      <c r="G718" s="260"/>
      <c r="H718" s="260"/>
      <c r="I718" s="260"/>
      <c r="J718" s="260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</row>
    <row r="719" ht="15.75" customHeight="1">
      <c r="A719" s="260"/>
      <c r="B719" s="260"/>
      <c r="C719" s="260"/>
      <c r="D719" s="260"/>
      <c r="E719" s="260"/>
      <c r="F719" s="260"/>
      <c r="G719" s="260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0"/>
    </row>
    <row r="720" ht="15.75" customHeight="1">
      <c r="A720" s="260"/>
      <c r="B720" s="260"/>
      <c r="C720" s="260"/>
      <c r="D720" s="260"/>
      <c r="E720" s="260"/>
      <c r="F720" s="260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0"/>
    </row>
    <row r="721" ht="15.75" customHeight="1">
      <c r="A721" s="260"/>
      <c r="B721" s="260"/>
      <c r="C721" s="260"/>
      <c r="D721" s="260"/>
      <c r="E721" s="260"/>
      <c r="F721" s="260"/>
      <c r="G721" s="260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  <c r="Z721" s="260"/>
    </row>
    <row r="722" ht="15.75" customHeight="1">
      <c r="A722" s="260"/>
      <c r="B722" s="260"/>
      <c r="C722" s="260"/>
      <c r="D722" s="260"/>
      <c r="E722" s="260"/>
      <c r="F722" s="260"/>
      <c r="G722" s="260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0"/>
    </row>
    <row r="723" ht="15.75" customHeight="1">
      <c r="A723" s="260"/>
      <c r="B723" s="260"/>
      <c r="C723" s="260"/>
      <c r="D723" s="260"/>
      <c r="E723" s="260"/>
      <c r="F723" s="260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0"/>
    </row>
    <row r="724" ht="15.75" customHeight="1">
      <c r="A724" s="260"/>
      <c r="B724" s="260"/>
      <c r="C724" s="260"/>
      <c r="D724" s="260"/>
      <c r="E724" s="260"/>
      <c r="F724" s="260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0"/>
    </row>
    <row r="725" ht="15.75" customHeight="1">
      <c r="A725" s="260"/>
      <c r="B725" s="260"/>
      <c r="C725" s="260"/>
      <c r="D725" s="260"/>
      <c r="E725" s="260"/>
      <c r="F725" s="260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0"/>
    </row>
    <row r="726" ht="15.75" customHeight="1">
      <c r="A726" s="260"/>
      <c r="B726" s="260"/>
      <c r="C726" s="260"/>
      <c r="D726" s="260"/>
      <c r="E726" s="260"/>
      <c r="F726" s="260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0"/>
    </row>
    <row r="727" ht="15.75" customHeight="1">
      <c r="A727" s="260"/>
      <c r="B727" s="260"/>
      <c r="C727" s="260"/>
      <c r="D727" s="260"/>
      <c r="E727" s="260"/>
      <c r="F727" s="260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0"/>
    </row>
    <row r="728" ht="15.75" customHeight="1">
      <c r="A728" s="260"/>
      <c r="B728" s="260"/>
      <c r="C728" s="260"/>
      <c r="D728" s="260"/>
      <c r="E728" s="260"/>
      <c r="F728" s="260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0"/>
    </row>
    <row r="729" ht="15.75" customHeight="1">
      <c r="A729" s="260"/>
      <c r="B729" s="260"/>
      <c r="C729" s="260"/>
      <c r="D729" s="260"/>
      <c r="E729" s="260"/>
      <c r="F729" s="260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0"/>
    </row>
    <row r="730" ht="15.75" customHeight="1">
      <c r="A730" s="260"/>
      <c r="B730" s="260"/>
      <c r="C730" s="260"/>
      <c r="D730" s="260"/>
      <c r="E730" s="260"/>
      <c r="F730" s="260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0"/>
    </row>
    <row r="731" ht="15.75" customHeight="1">
      <c r="A731" s="260"/>
      <c r="B731" s="260"/>
      <c r="C731" s="260"/>
      <c r="D731" s="260"/>
      <c r="E731" s="260"/>
      <c r="F731" s="260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0"/>
    </row>
    <row r="732" ht="15.75" customHeight="1">
      <c r="A732" s="260"/>
      <c r="B732" s="260"/>
      <c r="C732" s="260"/>
      <c r="D732" s="260"/>
      <c r="E732" s="260"/>
      <c r="F732" s="260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0"/>
    </row>
    <row r="733" ht="15.75" customHeight="1">
      <c r="A733" s="260"/>
      <c r="B733" s="260"/>
      <c r="C733" s="260"/>
      <c r="D733" s="260"/>
      <c r="E733" s="260"/>
      <c r="F733" s="260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0"/>
    </row>
    <row r="734" ht="15.75" customHeight="1">
      <c r="A734" s="260"/>
      <c r="B734" s="260"/>
      <c r="C734" s="260"/>
      <c r="D734" s="260"/>
      <c r="E734" s="260"/>
      <c r="F734" s="260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0"/>
    </row>
    <row r="735" ht="15.75" customHeight="1">
      <c r="A735" s="260"/>
      <c r="B735" s="260"/>
      <c r="C735" s="260"/>
      <c r="D735" s="260"/>
      <c r="E735" s="260"/>
      <c r="F735" s="260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0"/>
    </row>
    <row r="736" ht="15.75" customHeight="1">
      <c r="A736" s="260"/>
      <c r="B736" s="260"/>
      <c r="C736" s="260"/>
      <c r="D736" s="260"/>
      <c r="E736" s="260"/>
      <c r="F736" s="260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0"/>
    </row>
    <row r="737" ht="15.75" customHeight="1">
      <c r="A737" s="260"/>
      <c r="B737" s="260"/>
      <c r="C737" s="260"/>
      <c r="D737" s="260"/>
      <c r="E737" s="260"/>
      <c r="F737" s="260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0"/>
    </row>
    <row r="738" ht="15.75" customHeight="1">
      <c r="A738" s="260"/>
      <c r="B738" s="260"/>
      <c r="C738" s="260"/>
      <c r="D738" s="260"/>
      <c r="E738" s="260"/>
      <c r="F738" s="260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  <c r="Z738" s="260"/>
    </row>
    <row r="739" ht="15.75" customHeight="1">
      <c r="A739" s="260"/>
      <c r="B739" s="260"/>
      <c r="C739" s="260"/>
      <c r="D739" s="260"/>
      <c r="E739" s="260"/>
      <c r="F739" s="260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0"/>
    </row>
    <row r="740" ht="15.75" customHeight="1">
      <c r="A740" s="260"/>
      <c r="B740" s="260"/>
      <c r="C740" s="260"/>
      <c r="D740" s="260"/>
      <c r="E740" s="260"/>
      <c r="F740" s="260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  <c r="Z740" s="260"/>
    </row>
    <row r="741" ht="15.75" customHeight="1">
      <c r="A741" s="260"/>
      <c r="B741" s="260"/>
      <c r="C741" s="260"/>
      <c r="D741" s="260"/>
      <c r="E741" s="260"/>
      <c r="F741" s="260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0"/>
    </row>
    <row r="742" ht="15.75" customHeight="1">
      <c r="A742" s="260"/>
      <c r="B742" s="260"/>
      <c r="C742" s="260"/>
      <c r="D742" s="260"/>
      <c r="E742" s="260"/>
      <c r="F742" s="260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0"/>
    </row>
    <row r="743" ht="15.75" customHeight="1">
      <c r="A743" s="260"/>
      <c r="B743" s="260"/>
      <c r="C743" s="260"/>
      <c r="D743" s="260"/>
      <c r="E743" s="260"/>
      <c r="F743" s="260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0"/>
    </row>
    <row r="744" ht="15.75" customHeight="1">
      <c r="A744" s="260"/>
      <c r="B744" s="260"/>
      <c r="C744" s="260"/>
      <c r="D744" s="260"/>
      <c r="E744" s="260"/>
      <c r="F744" s="260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  <c r="Z744" s="260"/>
    </row>
    <row r="745" ht="15.75" customHeight="1">
      <c r="A745" s="260"/>
      <c r="B745" s="260"/>
      <c r="C745" s="260"/>
      <c r="D745" s="260"/>
      <c r="E745" s="260"/>
      <c r="F745" s="260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  <c r="Z745" s="260"/>
    </row>
    <row r="746" ht="15.75" customHeight="1">
      <c r="A746" s="260"/>
      <c r="B746" s="260"/>
      <c r="C746" s="260"/>
      <c r="D746" s="260"/>
      <c r="E746" s="260"/>
      <c r="F746" s="260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  <c r="Z746" s="260"/>
    </row>
    <row r="747" ht="15.75" customHeight="1">
      <c r="A747" s="260"/>
      <c r="B747" s="260"/>
      <c r="C747" s="260"/>
      <c r="D747" s="260"/>
      <c r="E747" s="260"/>
      <c r="F747" s="260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0"/>
    </row>
    <row r="748" ht="15.75" customHeight="1">
      <c r="A748" s="260"/>
      <c r="B748" s="260"/>
      <c r="C748" s="260"/>
      <c r="D748" s="260"/>
      <c r="E748" s="260"/>
      <c r="F748" s="260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  <c r="Z748" s="260"/>
    </row>
    <row r="749" ht="15.75" customHeight="1">
      <c r="A749" s="260"/>
      <c r="B749" s="260"/>
      <c r="C749" s="260"/>
      <c r="D749" s="260"/>
      <c r="E749" s="260"/>
      <c r="F749" s="260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  <c r="Z749" s="260"/>
    </row>
    <row r="750" ht="15.75" customHeight="1">
      <c r="A750" s="260"/>
      <c r="B750" s="260"/>
      <c r="C750" s="260"/>
      <c r="D750" s="260"/>
      <c r="E750" s="260"/>
      <c r="F750" s="260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0"/>
    </row>
    <row r="751" ht="15.75" customHeight="1">
      <c r="A751" s="260"/>
      <c r="B751" s="260"/>
      <c r="C751" s="260"/>
      <c r="D751" s="260"/>
      <c r="E751" s="260"/>
      <c r="F751" s="260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0"/>
    </row>
    <row r="752" ht="15.75" customHeight="1">
      <c r="A752" s="260"/>
      <c r="B752" s="260"/>
      <c r="C752" s="260"/>
      <c r="D752" s="260"/>
      <c r="E752" s="260"/>
      <c r="F752" s="260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  <c r="Z752" s="260"/>
    </row>
    <row r="753" ht="15.75" customHeight="1">
      <c r="A753" s="260"/>
      <c r="B753" s="260"/>
      <c r="C753" s="260"/>
      <c r="D753" s="260"/>
      <c r="E753" s="260"/>
      <c r="F753" s="260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  <c r="Z753" s="260"/>
    </row>
    <row r="754" ht="15.75" customHeight="1">
      <c r="A754" s="260"/>
      <c r="B754" s="260"/>
      <c r="C754" s="260"/>
      <c r="D754" s="260"/>
      <c r="E754" s="260"/>
      <c r="F754" s="260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  <c r="Z754" s="260"/>
    </row>
    <row r="755" ht="15.75" customHeight="1">
      <c r="A755" s="260"/>
      <c r="B755" s="260"/>
      <c r="C755" s="260"/>
      <c r="D755" s="260"/>
      <c r="E755" s="260"/>
      <c r="F755" s="260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0"/>
    </row>
    <row r="756" ht="15.75" customHeight="1">
      <c r="A756" s="260"/>
      <c r="B756" s="260"/>
      <c r="C756" s="260"/>
      <c r="D756" s="260"/>
      <c r="E756" s="260"/>
      <c r="F756" s="260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  <c r="Z756" s="260"/>
    </row>
    <row r="757" ht="15.75" customHeight="1">
      <c r="A757" s="260"/>
      <c r="B757" s="260"/>
      <c r="C757" s="260"/>
      <c r="D757" s="260"/>
      <c r="E757" s="260"/>
      <c r="F757" s="260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0"/>
    </row>
    <row r="758" ht="15.75" customHeight="1">
      <c r="A758" s="260"/>
      <c r="B758" s="260"/>
      <c r="C758" s="260"/>
      <c r="D758" s="260"/>
      <c r="E758" s="260"/>
      <c r="F758" s="260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  <c r="Z758" s="260"/>
    </row>
    <row r="759" ht="15.75" customHeight="1">
      <c r="A759" s="260"/>
      <c r="B759" s="260"/>
      <c r="C759" s="260"/>
      <c r="D759" s="260"/>
      <c r="E759" s="260"/>
      <c r="F759" s="260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0"/>
    </row>
    <row r="760" ht="15.75" customHeight="1">
      <c r="A760" s="260"/>
      <c r="B760" s="260"/>
      <c r="C760" s="260"/>
      <c r="D760" s="260"/>
      <c r="E760" s="260"/>
      <c r="F760" s="260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  <c r="Z760" s="260"/>
    </row>
    <row r="761" ht="15.75" customHeight="1">
      <c r="A761" s="260"/>
      <c r="B761" s="260"/>
      <c r="C761" s="260"/>
      <c r="D761" s="260"/>
      <c r="E761" s="260"/>
      <c r="F761" s="260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  <c r="Z761" s="260"/>
    </row>
    <row r="762" ht="15.75" customHeight="1">
      <c r="A762" s="260"/>
      <c r="B762" s="260"/>
      <c r="C762" s="260"/>
      <c r="D762" s="260"/>
      <c r="E762" s="260"/>
      <c r="F762" s="260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  <c r="Z762" s="260"/>
    </row>
    <row r="763" ht="15.75" customHeight="1">
      <c r="A763" s="260"/>
      <c r="B763" s="260"/>
      <c r="C763" s="260"/>
      <c r="D763" s="260"/>
      <c r="E763" s="260"/>
      <c r="F763" s="260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  <c r="Z763" s="260"/>
    </row>
    <row r="764" ht="15.75" customHeight="1">
      <c r="A764" s="260"/>
      <c r="B764" s="260"/>
      <c r="C764" s="260"/>
      <c r="D764" s="260"/>
      <c r="E764" s="260"/>
      <c r="F764" s="260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  <c r="Z764" s="260"/>
    </row>
    <row r="765" ht="15.75" customHeight="1">
      <c r="A765" s="260"/>
      <c r="B765" s="260"/>
      <c r="C765" s="260"/>
      <c r="D765" s="260"/>
      <c r="E765" s="260"/>
      <c r="F765" s="260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  <c r="Z765" s="260"/>
    </row>
    <row r="766" ht="15.75" customHeight="1">
      <c r="A766" s="260"/>
      <c r="B766" s="260"/>
      <c r="C766" s="260"/>
      <c r="D766" s="260"/>
      <c r="E766" s="260"/>
      <c r="F766" s="260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  <c r="Z766" s="260"/>
    </row>
    <row r="767" ht="15.75" customHeight="1">
      <c r="A767" s="260"/>
      <c r="B767" s="260"/>
      <c r="C767" s="260"/>
      <c r="D767" s="260"/>
      <c r="E767" s="260"/>
      <c r="F767" s="260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0"/>
    </row>
    <row r="768" ht="15.75" customHeight="1">
      <c r="A768" s="260"/>
      <c r="B768" s="260"/>
      <c r="C768" s="260"/>
      <c r="D768" s="260"/>
      <c r="E768" s="260"/>
      <c r="F768" s="260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  <c r="Z768" s="260"/>
    </row>
    <row r="769" ht="15.75" customHeight="1">
      <c r="A769" s="260"/>
      <c r="B769" s="260"/>
      <c r="C769" s="260"/>
      <c r="D769" s="260"/>
      <c r="E769" s="260"/>
      <c r="F769" s="260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  <c r="Z769" s="260"/>
    </row>
    <row r="770" ht="15.75" customHeight="1">
      <c r="A770" s="260"/>
      <c r="B770" s="260"/>
      <c r="C770" s="260"/>
      <c r="D770" s="260"/>
      <c r="E770" s="260"/>
      <c r="F770" s="260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  <c r="Z770" s="260"/>
    </row>
    <row r="771" ht="15.75" customHeight="1">
      <c r="A771" s="260"/>
      <c r="B771" s="260"/>
      <c r="C771" s="260"/>
      <c r="D771" s="260"/>
      <c r="E771" s="260"/>
      <c r="F771" s="260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  <c r="Z771" s="260"/>
    </row>
    <row r="772" ht="15.75" customHeight="1">
      <c r="A772" s="260"/>
      <c r="B772" s="260"/>
      <c r="C772" s="260"/>
      <c r="D772" s="260"/>
      <c r="E772" s="260"/>
      <c r="F772" s="260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0"/>
    </row>
    <row r="773" ht="15.75" customHeight="1">
      <c r="A773" s="260"/>
      <c r="B773" s="260"/>
      <c r="C773" s="260"/>
      <c r="D773" s="260"/>
      <c r="E773" s="260"/>
      <c r="F773" s="260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0"/>
    </row>
    <row r="774" ht="15.75" customHeight="1">
      <c r="A774" s="260"/>
      <c r="B774" s="260"/>
      <c r="C774" s="260"/>
      <c r="D774" s="260"/>
      <c r="E774" s="260"/>
      <c r="F774" s="260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0"/>
    </row>
    <row r="775" ht="15.75" customHeight="1">
      <c r="A775" s="260"/>
      <c r="B775" s="260"/>
      <c r="C775" s="260"/>
      <c r="D775" s="260"/>
      <c r="E775" s="260"/>
      <c r="F775" s="260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0"/>
    </row>
    <row r="776" ht="15.75" customHeight="1">
      <c r="A776" s="260"/>
      <c r="B776" s="260"/>
      <c r="C776" s="260"/>
      <c r="D776" s="260"/>
      <c r="E776" s="260"/>
      <c r="F776" s="260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0"/>
    </row>
    <row r="777" ht="15.75" customHeight="1">
      <c r="A777" s="260"/>
      <c r="B777" s="260"/>
      <c r="C777" s="260"/>
      <c r="D777" s="260"/>
      <c r="E777" s="260"/>
      <c r="F777" s="260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0"/>
    </row>
    <row r="778" ht="15.75" customHeight="1">
      <c r="A778" s="260"/>
      <c r="B778" s="260"/>
      <c r="C778" s="260"/>
      <c r="D778" s="260"/>
      <c r="E778" s="260"/>
      <c r="F778" s="260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0"/>
    </row>
    <row r="779" ht="15.75" customHeight="1">
      <c r="A779" s="260"/>
      <c r="B779" s="260"/>
      <c r="C779" s="260"/>
      <c r="D779" s="260"/>
      <c r="E779" s="260"/>
      <c r="F779" s="260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0"/>
    </row>
    <row r="780" ht="15.75" customHeight="1">
      <c r="A780" s="260"/>
      <c r="B780" s="260"/>
      <c r="C780" s="260"/>
      <c r="D780" s="260"/>
      <c r="E780" s="260"/>
      <c r="F780" s="260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0"/>
    </row>
    <row r="781" ht="15.75" customHeight="1">
      <c r="A781" s="260"/>
      <c r="B781" s="260"/>
      <c r="C781" s="260"/>
      <c r="D781" s="260"/>
      <c r="E781" s="260"/>
      <c r="F781" s="260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</row>
    <row r="782" ht="15.75" customHeight="1">
      <c r="A782" s="260"/>
      <c r="B782" s="260"/>
      <c r="C782" s="260"/>
      <c r="D782" s="260"/>
      <c r="E782" s="260"/>
      <c r="F782" s="260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0"/>
    </row>
    <row r="783" ht="15.75" customHeight="1">
      <c r="A783" s="260"/>
      <c r="B783" s="260"/>
      <c r="C783" s="260"/>
      <c r="D783" s="260"/>
      <c r="E783" s="260"/>
      <c r="F783" s="260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0"/>
    </row>
    <row r="784" ht="15.75" customHeight="1">
      <c r="A784" s="260"/>
      <c r="B784" s="260"/>
      <c r="C784" s="260"/>
      <c r="D784" s="260"/>
      <c r="E784" s="260"/>
      <c r="F784" s="260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0"/>
    </row>
    <row r="785" ht="15.75" customHeight="1">
      <c r="A785" s="260"/>
      <c r="B785" s="260"/>
      <c r="C785" s="260"/>
      <c r="D785" s="260"/>
      <c r="E785" s="260"/>
      <c r="F785" s="260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0"/>
    </row>
    <row r="786" ht="15.75" customHeight="1">
      <c r="A786" s="260"/>
      <c r="B786" s="260"/>
      <c r="C786" s="260"/>
      <c r="D786" s="260"/>
      <c r="E786" s="260"/>
      <c r="F786" s="260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0"/>
    </row>
    <row r="787" ht="15.75" customHeight="1">
      <c r="A787" s="260"/>
      <c r="B787" s="260"/>
      <c r="C787" s="260"/>
      <c r="D787" s="260"/>
      <c r="E787" s="260"/>
      <c r="F787" s="260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0"/>
    </row>
    <row r="788" ht="15.75" customHeight="1">
      <c r="A788" s="260"/>
      <c r="B788" s="260"/>
      <c r="C788" s="260"/>
      <c r="D788" s="260"/>
      <c r="E788" s="260"/>
      <c r="F788" s="260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0"/>
    </row>
    <row r="789" ht="15.75" customHeight="1">
      <c r="A789" s="260"/>
      <c r="B789" s="260"/>
      <c r="C789" s="260"/>
      <c r="D789" s="260"/>
      <c r="E789" s="260"/>
      <c r="F789" s="260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0"/>
    </row>
    <row r="790" ht="15.75" customHeight="1">
      <c r="A790" s="260"/>
      <c r="B790" s="260"/>
      <c r="C790" s="260"/>
      <c r="D790" s="260"/>
      <c r="E790" s="260"/>
      <c r="F790" s="260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0"/>
    </row>
    <row r="791" ht="15.75" customHeight="1">
      <c r="A791" s="260"/>
      <c r="B791" s="260"/>
      <c r="C791" s="260"/>
      <c r="D791" s="260"/>
      <c r="E791" s="260"/>
      <c r="F791" s="260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0"/>
    </row>
    <row r="792" ht="15.75" customHeight="1">
      <c r="A792" s="260"/>
      <c r="B792" s="260"/>
      <c r="C792" s="260"/>
      <c r="D792" s="260"/>
      <c r="E792" s="260"/>
      <c r="F792" s="260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0"/>
    </row>
    <row r="793" ht="15.75" customHeight="1">
      <c r="A793" s="260"/>
      <c r="B793" s="260"/>
      <c r="C793" s="260"/>
      <c r="D793" s="260"/>
      <c r="E793" s="260"/>
      <c r="F793" s="260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0"/>
    </row>
    <row r="794" ht="15.75" customHeight="1">
      <c r="A794" s="260"/>
      <c r="B794" s="260"/>
      <c r="C794" s="260"/>
      <c r="D794" s="260"/>
      <c r="E794" s="260"/>
      <c r="F794" s="260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0"/>
    </row>
    <row r="795" ht="15.75" customHeight="1">
      <c r="A795" s="260"/>
      <c r="B795" s="260"/>
      <c r="C795" s="260"/>
      <c r="D795" s="260"/>
      <c r="E795" s="260"/>
      <c r="F795" s="260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0"/>
    </row>
    <row r="796" ht="15.75" customHeight="1">
      <c r="A796" s="260"/>
      <c r="B796" s="260"/>
      <c r="C796" s="260"/>
      <c r="D796" s="260"/>
      <c r="E796" s="260"/>
      <c r="F796" s="260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0"/>
    </row>
    <row r="797" ht="15.75" customHeight="1">
      <c r="A797" s="260"/>
      <c r="B797" s="260"/>
      <c r="C797" s="260"/>
      <c r="D797" s="260"/>
      <c r="E797" s="260"/>
      <c r="F797" s="260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0"/>
    </row>
    <row r="798" ht="15.75" customHeight="1">
      <c r="A798" s="260"/>
      <c r="B798" s="260"/>
      <c r="C798" s="260"/>
      <c r="D798" s="260"/>
      <c r="E798" s="260"/>
      <c r="F798" s="260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0"/>
    </row>
    <row r="799" ht="15.75" customHeight="1">
      <c r="A799" s="260"/>
      <c r="B799" s="260"/>
      <c r="C799" s="260"/>
      <c r="D799" s="260"/>
      <c r="E799" s="260"/>
      <c r="F799" s="260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0"/>
    </row>
    <row r="800" ht="15.75" customHeight="1">
      <c r="A800" s="260"/>
      <c r="B800" s="260"/>
      <c r="C800" s="260"/>
      <c r="D800" s="260"/>
      <c r="E800" s="260"/>
      <c r="F800" s="260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0"/>
    </row>
    <row r="801" ht="15.75" customHeight="1">
      <c r="A801" s="260"/>
      <c r="B801" s="260"/>
      <c r="C801" s="260"/>
      <c r="D801" s="260"/>
      <c r="E801" s="260"/>
      <c r="F801" s="260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0"/>
    </row>
    <row r="802" ht="15.75" customHeight="1">
      <c r="A802" s="260"/>
      <c r="B802" s="260"/>
      <c r="C802" s="260"/>
      <c r="D802" s="260"/>
      <c r="E802" s="260"/>
      <c r="F802" s="260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0"/>
    </row>
    <row r="803" ht="15.75" customHeight="1">
      <c r="A803" s="260"/>
      <c r="B803" s="260"/>
      <c r="C803" s="260"/>
      <c r="D803" s="260"/>
      <c r="E803" s="260"/>
      <c r="F803" s="260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0"/>
    </row>
    <row r="804" ht="15.75" customHeight="1">
      <c r="A804" s="260"/>
      <c r="B804" s="260"/>
      <c r="C804" s="260"/>
      <c r="D804" s="260"/>
      <c r="E804" s="260"/>
      <c r="F804" s="260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0"/>
    </row>
    <row r="805" ht="15.75" customHeight="1">
      <c r="A805" s="260"/>
      <c r="B805" s="260"/>
      <c r="C805" s="260"/>
      <c r="D805" s="260"/>
      <c r="E805" s="260"/>
      <c r="F805" s="260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0"/>
    </row>
    <row r="806" ht="15.75" customHeight="1">
      <c r="A806" s="260"/>
      <c r="B806" s="260"/>
      <c r="C806" s="260"/>
      <c r="D806" s="260"/>
      <c r="E806" s="260"/>
      <c r="F806" s="260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0"/>
    </row>
    <row r="807" ht="15.75" customHeight="1">
      <c r="A807" s="260"/>
      <c r="B807" s="260"/>
      <c r="C807" s="260"/>
      <c r="D807" s="260"/>
      <c r="E807" s="260"/>
      <c r="F807" s="260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</row>
    <row r="808" ht="15.75" customHeight="1">
      <c r="A808" s="260"/>
      <c r="B808" s="260"/>
      <c r="C808" s="260"/>
      <c r="D808" s="260"/>
      <c r="E808" s="260"/>
      <c r="F808" s="260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0"/>
    </row>
    <row r="809" ht="15.75" customHeight="1">
      <c r="A809" s="260"/>
      <c r="B809" s="260"/>
      <c r="C809" s="260"/>
      <c r="D809" s="260"/>
      <c r="E809" s="260"/>
      <c r="F809" s="260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0"/>
    </row>
    <row r="810" ht="15.75" customHeight="1">
      <c r="A810" s="260"/>
      <c r="B810" s="260"/>
      <c r="C810" s="260"/>
      <c r="D810" s="260"/>
      <c r="E810" s="260"/>
      <c r="F810" s="260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0"/>
    </row>
    <row r="811" ht="15.75" customHeight="1">
      <c r="A811" s="260"/>
      <c r="B811" s="260"/>
      <c r="C811" s="260"/>
      <c r="D811" s="260"/>
      <c r="E811" s="260"/>
      <c r="F811" s="260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0"/>
    </row>
    <row r="812" ht="15.75" customHeight="1">
      <c r="A812" s="260"/>
      <c r="B812" s="260"/>
      <c r="C812" s="260"/>
      <c r="D812" s="260"/>
      <c r="E812" s="260"/>
      <c r="F812" s="260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0"/>
    </row>
    <row r="813" ht="15.75" customHeight="1">
      <c r="A813" s="260"/>
      <c r="B813" s="260"/>
      <c r="C813" s="260"/>
      <c r="D813" s="260"/>
      <c r="E813" s="260"/>
      <c r="F813" s="260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0"/>
    </row>
    <row r="814" ht="15.75" customHeight="1">
      <c r="A814" s="260"/>
      <c r="B814" s="260"/>
      <c r="C814" s="260"/>
      <c r="D814" s="260"/>
      <c r="E814" s="260"/>
      <c r="F814" s="260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0"/>
    </row>
    <row r="815" ht="15.75" customHeight="1">
      <c r="A815" s="260"/>
      <c r="B815" s="260"/>
      <c r="C815" s="260"/>
      <c r="D815" s="260"/>
      <c r="E815" s="260"/>
      <c r="F815" s="260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0"/>
    </row>
    <row r="816" ht="15.75" customHeight="1">
      <c r="A816" s="260"/>
      <c r="B816" s="260"/>
      <c r="C816" s="260"/>
      <c r="D816" s="260"/>
      <c r="E816" s="260"/>
      <c r="F816" s="260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0"/>
    </row>
    <row r="817" ht="15.75" customHeight="1">
      <c r="A817" s="260"/>
      <c r="B817" s="260"/>
      <c r="C817" s="260"/>
      <c r="D817" s="260"/>
      <c r="E817" s="260"/>
      <c r="F817" s="260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</row>
    <row r="818" ht="15.75" customHeight="1">
      <c r="A818" s="260"/>
      <c r="B818" s="260"/>
      <c r="C818" s="260"/>
      <c r="D818" s="260"/>
      <c r="E818" s="260"/>
      <c r="F818" s="260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0"/>
    </row>
    <row r="819" ht="15.75" customHeight="1">
      <c r="A819" s="260"/>
      <c r="B819" s="260"/>
      <c r="C819" s="260"/>
      <c r="D819" s="260"/>
      <c r="E819" s="260"/>
      <c r="F819" s="260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0"/>
    </row>
    <row r="820" ht="15.75" customHeight="1">
      <c r="A820" s="260"/>
      <c r="B820" s="260"/>
      <c r="C820" s="260"/>
      <c r="D820" s="260"/>
      <c r="E820" s="260"/>
      <c r="F820" s="260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0"/>
    </row>
    <row r="821" ht="15.75" customHeight="1">
      <c r="A821" s="260"/>
      <c r="B821" s="260"/>
      <c r="C821" s="260"/>
      <c r="D821" s="260"/>
      <c r="E821" s="260"/>
      <c r="F821" s="260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0"/>
    </row>
    <row r="822" ht="15.75" customHeight="1">
      <c r="A822" s="260"/>
      <c r="B822" s="260"/>
      <c r="C822" s="260"/>
      <c r="D822" s="260"/>
      <c r="E822" s="260"/>
      <c r="F822" s="260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0"/>
    </row>
    <row r="823" ht="15.75" customHeight="1">
      <c r="A823" s="260"/>
      <c r="B823" s="260"/>
      <c r="C823" s="260"/>
      <c r="D823" s="260"/>
      <c r="E823" s="260"/>
      <c r="F823" s="260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0"/>
    </row>
    <row r="824" ht="15.75" customHeight="1">
      <c r="A824" s="260"/>
      <c r="B824" s="260"/>
      <c r="C824" s="260"/>
      <c r="D824" s="260"/>
      <c r="E824" s="260"/>
      <c r="F824" s="260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0"/>
    </row>
    <row r="825" ht="15.75" customHeight="1">
      <c r="A825" s="260"/>
      <c r="B825" s="260"/>
      <c r="C825" s="260"/>
      <c r="D825" s="260"/>
      <c r="E825" s="260"/>
      <c r="F825" s="260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0"/>
    </row>
    <row r="826" ht="15.75" customHeight="1">
      <c r="A826" s="260"/>
      <c r="B826" s="260"/>
      <c r="C826" s="260"/>
      <c r="D826" s="260"/>
      <c r="E826" s="260"/>
      <c r="F826" s="260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0"/>
    </row>
    <row r="827" ht="15.75" customHeight="1">
      <c r="A827" s="260"/>
      <c r="B827" s="260"/>
      <c r="C827" s="260"/>
      <c r="D827" s="260"/>
      <c r="E827" s="260"/>
      <c r="F827" s="260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0"/>
    </row>
    <row r="828" ht="15.75" customHeight="1">
      <c r="A828" s="260"/>
      <c r="B828" s="260"/>
      <c r="C828" s="260"/>
      <c r="D828" s="260"/>
      <c r="E828" s="260"/>
      <c r="F828" s="260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  <c r="Z828" s="260"/>
    </row>
    <row r="829" ht="15.75" customHeight="1">
      <c r="A829" s="260"/>
      <c r="B829" s="260"/>
      <c r="C829" s="260"/>
      <c r="D829" s="260"/>
      <c r="E829" s="260"/>
      <c r="F829" s="260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  <c r="Z829" s="260"/>
    </row>
    <row r="830" ht="15.75" customHeight="1">
      <c r="A830" s="260"/>
      <c r="B830" s="260"/>
      <c r="C830" s="260"/>
      <c r="D830" s="260"/>
      <c r="E830" s="260"/>
      <c r="F830" s="260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  <c r="Z830" s="260"/>
    </row>
    <row r="831" ht="15.75" customHeight="1">
      <c r="A831" s="260"/>
      <c r="B831" s="260"/>
      <c r="C831" s="260"/>
      <c r="D831" s="260"/>
      <c r="E831" s="260"/>
      <c r="F831" s="260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  <c r="Z831" s="260"/>
    </row>
    <row r="832" ht="15.75" customHeight="1">
      <c r="A832" s="260"/>
      <c r="B832" s="260"/>
      <c r="C832" s="260"/>
      <c r="D832" s="260"/>
      <c r="E832" s="260"/>
      <c r="F832" s="260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  <c r="Z832" s="260"/>
    </row>
    <row r="833" ht="15.75" customHeight="1">
      <c r="A833" s="260"/>
      <c r="B833" s="260"/>
      <c r="C833" s="260"/>
      <c r="D833" s="260"/>
      <c r="E833" s="260"/>
      <c r="F833" s="260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  <c r="Z833" s="260"/>
    </row>
    <row r="834" ht="15.75" customHeight="1">
      <c r="A834" s="260"/>
      <c r="B834" s="260"/>
      <c r="C834" s="260"/>
      <c r="D834" s="260"/>
      <c r="E834" s="260"/>
      <c r="F834" s="260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  <c r="Z834" s="260"/>
    </row>
    <row r="835" ht="15.75" customHeight="1">
      <c r="A835" s="260"/>
      <c r="B835" s="260"/>
      <c r="C835" s="260"/>
      <c r="D835" s="260"/>
      <c r="E835" s="260"/>
      <c r="F835" s="260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  <c r="Z835" s="260"/>
    </row>
    <row r="836" ht="15.75" customHeight="1">
      <c r="A836" s="260"/>
      <c r="B836" s="260"/>
      <c r="C836" s="260"/>
      <c r="D836" s="260"/>
      <c r="E836" s="260"/>
      <c r="F836" s="260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  <c r="Z836" s="260"/>
    </row>
    <row r="837" ht="15.75" customHeight="1">
      <c r="A837" s="260"/>
      <c r="B837" s="260"/>
      <c r="C837" s="260"/>
      <c r="D837" s="260"/>
      <c r="E837" s="260"/>
      <c r="F837" s="260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  <c r="Z837" s="260"/>
    </row>
    <row r="838" ht="15.75" customHeight="1">
      <c r="A838" s="260"/>
      <c r="B838" s="260"/>
      <c r="C838" s="260"/>
      <c r="D838" s="260"/>
      <c r="E838" s="260"/>
      <c r="F838" s="260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  <c r="Z838" s="260"/>
    </row>
    <row r="839" ht="15.75" customHeight="1">
      <c r="A839" s="260"/>
      <c r="B839" s="260"/>
      <c r="C839" s="260"/>
      <c r="D839" s="260"/>
      <c r="E839" s="260"/>
      <c r="F839" s="260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  <c r="Z839" s="260"/>
    </row>
    <row r="840" ht="15.75" customHeight="1">
      <c r="A840" s="260"/>
      <c r="B840" s="260"/>
      <c r="C840" s="260"/>
      <c r="D840" s="260"/>
      <c r="E840" s="260"/>
      <c r="F840" s="260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  <c r="Z840" s="260"/>
    </row>
    <row r="841" ht="15.75" customHeight="1">
      <c r="A841" s="260"/>
      <c r="B841" s="260"/>
      <c r="C841" s="260"/>
      <c r="D841" s="260"/>
      <c r="E841" s="260"/>
      <c r="F841" s="260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  <c r="Z841" s="260"/>
    </row>
    <row r="842" ht="15.75" customHeight="1">
      <c r="A842" s="260"/>
      <c r="B842" s="260"/>
      <c r="C842" s="260"/>
      <c r="D842" s="260"/>
      <c r="E842" s="260"/>
      <c r="F842" s="260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  <c r="Z842" s="260"/>
    </row>
    <row r="843" ht="15.75" customHeight="1">
      <c r="A843" s="260"/>
      <c r="B843" s="260"/>
      <c r="C843" s="260"/>
      <c r="D843" s="260"/>
      <c r="E843" s="260"/>
      <c r="F843" s="260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  <c r="Z843" s="260"/>
    </row>
    <row r="844" ht="15.75" customHeight="1">
      <c r="A844" s="260"/>
      <c r="B844" s="260"/>
      <c r="C844" s="260"/>
      <c r="D844" s="260"/>
      <c r="E844" s="260"/>
      <c r="F844" s="260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  <c r="Z844" s="260"/>
    </row>
    <row r="845" ht="15.75" customHeight="1">
      <c r="A845" s="260"/>
      <c r="B845" s="260"/>
      <c r="C845" s="260"/>
      <c r="D845" s="260"/>
      <c r="E845" s="260"/>
      <c r="F845" s="260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  <c r="Z845" s="260"/>
    </row>
    <row r="846" ht="15.75" customHeight="1">
      <c r="A846" s="260"/>
      <c r="B846" s="260"/>
      <c r="C846" s="260"/>
      <c r="D846" s="260"/>
      <c r="E846" s="260"/>
      <c r="F846" s="260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  <c r="Z846" s="260"/>
    </row>
    <row r="847" ht="15.75" customHeight="1">
      <c r="A847" s="260"/>
      <c r="B847" s="260"/>
      <c r="C847" s="260"/>
      <c r="D847" s="260"/>
      <c r="E847" s="260"/>
      <c r="F847" s="260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  <c r="Z847" s="260"/>
    </row>
    <row r="848" ht="15.75" customHeight="1">
      <c r="A848" s="260"/>
      <c r="B848" s="260"/>
      <c r="C848" s="260"/>
      <c r="D848" s="260"/>
      <c r="E848" s="260"/>
      <c r="F848" s="260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  <c r="Z848" s="260"/>
    </row>
    <row r="849" ht="15.75" customHeight="1">
      <c r="A849" s="260"/>
      <c r="B849" s="260"/>
      <c r="C849" s="260"/>
      <c r="D849" s="260"/>
      <c r="E849" s="260"/>
      <c r="F849" s="260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0"/>
    </row>
    <row r="850" ht="15.75" customHeight="1">
      <c r="A850" s="260"/>
      <c r="B850" s="260"/>
      <c r="C850" s="260"/>
      <c r="D850" s="260"/>
      <c r="E850" s="260"/>
      <c r="F850" s="260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0"/>
    </row>
    <row r="851" ht="15.75" customHeight="1">
      <c r="A851" s="260"/>
      <c r="B851" s="260"/>
      <c r="C851" s="260"/>
      <c r="D851" s="260"/>
      <c r="E851" s="260"/>
      <c r="F851" s="260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  <c r="Z851" s="260"/>
    </row>
    <row r="852" ht="15.75" customHeight="1">
      <c r="A852" s="260"/>
      <c r="B852" s="260"/>
      <c r="C852" s="260"/>
      <c r="D852" s="260"/>
      <c r="E852" s="260"/>
      <c r="F852" s="260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  <c r="Z852" s="260"/>
    </row>
    <row r="853" ht="15.75" customHeight="1">
      <c r="A853" s="260"/>
      <c r="B853" s="260"/>
      <c r="C853" s="260"/>
      <c r="D853" s="260"/>
      <c r="E853" s="260"/>
      <c r="F853" s="260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  <c r="Z853" s="260"/>
    </row>
    <row r="854" ht="15.75" customHeight="1">
      <c r="A854" s="260"/>
      <c r="B854" s="260"/>
      <c r="C854" s="260"/>
      <c r="D854" s="260"/>
      <c r="E854" s="260"/>
      <c r="F854" s="260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  <c r="Z854" s="260"/>
    </row>
    <row r="855" ht="15.75" customHeight="1">
      <c r="A855" s="260"/>
      <c r="B855" s="260"/>
      <c r="C855" s="260"/>
      <c r="D855" s="260"/>
      <c r="E855" s="260"/>
      <c r="F855" s="260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  <c r="Z855" s="260"/>
    </row>
    <row r="856" ht="15.75" customHeight="1">
      <c r="A856" s="260"/>
      <c r="B856" s="260"/>
      <c r="C856" s="260"/>
      <c r="D856" s="260"/>
      <c r="E856" s="260"/>
      <c r="F856" s="260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  <c r="Z856" s="260"/>
    </row>
    <row r="857" ht="15.75" customHeight="1">
      <c r="A857" s="260"/>
      <c r="B857" s="260"/>
      <c r="C857" s="260"/>
      <c r="D857" s="260"/>
      <c r="E857" s="260"/>
      <c r="F857" s="260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  <c r="Z857" s="260"/>
    </row>
    <row r="858" ht="15.75" customHeight="1">
      <c r="A858" s="260"/>
      <c r="B858" s="260"/>
      <c r="C858" s="260"/>
      <c r="D858" s="260"/>
      <c r="E858" s="260"/>
      <c r="F858" s="260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  <c r="Z858" s="260"/>
    </row>
    <row r="859" ht="15.75" customHeight="1">
      <c r="A859" s="260"/>
      <c r="B859" s="260"/>
      <c r="C859" s="260"/>
      <c r="D859" s="260"/>
      <c r="E859" s="260"/>
      <c r="F859" s="260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  <c r="Z859" s="260"/>
    </row>
    <row r="860" ht="15.75" customHeight="1">
      <c r="A860" s="260"/>
      <c r="B860" s="260"/>
      <c r="C860" s="260"/>
      <c r="D860" s="260"/>
      <c r="E860" s="260"/>
      <c r="F860" s="260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  <c r="Z860" s="260"/>
    </row>
    <row r="861" ht="15.75" customHeight="1">
      <c r="A861" s="260"/>
      <c r="B861" s="260"/>
      <c r="C861" s="260"/>
      <c r="D861" s="260"/>
      <c r="E861" s="260"/>
      <c r="F861" s="260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0"/>
    </row>
    <row r="862" ht="15.75" customHeight="1">
      <c r="A862" s="260"/>
      <c r="B862" s="260"/>
      <c r="C862" s="260"/>
      <c r="D862" s="260"/>
      <c r="E862" s="260"/>
      <c r="F862" s="260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  <c r="Z862" s="260"/>
    </row>
    <row r="863" ht="15.75" customHeight="1">
      <c r="A863" s="260"/>
      <c r="B863" s="260"/>
      <c r="C863" s="260"/>
      <c r="D863" s="260"/>
      <c r="E863" s="260"/>
      <c r="F863" s="260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  <c r="Z863" s="260"/>
    </row>
    <row r="864" ht="15.75" customHeight="1">
      <c r="A864" s="260"/>
      <c r="B864" s="260"/>
      <c r="C864" s="260"/>
      <c r="D864" s="260"/>
      <c r="E864" s="260"/>
      <c r="F864" s="260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  <c r="Z864" s="260"/>
    </row>
    <row r="865" ht="15.75" customHeight="1">
      <c r="A865" s="260"/>
      <c r="B865" s="260"/>
      <c r="C865" s="260"/>
      <c r="D865" s="260"/>
      <c r="E865" s="260"/>
      <c r="F865" s="260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0"/>
    </row>
    <row r="866" ht="15.75" customHeight="1">
      <c r="A866" s="260"/>
      <c r="B866" s="260"/>
      <c r="C866" s="260"/>
      <c r="D866" s="260"/>
      <c r="E866" s="260"/>
      <c r="F866" s="260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  <c r="Z866" s="260"/>
    </row>
    <row r="867" ht="15.75" customHeight="1">
      <c r="A867" s="260"/>
      <c r="B867" s="260"/>
      <c r="C867" s="260"/>
      <c r="D867" s="260"/>
      <c r="E867" s="260"/>
      <c r="F867" s="260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0"/>
    </row>
    <row r="868" ht="15.75" customHeight="1">
      <c r="A868" s="260"/>
      <c r="B868" s="260"/>
      <c r="C868" s="260"/>
      <c r="D868" s="260"/>
      <c r="E868" s="260"/>
      <c r="F868" s="260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  <c r="Z868" s="260"/>
    </row>
    <row r="869" ht="15.75" customHeight="1">
      <c r="A869" s="260"/>
      <c r="B869" s="260"/>
      <c r="C869" s="260"/>
      <c r="D869" s="260"/>
      <c r="E869" s="260"/>
      <c r="F869" s="260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0"/>
    </row>
    <row r="870" ht="15.75" customHeight="1">
      <c r="A870" s="260"/>
      <c r="B870" s="260"/>
      <c r="C870" s="260"/>
      <c r="D870" s="260"/>
      <c r="E870" s="260"/>
      <c r="F870" s="260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  <c r="Z870" s="260"/>
    </row>
    <row r="871" ht="15.75" customHeight="1">
      <c r="A871" s="260"/>
      <c r="B871" s="260"/>
      <c r="C871" s="260"/>
      <c r="D871" s="260"/>
      <c r="E871" s="260"/>
      <c r="F871" s="260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  <c r="Z871" s="260"/>
    </row>
    <row r="872" ht="15.75" customHeight="1">
      <c r="A872" s="260"/>
      <c r="B872" s="260"/>
      <c r="C872" s="260"/>
      <c r="D872" s="260"/>
      <c r="E872" s="260"/>
      <c r="F872" s="260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  <c r="Z872" s="260"/>
    </row>
    <row r="873" ht="15.75" customHeight="1">
      <c r="A873" s="260"/>
      <c r="B873" s="260"/>
      <c r="C873" s="260"/>
      <c r="D873" s="260"/>
      <c r="E873" s="260"/>
      <c r="F873" s="260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  <c r="Z873" s="260"/>
    </row>
    <row r="874" ht="15.75" customHeight="1">
      <c r="A874" s="260"/>
      <c r="B874" s="260"/>
      <c r="C874" s="260"/>
      <c r="D874" s="260"/>
      <c r="E874" s="260"/>
      <c r="F874" s="260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  <c r="Z874" s="260"/>
    </row>
    <row r="875" ht="15.75" customHeight="1">
      <c r="A875" s="260"/>
      <c r="B875" s="260"/>
      <c r="C875" s="260"/>
      <c r="D875" s="260"/>
      <c r="E875" s="260"/>
      <c r="F875" s="260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  <c r="Z875" s="260"/>
    </row>
    <row r="876" ht="15.75" customHeight="1">
      <c r="A876" s="260"/>
      <c r="B876" s="260"/>
      <c r="C876" s="260"/>
      <c r="D876" s="260"/>
      <c r="E876" s="260"/>
      <c r="F876" s="260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  <c r="Z876" s="260"/>
    </row>
    <row r="877" ht="15.75" customHeight="1">
      <c r="A877" s="260"/>
      <c r="B877" s="260"/>
      <c r="C877" s="260"/>
      <c r="D877" s="260"/>
      <c r="E877" s="260"/>
      <c r="F877" s="260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  <c r="Z877" s="260"/>
    </row>
    <row r="878" ht="15.75" customHeight="1">
      <c r="A878" s="260"/>
      <c r="B878" s="260"/>
      <c r="C878" s="260"/>
      <c r="D878" s="260"/>
      <c r="E878" s="260"/>
      <c r="F878" s="260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  <c r="Z878" s="260"/>
    </row>
    <row r="879" ht="15.75" customHeight="1">
      <c r="A879" s="260"/>
      <c r="B879" s="260"/>
      <c r="C879" s="260"/>
      <c r="D879" s="260"/>
      <c r="E879" s="260"/>
      <c r="F879" s="260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  <c r="Z879" s="260"/>
    </row>
    <row r="880" ht="15.75" customHeight="1">
      <c r="A880" s="260"/>
      <c r="B880" s="260"/>
      <c r="C880" s="260"/>
      <c r="D880" s="260"/>
      <c r="E880" s="260"/>
      <c r="F880" s="260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  <c r="Z880" s="260"/>
    </row>
    <row r="881" ht="15.75" customHeight="1">
      <c r="A881" s="260"/>
      <c r="B881" s="260"/>
      <c r="C881" s="260"/>
      <c r="D881" s="260"/>
      <c r="E881" s="260"/>
      <c r="F881" s="260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  <c r="Z881" s="260"/>
    </row>
    <row r="882" ht="15.75" customHeight="1">
      <c r="A882" s="260"/>
      <c r="B882" s="260"/>
      <c r="C882" s="260"/>
      <c r="D882" s="260"/>
      <c r="E882" s="260"/>
      <c r="F882" s="260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  <c r="Z882" s="260"/>
    </row>
    <row r="883" ht="15.75" customHeight="1">
      <c r="A883" s="260"/>
      <c r="B883" s="260"/>
      <c r="C883" s="260"/>
      <c r="D883" s="260"/>
      <c r="E883" s="260"/>
      <c r="F883" s="260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  <c r="Z883" s="260"/>
    </row>
    <row r="884" ht="15.75" customHeight="1">
      <c r="A884" s="260"/>
      <c r="B884" s="260"/>
      <c r="C884" s="260"/>
      <c r="D884" s="260"/>
      <c r="E884" s="260"/>
      <c r="F884" s="260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  <c r="Z884" s="260"/>
    </row>
    <row r="885" ht="15.75" customHeight="1">
      <c r="A885" s="260"/>
      <c r="B885" s="260"/>
      <c r="C885" s="260"/>
      <c r="D885" s="260"/>
      <c r="E885" s="260"/>
      <c r="F885" s="260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  <c r="Z885" s="260"/>
    </row>
    <row r="886" ht="15.75" customHeight="1">
      <c r="A886" s="260"/>
      <c r="B886" s="260"/>
      <c r="C886" s="260"/>
      <c r="D886" s="260"/>
      <c r="E886" s="260"/>
      <c r="F886" s="260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  <c r="Z886" s="260"/>
    </row>
    <row r="887" ht="15.75" customHeight="1">
      <c r="A887" s="260"/>
      <c r="B887" s="260"/>
      <c r="C887" s="260"/>
      <c r="D887" s="260"/>
      <c r="E887" s="260"/>
      <c r="F887" s="260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  <c r="Z887" s="260"/>
    </row>
    <row r="888" ht="15.75" customHeight="1">
      <c r="A888" s="260"/>
      <c r="B888" s="260"/>
      <c r="C888" s="260"/>
      <c r="D888" s="260"/>
      <c r="E888" s="260"/>
      <c r="F888" s="260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  <c r="Z888" s="260"/>
    </row>
    <row r="889" ht="15.75" customHeight="1">
      <c r="A889" s="260"/>
      <c r="B889" s="260"/>
      <c r="C889" s="260"/>
      <c r="D889" s="260"/>
      <c r="E889" s="260"/>
      <c r="F889" s="260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  <c r="Z889" s="260"/>
    </row>
    <row r="890" ht="15.75" customHeight="1">
      <c r="A890" s="260"/>
      <c r="B890" s="260"/>
      <c r="C890" s="260"/>
      <c r="D890" s="260"/>
      <c r="E890" s="260"/>
      <c r="F890" s="260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  <c r="Z890" s="260"/>
    </row>
    <row r="891" ht="15.75" customHeight="1">
      <c r="A891" s="260"/>
      <c r="B891" s="260"/>
      <c r="C891" s="260"/>
      <c r="D891" s="260"/>
      <c r="E891" s="260"/>
      <c r="F891" s="260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  <c r="Z891" s="260"/>
    </row>
    <row r="892" ht="15.75" customHeight="1">
      <c r="A892" s="260"/>
      <c r="B892" s="260"/>
      <c r="C892" s="260"/>
      <c r="D892" s="260"/>
      <c r="E892" s="260"/>
      <c r="F892" s="260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  <c r="Z892" s="260"/>
    </row>
    <row r="893" ht="15.75" customHeight="1">
      <c r="A893" s="260"/>
      <c r="B893" s="260"/>
      <c r="C893" s="260"/>
      <c r="D893" s="260"/>
      <c r="E893" s="260"/>
      <c r="F893" s="260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  <c r="Z893" s="260"/>
    </row>
    <row r="894" ht="15.75" customHeight="1">
      <c r="A894" s="260"/>
      <c r="B894" s="260"/>
      <c r="C894" s="260"/>
      <c r="D894" s="260"/>
      <c r="E894" s="260"/>
      <c r="F894" s="260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  <c r="Z894" s="260"/>
    </row>
    <row r="895" ht="15.75" customHeight="1">
      <c r="A895" s="260"/>
      <c r="B895" s="260"/>
      <c r="C895" s="260"/>
      <c r="D895" s="260"/>
      <c r="E895" s="260"/>
      <c r="F895" s="260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0"/>
    </row>
    <row r="896" ht="15.75" customHeight="1">
      <c r="A896" s="260"/>
      <c r="B896" s="260"/>
      <c r="C896" s="260"/>
      <c r="D896" s="260"/>
      <c r="E896" s="260"/>
      <c r="F896" s="260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  <c r="Z896" s="260"/>
    </row>
    <row r="897" ht="15.75" customHeight="1">
      <c r="A897" s="260"/>
      <c r="B897" s="260"/>
      <c r="C897" s="260"/>
      <c r="D897" s="260"/>
      <c r="E897" s="260"/>
      <c r="F897" s="260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  <c r="Z897" s="260"/>
    </row>
    <row r="898" ht="15.75" customHeight="1">
      <c r="A898" s="260"/>
      <c r="B898" s="260"/>
      <c r="C898" s="260"/>
      <c r="D898" s="260"/>
      <c r="E898" s="260"/>
      <c r="F898" s="260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  <c r="Z898" s="260"/>
    </row>
    <row r="899" ht="15.75" customHeight="1">
      <c r="A899" s="260"/>
      <c r="B899" s="260"/>
      <c r="C899" s="260"/>
      <c r="D899" s="260"/>
      <c r="E899" s="260"/>
      <c r="F899" s="260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0"/>
    </row>
    <row r="900" ht="15.75" customHeight="1">
      <c r="A900" s="260"/>
      <c r="B900" s="260"/>
      <c r="C900" s="260"/>
      <c r="D900" s="260"/>
      <c r="E900" s="260"/>
      <c r="F900" s="260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  <c r="Z900" s="260"/>
    </row>
    <row r="901" ht="15.75" customHeight="1">
      <c r="A901" s="260"/>
      <c r="B901" s="260"/>
      <c r="C901" s="260"/>
      <c r="D901" s="260"/>
      <c r="E901" s="260"/>
      <c r="F901" s="260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  <c r="Z901" s="260"/>
    </row>
    <row r="902" ht="15.75" customHeight="1">
      <c r="A902" s="260"/>
      <c r="B902" s="260"/>
      <c r="C902" s="260"/>
      <c r="D902" s="260"/>
      <c r="E902" s="260"/>
      <c r="F902" s="260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  <c r="Z902" s="260"/>
    </row>
    <row r="903" ht="15.75" customHeight="1">
      <c r="A903" s="260"/>
      <c r="B903" s="260"/>
      <c r="C903" s="260"/>
      <c r="D903" s="260"/>
      <c r="E903" s="260"/>
      <c r="F903" s="260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  <c r="Z903" s="260"/>
    </row>
    <row r="904" ht="15.75" customHeight="1">
      <c r="A904" s="260"/>
      <c r="B904" s="260"/>
      <c r="C904" s="260"/>
      <c r="D904" s="260"/>
      <c r="E904" s="260"/>
      <c r="F904" s="260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  <c r="Z904" s="260"/>
    </row>
    <row r="905" ht="15.75" customHeight="1">
      <c r="A905" s="260"/>
      <c r="B905" s="260"/>
      <c r="C905" s="260"/>
      <c r="D905" s="260"/>
      <c r="E905" s="260"/>
      <c r="F905" s="260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  <c r="Z905" s="260"/>
    </row>
    <row r="906" ht="15.75" customHeight="1">
      <c r="A906" s="260"/>
      <c r="B906" s="260"/>
      <c r="C906" s="260"/>
      <c r="D906" s="260"/>
      <c r="E906" s="260"/>
      <c r="F906" s="260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  <c r="Z906" s="260"/>
    </row>
    <row r="907" ht="15.75" customHeight="1">
      <c r="A907" s="260"/>
      <c r="B907" s="260"/>
      <c r="C907" s="260"/>
      <c r="D907" s="260"/>
      <c r="E907" s="260"/>
      <c r="F907" s="260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  <c r="Z907" s="260"/>
    </row>
    <row r="908" ht="15.75" customHeight="1">
      <c r="A908" s="260"/>
      <c r="B908" s="260"/>
      <c r="C908" s="260"/>
      <c r="D908" s="260"/>
      <c r="E908" s="260"/>
      <c r="F908" s="260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  <c r="Z908" s="260"/>
    </row>
    <row r="909" ht="15.75" customHeight="1">
      <c r="A909" s="260"/>
      <c r="B909" s="260"/>
      <c r="C909" s="260"/>
      <c r="D909" s="260"/>
      <c r="E909" s="260"/>
      <c r="F909" s="260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  <c r="Z909" s="260"/>
    </row>
    <row r="910" ht="15.75" customHeight="1">
      <c r="A910" s="260"/>
      <c r="B910" s="260"/>
      <c r="C910" s="260"/>
      <c r="D910" s="260"/>
      <c r="E910" s="260"/>
      <c r="F910" s="260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  <c r="Z910" s="260"/>
    </row>
    <row r="911" ht="15.75" customHeight="1">
      <c r="A911" s="260"/>
      <c r="B911" s="260"/>
      <c r="C911" s="260"/>
      <c r="D911" s="260"/>
      <c r="E911" s="260"/>
      <c r="F911" s="260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  <c r="Z911" s="260"/>
    </row>
    <row r="912" ht="15.75" customHeight="1">
      <c r="A912" s="260"/>
      <c r="B912" s="260"/>
      <c r="C912" s="260"/>
      <c r="D912" s="260"/>
      <c r="E912" s="260"/>
      <c r="F912" s="260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  <c r="Z912" s="260"/>
    </row>
    <row r="913" ht="15.75" customHeight="1">
      <c r="A913" s="260"/>
      <c r="B913" s="260"/>
      <c r="C913" s="260"/>
      <c r="D913" s="260"/>
      <c r="E913" s="260"/>
      <c r="F913" s="260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  <c r="Z913" s="260"/>
    </row>
    <row r="914" ht="15.75" customHeight="1">
      <c r="A914" s="260"/>
      <c r="B914" s="260"/>
      <c r="C914" s="260"/>
      <c r="D914" s="260"/>
      <c r="E914" s="260"/>
      <c r="F914" s="260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  <c r="Z914" s="260"/>
    </row>
    <row r="915" ht="15.75" customHeight="1">
      <c r="A915" s="260"/>
      <c r="B915" s="260"/>
      <c r="C915" s="260"/>
      <c r="D915" s="260"/>
      <c r="E915" s="260"/>
      <c r="F915" s="260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  <c r="Z915" s="260"/>
    </row>
    <row r="916" ht="15.75" customHeight="1">
      <c r="A916" s="260"/>
      <c r="B916" s="260"/>
      <c r="C916" s="260"/>
      <c r="D916" s="260"/>
      <c r="E916" s="260"/>
      <c r="F916" s="260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  <c r="Z916" s="260"/>
    </row>
    <row r="917" ht="15.75" customHeight="1">
      <c r="A917" s="260"/>
      <c r="B917" s="260"/>
      <c r="C917" s="260"/>
      <c r="D917" s="260"/>
      <c r="E917" s="260"/>
      <c r="F917" s="260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  <c r="Z917" s="260"/>
    </row>
    <row r="918" ht="15.75" customHeight="1">
      <c r="A918" s="260"/>
      <c r="B918" s="260"/>
      <c r="C918" s="260"/>
      <c r="D918" s="260"/>
      <c r="E918" s="260"/>
      <c r="F918" s="260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  <c r="Z918" s="260"/>
    </row>
    <row r="919" ht="15.75" customHeight="1">
      <c r="A919" s="260"/>
      <c r="B919" s="260"/>
      <c r="C919" s="260"/>
      <c r="D919" s="260"/>
      <c r="E919" s="260"/>
      <c r="F919" s="260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  <c r="Z919" s="260"/>
    </row>
    <row r="920" ht="15.75" customHeight="1">
      <c r="A920" s="260"/>
      <c r="B920" s="260"/>
      <c r="C920" s="260"/>
      <c r="D920" s="260"/>
      <c r="E920" s="260"/>
      <c r="F920" s="260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  <c r="Z920" s="260"/>
    </row>
    <row r="921" ht="15.75" customHeight="1">
      <c r="A921" s="260"/>
      <c r="B921" s="260"/>
      <c r="C921" s="260"/>
      <c r="D921" s="260"/>
      <c r="E921" s="260"/>
      <c r="F921" s="260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0"/>
    </row>
    <row r="922" ht="15.75" customHeight="1">
      <c r="A922" s="260"/>
      <c r="B922" s="260"/>
      <c r="C922" s="260"/>
      <c r="D922" s="260"/>
      <c r="E922" s="260"/>
      <c r="F922" s="260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  <c r="Z922" s="260"/>
    </row>
    <row r="923" ht="15.75" customHeight="1">
      <c r="A923" s="260"/>
      <c r="B923" s="260"/>
      <c r="C923" s="260"/>
      <c r="D923" s="260"/>
      <c r="E923" s="260"/>
      <c r="F923" s="260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0"/>
    </row>
    <row r="924" ht="15.75" customHeight="1">
      <c r="A924" s="260"/>
      <c r="B924" s="260"/>
      <c r="C924" s="260"/>
      <c r="D924" s="260"/>
      <c r="E924" s="260"/>
      <c r="F924" s="260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  <c r="Z924" s="260"/>
    </row>
    <row r="925" ht="15.75" customHeight="1">
      <c r="A925" s="260"/>
      <c r="B925" s="260"/>
      <c r="C925" s="260"/>
      <c r="D925" s="260"/>
      <c r="E925" s="260"/>
      <c r="F925" s="260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0"/>
    </row>
    <row r="926" ht="15.75" customHeight="1">
      <c r="A926" s="260"/>
      <c r="B926" s="260"/>
      <c r="C926" s="260"/>
      <c r="D926" s="260"/>
      <c r="E926" s="260"/>
      <c r="F926" s="260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  <c r="Z926" s="260"/>
    </row>
    <row r="927" ht="15.75" customHeight="1">
      <c r="A927" s="260"/>
      <c r="B927" s="260"/>
      <c r="C927" s="260"/>
      <c r="D927" s="260"/>
      <c r="E927" s="260"/>
      <c r="F927" s="260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0"/>
    </row>
    <row r="928" ht="15.75" customHeight="1">
      <c r="A928" s="260"/>
      <c r="B928" s="260"/>
      <c r="C928" s="260"/>
      <c r="D928" s="260"/>
      <c r="E928" s="260"/>
      <c r="F928" s="260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  <c r="Z928" s="260"/>
    </row>
    <row r="929" ht="15.75" customHeight="1">
      <c r="A929" s="260"/>
      <c r="B929" s="260"/>
      <c r="C929" s="260"/>
      <c r="D929" s="260"/>
      <c r="E929" s="260"/>
      <c r="F929" s="260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  <c r="Z929" s="260"/>
    </row>
    <row r="930" ht="15.75" customHeight="1">
      <c r="A930" s="260"/>
      <c r="B930" s="260"/>
      <c r="C930" s="260"/>
      <c r="D930" s="260"/>
      <c r="E930" s="260"/>
      <c r="F930" s="260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  <c r="Z930" s="260"/>
    </row>
    <row r="931" ht="15.75" customHeight="1">
      <c r="A931" s="260"/>
      <c r="B931" s="260"/>
      <c r="C931" s="260"/>
      <c r="D931" s="260"/>
      <c r="E931" s="260"/>
      <c r="F931" s="260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  <c r="Z931" s="260"/>
    </row>
    <row r="932" ht="15.75" customHeight="1">
      <c r="A932" s="260"/>
      <c r="B932" s="260"/>
      <c r="C932" s="260"/>
      <c r="D932" s="260"/>
      <c r="E932" s="260"/>
      <c r="F932" s="260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  <c r="Z932" s="260"/>
    </row>
    <row r="933" ht="15.75" customHeight="1">
      <c r="A933" s="260"/>
      <c r="B933" s="260"/>
      <c r="C933" s="260"/>
      <c r="D933" s="260"/>
      <c r="E933" s="260"/>
      <c r="F933" s="260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  <c r="Z933" s="260"/>
    </row>
    <row r="934" ht="15.75" customHeight="1">
      <c r="A934" s="260"/>
      <c r="B934" s="260"/>
      <c r="C934" s="260"/>
      <c r="D934" s="260"/>
      <c r="E934" s="260"/>
      <c r="F934" s="260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  <c r="Z934" s="260"/>
    </row>
    <row r="935" ht="15.75" customHeight="1">
      <c r="A935" s="260"/>
      <c r="B935" s="260"/>
      <c r="C935" s="260"/>
      <c r="D935" s="260"/>
      <c r="E935" s="260"/>
      <c r="F935" s="260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0"/>
    </row>
    <row r="936" ht="15.75" customHeight="1">
      <c r="A936" s="260"/>
      <c r="B936" s="260"/>
      <c r="C936" s="260"/>
      <c r="D936" s="260"/>
      <c r="E936" s="260"/>
      <c r="F936" s="260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  <c r="Z936" s="260"/>
    </row>
    <row r="937" ht="15.75" customHeight="1">
      <c r="A937" s="260"/>
      <c r="B937" s="260"/>
      <c r="C937" s="260"/>
      <c r="D937" s="260"/>
      <c r="E937" s="260"/>
      <c r="F937" s="260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0"/>
    </row>
    <row r="938" ht="15.75" customHeight="1">
      <c r="A938" s="260"/>
      <c r="B938" s="260"/>
      <c r="C938" s="260"/>
      <c r="D938" s="260"/>
      <c r="E938" s="260"/>
      <c r="F938" s="260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  <c r="Z938" s="260"/>
    </row>
    <row r="939" ht="15.75" customHeight="1">
      <c r="A939" s="260"/>
      <c r="B939" s="260"/>
      <c r="C939" s="260"/>
      <c r="D939" s="260"/>
      <c r="E939" s="260"/>
      <c r="F939" s="260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  <c r="Z939" s="260"/>
    </row>
    <row r="940" ht="15.75" customHeight="1">
      <c r="A940" s="260"/>
      <c r="B940" s="260"/>
      <c r="C940" s="260"/>
      <c r="D940" s="260"/>
      <c r="E940" s="260"/>
      <c r="F940" s="260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  <c r="Z940" s="260"/>
    </row>
    <row r="941" ht="15.75" customHeight="1">
      <c r="A941" s="260"/>
      <c r="B941" s="260"/>
      <c r="C941" s="260"/>
      <c r="D941" s="260"/>
      <c r="E941" s="260"/>
      <c r="F941" s="260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  <c r="Z941" s="260"/>
    </row>
    <row r="942" ht="15.75" customHeight="1">
      <c r="A942" s="260"/>
      <c r="B942" s="260"/>
      <c r="C942" s="260"/>
      <c r="D942" s="260"/>
      <c r="E942" s="260"/>
      <c r="F942" s="260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  <c r="Z942" s="260"/>
    </row>
    <row r="943" ht="15.75" customHeight="1">
      <c r="A943" s="260"/>
      <c r="B943" s="260"/>
      <c r="C943" s="260"/>
      <c r="D943" s="260"/>
      <c r="E943" s="260"/>
      <c r="F943" s="260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  <c r="Z943" s="260"/>
    </row>
    <row r="944" ht="15.75" customHeight="1">
      <c r="A944" s="260"/>
      <c r="B944" s="260"/>
      <c r="C944" s="260"/>
      <c r="D944" s="260"/>
      <c r="E944" s="260"/>
      <c r="F944" s="260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  <c r="Z944" s="260"/>
    </row>
    <row r="945" ht="15.75" customHeight="1">
      <c r="A945" s="260"/>
      <c r="B945" s="260"/>
      <c r="C945" s="260"/>
      <c r="D945" s="260"/>
      <c r="E945" s="260"/>
      <c r="F945" s="260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  <c r="Z945" s="260"/>
    </row>
    <row r="946" ht="15.75" customHeight="1">
      <c r="A946" s="260"/>
      <c r="B946" s="260"/>
      <c r="C946" s="260"/>
      <c r="D946" s="260"/>
      <c r="E946" s="260"/>
      <c r="F946" s="260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  <c r="Z946" s="260"/>
    </row>
    <row r="947" ht="15.75" customHeight="1">
      <c r="A947" s="260"/>
      <c r="B947" s="260"/>
      <c r="C947" s="260"/>
      <c r="D947" s="260"/>
      <c r="E947" s="260"/>
      <c r="F947" s="260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  <c r="Z947" s="260"/>
    </row>
    <row r="948" ht="15.75" customHeight="1">
      <c r="A948" s="260"/>
      <c r="B948" s="260"/>
      <c r="C948" s="260"/>
      <c r="D948" s="260"/>
      <c r="E948" s="260"/>
      <c r="F948" s="260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  <c r="Z948" s="260"/>
    </row>
    <row r="949" ht="15.75" customHeight="1">
      <c r="A949" s="260"/>
      <c r="B949" s="260"/>
      <c r="C949" s="260"/>
      <c r="D949" s="260"/>
      <c r="E949" s="260"/>
      <c r="F949" s="260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  <c r="Z949" s="260"/>
    </row>
    <row r="950" ht="15.75" customHeight="1">
      <c r="A950" s="260"/>
      <c r="B950" s="260"/>
      <c r="C950" s="260"/>
      <c r="D950" s="260"/>
      <c r="E950" s="260"/>
      <c r="F950" s="260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  <c r="Z950" s="260"/>
    </row>
    <row r="951" ht="15.75" customHeight="1">
      <c r="A951" s="260"/>
      <c r="B951" s="260"/>
      <c r="C951" s="260"/>
      <c r="D951" s="260"/>
      <c r="E951" s="260"/>
      <c r="F951" s="260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  <c r="Z951" s="260"/>
    </row>
    <row r="952" ht="15.75" customHeight="1">
      <c r="A952" s="260"/>
      <c r="B952" s="260"/>
      <c r="C952" s="260"/>
      <c r="D952" s="260"/>
      <c r="E952" s="260"/>
      <c r="F952" s="260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  <c r="Z952" s="260"/>
    </row>
    <row r="953" ht="15.75" customHeight="1">
      <c r="A953" s="260"/>
      <c r="B953" s="260"/>
      <c r="C953" s="260"/>
      <c r="D953" s="260"/>
      <c r="E953" s="260"/>
      <c r="F953" s="260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  <c r="Z953" s="260"/>
    </row>
    <row r="954" ht="15.75" customHeight="1">
      <c r="A954" s="260"/>
      <c r="B954" s="260"/>
      <c r="C954" s="260"/>
      <c r="D954" s="260"/>
      <c r="E954" s="260"/>
      <c r="F954" s="260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  <c r="Z954" s="260"/>
    </row>
    <row r="955" ht="15.75" customHeight="1">
      <c r="A955" s="260"/>
      <c r="B955" s="260"/>
      <c r="C955" s="260"/>
      <c r="D955" s="260"/>
      <c r="E955" s="260"/>
      <c r="F955" s="260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  <c r="Z955" s="260"/>
    </row>
    <row r="956" ht="15.75" customHeight="1">
      <c r="A956" s="260"/>
      <c r="B956" s="260"/>
      <c r="C956" s="260"/>
      <c r="D956" s="260"/>
      <c r="E956" s="260"/>
      <c r="F956" s="260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  <c r="Z956" s="260"/>
    </row>
    <row r="957" ht="15.75" customHeight="1">
      <c r="A957" s="260"/>
      <c r="B957" s="260"/>
      <c r="C957" s="260"/>
      <c r="D957" s="260"/>
      <c r="E957" s="260"/>
      <c r="F957" s="260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  <c r="Z957" s="260"/>
    </row>
    <row r="958" ht="15.75" customHeight="1">
      <c r="A958" s="260"/>
      <c r="B958" s="260"/>
      <c r="C958" s="260"/>
      <c r="D958" s="260"/>
      <c r="E958" s="260"/>
      <c r="F958" s="260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  <c r="Z958" s="260"/>
    </row>
    <row r="959" ht="15.75" customHeight="1">
      <c r="A959" s="260"/>
      <c r="B959" s="260"/>
      <c r="C959" s="260"/>
      <c r="D959" s="260"/>
      <c r="E959" s="260"/>
      <c r="F959" s="260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  <c r="Z959" s="260"/>
    </row>
    <row r="960" ht="15.75" customHeight="1">
      <c r="A960" s="260"/>
      <c r="B960" s="260"/>
      <c r="C960" s="260"/>
      <c r="D960" s="260"/>
      <c r="E960" s="260"/>
      <c r="F960" s="260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  <c r="Z960" s="260"/>
    </row>
    <row r="961" ht="15.75" customHeight="1">
      <c r="A961" s="260"/>
      <c r="B961" s="260"/>
      <c r="C961" s="260"/>
      <c r="D961" s="260"/>
      <c r="E961" s="260"/>
      <c r="F961" s="260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  <c r="Z961" s="260"/>
    </row>
    <row r="962" ht="15.75" customHeight="1">
      <c r="A962" s="260"/>
      <c r="B962" s="260"/>
      <c r="C962" s="260"/>
      <c r="D962" s="260"/>
      <c r="E962" s="260"/>
      <c r="F962" s="260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  <c r="Z962" s="260"/>
    </row>
    <row r="963" ht="15.75" customHeight="1">
      <c r="A963" s="260"/>
      <c r="B963" s="260"/>
      <c r="C963" s="260"/>
      <c r="D963" s="260"/>
      <c r="E963" s="260"/>
      <c r="F963" s="260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  <c r="Z963" s="260"/>
    </row>
    <row r="964" ht="15.75" customHeight="1">
      <c r="A964" s="260"/>
      <c r="B964" s="260"/>
      <c r="C964" s="260"/>
      <c r="D964" s="260"/>
      <c r="E964" s="260"/>
      <c r="F964" s="260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  <c r="Z964" s="260"/>
    </row>
    <row r="965" ht="15.75" customHeight="1">
      <c r="A965" s="260"/>
      <c r="B965" s="260"/>
      <c r="C965" s="260"/>
      <c r="D965" s="260"/>
      <c r="E965" s="260"/>
      <c r="F965" s="260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  <c r="Z965" s="260"/>
    </row>
    <row r="966" ht="15.75" customHeight="1">
      <c r="A966" s="260"/>
      <c r="B966" s="260"/>
      <c r="C966" s="260"/>
      <c r="D966" s="260"/>
      <c r="E966" s="260"/>
      <c r="F966" s="260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  <c r="Z966" s="260"/>
    </row>
    <row r="967" ht="15.75" customHeight="1">
      <c r="A967" s="260"/>
      <c r="B967" s="260"/>
      <c r="C967" s="260"/>
      <c r="D967" s="260"/>
      <c r="E967" s="260"/>
      <c r="F967" s="260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  <c r="Z967" s="260"/>
    </row>
    <row r="968" ht="15.75" customHeight="1">
      <c r="A968" s="260"/>
      <c r="B968" s="260"/>
      <c r="C968" s="260"/>
      <c r="D968" s="260"/>
      <c r="E968" s="260"/>
      <c r="F968" s="260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  <c r="Z968" s="260"/>
    </row>
    <row r="969" ht="15.75" customHeight="1">
      <c r="A969" s="260"/>
      <c r="B969" s="260"/>
      <c r="C969" s="260"/>
      <c r="D969" s="260"/>
      <c r="E969" s="260"/>
      <c r="F969" s="260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  <c r="Z969" s="260"/>
    </row>
    <row r="970" ht="15.75" customHeight="1">
      <c r="A970" s="260"/>
      <c r="B970" s="260"/>
      <c r="C970" s="260"/>
      <c r="D970" s="260"/>
      <c r="E970" s="260"/>
      <c r="F970" s="260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  <c r="Z970" s="260"/>
    </row>
    <row r="971" ht="15.75" customHeight="1">
      <c r="A971" s="260"/>
      <c r="B971" s="260"/>
      <c r="C971" s="260"/>
      <c r="D971" s="260"/>
      <c r="E971" s="260"/>
      <c r="F971" s="260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  <c r="Z971" s="260"/>
    </row>
    <row r="972" ht="15.75" customHeight="1">
      <c r="A972" s="260"/>
      <c r="B972" s="260"/>
      <c r="C972" s="260"/>
      <c r="D972" s="260"/>
      <c r="E972" s="260"/>
      <c r="F972" s="260"/>
      <c r="G972" s="260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  <c r="Z972" s="260"/>
    </row>
    <row r="973" ht="15.75" customHeight="1">
      <c r="A973" s="260"/>
      <c r="B973" s="260"/>
      <c r="C973" s="260"/>
      <c r="D973" s="260"/>
      <c r="E973" s="260"/>
      <c r="F973" s="260"/>
      <c r="G973" s="260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  <c r="Z973" s="260"/>
    </row>
    <row r="974" ht="15.75" customHeight="1">
      <c r="A974" s="260"/>
      <c r="B974" s="260"/>
      <c r="C974" s="260"/>
      <c r="D974" s="260"/>
      <c r="E974" s="260"/>
      <c r="F974" s="260"/>
      <c r="G974" s="260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  <c r="Z974" s="260"/>
    </row>
    <row r="975" ht="15.75" customHeight="1">
      <c r="A975" s="260"/>
      <c r="B975" s="260"/>
      <c r="C975" s="260"/>
      <c r="D975" s="260"/>
      <c r="E975" s="260"/>
      <c r="F975" s="260"/>
      <c r="G975" s="260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  <c r="Z975" s="260"/>
    </row>
    <row r="976" ht="15.75" customHeight="1">
      <c r="A976" s="260"/>
      <c r="B976" s="260"/>
      <c r="C976" s="260"/>
      <c r="D976" s="260"/>
      <c r="E976" s="260"/>
      <c r="F976" s="260"/>
      <c r="G976" s="260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  <c r="Z976" s="260"/>
    </row>
    <row r="977" ht="15.75" customHeight="1">
      <c r="A977" s="260"/>
      <c r="B977" s="260"/>
      <c r="C977" s="260"/>
      <c r="D977" s="260"/>
      <c r="E977" s="260"/>
      <c r="F977" s="260"/>
      <c r="G977" s="260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0"/>
    </row>
    <row r="978" ht="15.75" customHeight="1">
      <c r="A978" s="260"/>
      <c r="B978" s="260"/>
      <c r="C978" s="260"/>
      <c r="D978" s="260"/>
      <c r="E978" s="260"/>
      <c r="F978" s="260"/>
      <c r="G978" s="260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  <c r="Z978" s="260"/>
    </row>
    <row r="979" ht="15.75" customHeight="1">
      <c r="A979" s="260"/>
      <c r="B979" s="260"/>
      <c r="C979" s="260"/>
      <c r="D979" s="260"/>
      <c r="E979" s="260"/>
      <c r="F979" s="260"/>
      <c r="G979" s="260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  <c r="Z979" s="260"/>
    </row>
    <row r="980" ht="15.75" customHeight="1">
      <c r="A980" s="260"/>
      <c r="B980" s="260"/>
      <c r="C980" s="260"/>
      <c r="D980" s="260"/>
      <c r="E980" s="260"/>
      <c r="F980" s="260"/>
      <c r="G980" s="260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  <c r="Z980" s="260"/>
    </row>
    <row r="981" ht="15.75" customHeight="1">
      <c r="A981" s="260"/>
      <c r="B981" s="260"/>
      <c r="C981" s="260"/>
      <c r="D981" s="260"/>
      <c r="E981" s="260"/>
      <c r="F981" s="260"/>
      <c r="G981" s="260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  <c r="Z981" s="260"/>
    </row>
    <row r="982" ht="15.75" customHeight="1">
      <c r="A982" s="260"/>
      <c r="B982" s="260"/>
      <c r="C982" s="260"/>
      <c r="D982" s="260"/>
      <c r="E982" s="260"/>
      <c r="F982" s="260"/>
      <c r="G982" s="260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  <c r="Z982" s="260"/>
    </row>
    <row r="983" ht="15.75" customHeight="1">
      <c r="A983" s="260"/>
      <c r="B983" s="260"/>
      <c r="C983" s="260"/>
      <c r="D983" s="260"/>
      <c r="E983" s="260"/>
      <c r="F983" s="260"/>
      <c r="G983" s="260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  <c r="Z983" s="260"/>
    </row>
    <row r="984" ht="15.75" customHeight="1">
      <c r="A984" s="260"/>
      <c r="B984" s="260"/>
      <c r="C984" s="260"/>
      <c r="D984" s="260"/>
      <c r="E984" s="260"/>
      <c r="F984" s="260"/>
      <c r="G984" s="260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  <c r="Z984" s="260"/>
    </row>
    <row r="985" ht="15.75" customHeight="1">
      <c r="A985" s="260"/>
      <c r="B985" s="260"/>
      <c r="C985" s="260"/>
      <c r="D985" s="260"/>
      <c r="E985" s="260"/>
      <c r="F985" s="260"/>
      <c r="G985" s="260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  <c r="Z985" s="260"/>
    </row>
    <row r="986" ht="15.75" customHeight="1">
      <c r="A986" s="260"/>
      <c r="B986" s="260"/>
      <c r="C986" s="260"/>
      <c r="D986" s="260"/>
      <c r="E986" s="260"/>
      <c r="F986" s="260"/>
      <c r="G986" s="260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  <c r="Z986" s="260"/>
    </row>
    <row r="987" ht="15.75" customHeight="1">
      <c r="A987" s="260"/>
      <c r="B987" s="260"/>
      <c r="C987" s="260"/>
      <c r="D987" s="260"/>
      <c r="E987" s="260"/>
      <c r="F987" s="260"/>
      <c r="G987" s="260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  <c r="Z987" s="260"/>
    </row>
    <row r="988" ht="15.75" customHeight="1">
      <c r="A988" s="260"/>
      <c r="B988" s="260"/>
      <c r="C988" s="260"/>
      <c r="D988" s="260"/>
      <c r="E988" s="260"/>
      <c r="F988" s="260"/>
      <c r="G988" s="260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  <c r="Z988" s="260"/>
    </row>
    <row r="989" ht="15.75" customHeight="1">
      <c r="A989" s="260"/>
      <c r="B989" s="260"/>
      <c r="C989" s="260"/>
      <c r="D989" s="260"/>
      <c r="E989" s="260"/>
      <c r="F989" s="260"/>
      <c r="G989" s="260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  <c r="Z989" s="260"/>
    </row>
    <row r="990" ht="15.75" customHeight="1">
      <c r="A990" s="260"/>
      <c r="B990" s="260"/>
      <c r="C990" s="260"/>
      <c r="D990" s="260"/>
      <c r="E990" s="260"/>
      <c r="F990" s="260"/>
      <c r="G990" s="260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  <c r="Z990" s="260"/>
    </row>
    <row r="991" ht="15.75" customHeight="1">
      <c r="A991" s="260"/>
      <c r="B991" s="260"/>
      <c r="C991" s="260"/>
      <c r="D991" s="260"/>
      <c r="E991" s="260"/>
      <c r="F991" s="260"/>
      <c r="G991" s="260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  <c r="Z991" s="260"/>
    </row>
    <row r="992" ht="15.75" customHeight="1">
      <c r="A992" s="260"/>
      <c r="B992" s="260"/>
      <c r="C992" s="260"/>
      <c r="D992" s="260"/>
      <c r="E992" s="260"/>
      <c r="F992" s="260"/>
      <c r="G992" s="260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  <c r="Z992" s="260"/>
    </row>
    <row r="993" ht="15.75" customHeight="1">
      <c r="A993" s="260"/>
      <c r="B993" s="260"/>
      <c r="C993" s="260"/>
      <c r="D993" s="260"/>
      <c r="E993" s="260"/>
      <c r="F993" s="260"/>
      <c r="G993" s="260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  <c r="Z993" s="260"/>
    </row>
    <row r="994" ht="15.75" customHeight="1">
      <c r="A994" s="260"/>
      <c r="B994" s="260"/>
      <c r="C994" s="260"/>
      <c r="D994" s="260"/>
      <c r="E994" s="260"/>
      <c r="F994" s="260"/>
      <c r="G994" s="260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  <c r="Z994" s="260"/>
    </row>
    <row r="995" ht="15.75" customHeight="1">
      <c r="A995" s="260"/>
      <c r="B995" s="260"/>
      <c r="C995" s="260"/>
      <c r="D995" s="260"/>
      <c r="E995" s="260"/>
      <c r="F995" s="260"/>
      <c r="G995" s="260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  <c r="Z995" s="260"/>
    </row>
    <row r="996" ht="15.75" customHeight="1">
      <c r="A996" s="260"/>
      <c r="B996" s="260"/>
      <c r="C996" s="260"/>
      <c r="D996" s="260"/>
      <c r="E996" s="260"/>
      <c r="F996" s="260"/>
      <c r="G996" s="260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  <c r="Z996" s="260"/>
    </row>
    <row r="997" ht="15.75" customHeight="1">
      <c r="A997" s="260"/>
      <c r="B997" s="260"/>
      <c r="C997" s="260"/>
      <c r="D997" s="260"/>
      <c r="E997" s="260"/>
      <c r="F997" s="260"/>
      <c r="G997" s="260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  <c r="Z997" s="260"/>
    </row>
    <row r="998" ht="15.75" customHeight="1">
      <c r="A998" s="260"/>
      <c r="B998" s="260"/>
      <c r="C998" s="260"/>
      <c r="D998" s="260"/>
      <c r="E998" s="260"/>
      <c r="F998" s="260"/>
      <c r="G998" s="260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  <c r="Z998" s="260"/>
    </row>
    <row r="999" ht="15.75" customHeight="1">
      <c r="A999" s="260"/>
      <c r="B999" s="260"/>
      <c r="C999" s="260"/>
      <c r="D999" s="260"/>
      <c r="E999" s="260"/>
      <c r="F999" s="260"/>
      <c r="G999" s="260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  <c r="Z999" s="260"/>
    </row>
    <row r="1000" ht="15.75" customHeight="1">
      <c r="A1000" s="260"/>
      <c r="B1000" s="260"/>
      <c r="C1000" s="260"/>
      <c r="D1000" s="260"/>
      <c r="E1000" s="260"/>
      <c r="F1000" s="260"/>
      <c r="G1000" s="260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  <c r="Z1000" s="260"/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13"/>
    <col customWidth="1" min="2" max="26" width="8.63"/>
  </cols>
  <sheetData>
    <row r="1" ht="12.75" customHeight="1">
      <c r="A1" s="231" t="s">
        <v>96</v>
      </c>
      <c r="B1" s="231" t="s">
        <v>97</v>
      </c>
    </row>
    <row r="2" ht="12.75" customHeight="1">
      <c r="A2" s="63" t="s">
        <v>98</v>
      </c>
      <c r="B2" s="262">
        <v>0.15</v>
      </c>
    </row>
    <row r="3" ht="12.75" customHeight="1">
      <c r="A3" s="63" t="s">
        <v>99</v>
      </c>
      <c r="B3" s="262">
        <v>0.15</v>
      </c>
    </row>
    <row r="4" ht="12.75" customHeight="1">
      <c r="B4" s="262"/>
    </row>
    <row r="5" ht="12.75" customHeight="1">
      <c r="A5" s="63" t="s">
        <v>100</v>
      </c>
      <c r="B5" s="262">
        <v>0.18</v>
      </c>
    </row>
    <row r="6" ht="12.75" customHeight="1">
      <c r="A6" s="63" t="s">
        <v>101</v>
      </c>
      <c r="B6" s="262">
        <v>0.1825</v>
      </c>
    </row>
    <row r="7" ht="12.75" customHeight="1">
      <c r="A7" s="63" t="s">
        <v>102</v>
      </c>
      <c r="B7" s="262">
        <v>0.1155</v>
      </c>
      <c r="C7" s="63" t="s">
        <v>103</v>
      </c>
    </row>
    <row r="8" ht="12.75" customHeight="1">
      <c r="A8" s="63" t="s">
        <v>104</v>
      </c>
      <c r="B8" s="262">
        <v>0.1975</v>
      </c>
    </row>
    <row r="9" ht="12.75" customHeight="1">
      <c r="B9" s="262"/>
    </row>
    <row r="10" ht="12.75" customHeight="1">
      <c r="A10" s="231" t="s">
        <v>105</v>
      </c>
      <c r="C10" s="63" t="s">
        <v>106</v>
      </c>
    </row>
    <row r="11" ht="12.75" customHeight="1">
      <c r="A11" s="63" t="s">
        <v>107</v>
      </c>
      <c r="B11" s="263">
        <v>2.08</v>
      </c>
      <c r="C11" s="263">
        <f>ROUND(GroundResidentialFee*(1+GroundFuelSurcharge),2)</f>
        <v>2.46</v>
      </c>
    </row>
    <row r="12" ht="12.75" customHeight="1">
      <c r="A12" s="63" t="s">
        <v>108</v>
      </c>
      <c r="B12" s="263">
        <v>6.55</v>
      </c>
      <c r="C12" s="263">
        <f>ROUND(ExpressResidentialFee*(1+ExpressFuelSurcharge),2)</f>
        <v>7.73</v>
      </c>
    </row>
    <row r="13" ht="12.75" customHeight="1">
      <c r="A13" s="63" t="s">
        <v>109</v>
      </c>
      <c r="B13" s="263">
        <v>6.55</v>
      </c>
      <c r="C13" s="263">
        <f>ROUND(Express_Intl_Residential_Fee*(1+International_Fuel_Surcharge),2)</f>
        <v>7.84</v>
      </c>
    </row>
    <row r="14" ht="12.75" customHeight="1"/>
    <row r="15" ht="12.75" customHeight="1">
      <c r="A15" s="231" t="s">
        <v>110</v>
      </c>
    </row>
    <row r="16" ht="12.75" customHeight="1">
      <c r="A16" s="63" t="s">
        <v>111</v>
      </c>
      <c r="B16" s="89">
        <v>3.5</v>
      </c>
    </row>
    <row r="17" ht="12.75" customHeight="1">
      <c r="A17" s="63" t="s">
        <v>112</v>
      </c>
      <c r="B17" s="89">
        <v>1.25</v>
      </c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3300"/>
    <pageSetUpPr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7.25"/>
    <col customWidth="1" min="2" max="2" width="6.75"/>
    <col customWidth="1" min="3" max="3" width="6.88"/>
    <col customWidth="1" min="4" max="6" width="6.38"/>
    <col customWidth="1" min="7" max="7" width="7.88"/>
    <col customWidth="1" min="8" max="8" width="6.38"/>
    <col customWidth="1" min="9" max="12" width="7.25"/>
    <col customWidth="1" min="13" max="13" width="3.63"/>
    <col customWidth="1" min="14" max="14" width="24.63"/>
    <col customWidth="1" min="15" max="26" width="8.63"/>
  </cols>
  <sheetData>
    <row r="1" ht="12.75" customHeight="1">
      <c r="A1" s="264" t="s">
        <v>113</v>
      </c>
      <c r="B1" s="265"/>
      <c r="C1" s="265"/>
      <c r="D1" s="265"/>
    </row>
    <row r="2" ht="12.75" customHeight="1">
      <c r="A2" s="264" t="s">
        <v>114</v>
      </c>
      <c r="B2" s="265"/>
      <c r="C2" s="265"/>
      <c r="D2" s="266"/>
    </row>
    <row r="3" ht="12.75" customHeight="1">
      <c r="B3" s="267"/>
      <c r="I3" s="264"/>
      <c r="J3" s="265"/>
      <c r="K3" s="265"/>
      <c r="L3" s="266"/>
    </row>
    <row r="4" ht="12.75" customHeight="1">
      <c r="B4" s="268" t="s">
        <v>115</v>
      </c>
      <c r="F4" s="269"/>
    </row>
    <row r="5" ht="12.75" customHeight="1">
      <c r="B5" s="270" t="s">
        <v>116</v>
      </c>
      <c r="F5" s="269"/>
    </row>
    <row r="6" ht="12.75" customHeight="1">
      <c r="A6" s="271" t="s">
        <v>1</v>
      </c>
      <c r="B6" s="272" t="s">
        <v>0</v>
      </c>
      <c r="C6" s="272" t="s">
        <v>0</v>
      </c>
      <c r="D6" s="272" t="s">
        <v>0</v>
      </c>
      <c r="E6" s="272" t="s">
        <v>0</v>
      </c>
      <c r="F6" s="272" t="s">
        <v>0</v>
      </c>
      <c r="G6" s="272" t="s">
        <v>0</v>
      </c>
      <c r="H6" s="272" t="s">
        <v>0</v>
      </c>
      <c r="I6" s="272" t="s">
        <v>14</v>
      </c>
      <c r="J6" s="272" t="s">
        <v>15</v>
      </c>
      <c r="K6" s="272" t="s">
        <v>16</v>
      </c>
      <c r="L6" s="272" t="s">
        <v>16</v>
      </c>
    </row>
    <row r="7" ht="12.75" customHeight="1">
      <c r="A7" s="271" t="s">
        <v>80</v>
      </c>
      <c r="B7" s="273">
        <v>2.0</v>
      </c>
      <c r="C7" s="273">
        <v>3.0</v>
      </c>
      <c r="D7" s="273">
        <v>4.0</v>
      </c>
      <c r="E7" s="273">
        <v>5.0</v>
      </c>
      <c r="F7" s="273">
        <v>6.0</v>
      </c>
      <c r="G7" s="273">
        <v>7.0</v>
      </c>
      <c r="H7" s="273">
        <v>8.0</v>
      </c>
      <c r="I7" s="273">
        <v>9.0</v>
      </c>
      <c r="J7" s="273">
        <v>17.0</v>
      </c>
      <c r="K7" s="273">
        <v>51.0</v>
      </c>
      <c r="L7" s="273">
        <v>54.0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274">
        <v>1.0</v>
      </c>
      <c r="B8" s="275">
        <f>ROUND((IF('Ground Base'!B$154&gt;ROUND(((1-GroundCommDiscount01to05-GroundCommIncentive)*'Ground Base'!B3),2),ROUND('Ground Base'!B$154*(1+GroundFuelSurcharge),2),ROUND(((1-GroundCommDiscount01to05-GroundCommIncentive)*'Ground Base'!B3)*(1+GroundFuelSurcharge),2)))*(1+FedEx_Markup),2)</f>
        <v>13.7</v>
      </c>
      <c r="C8" s="275">
        <f>ROUND((IF('Ground Base'!C$154&gt;ROUND(((1-GroundCommDiscount01to05-GroundCommIncentive)*'Ground Base'!C3),2),ROUND('Ground Base'!C$154*(1+GroundFuelSurcharge),2),ROUND(((1-GroundCommDiscount01to05-GroundCommIncentive)*'Ground Base'!C3)*(1+GroundFuelSurcharge),2)))*(1+FedEx_Markup),2)</f>
        <v>13.7</v>
      </c>
      <c r="D8" s="275">
        <f>ROUND((IF('Ground Base'!D$154&gt;ROUND(((1-GroundCommDiscount01to05-GroundCommIncentive)*'Ground Base'!D3),2),ROUND('Ground Base'!D$154*(1+GroundFuelSurcharge),2),ROUND(((1-GroundCommDiscount01to05-GroundCommIncentive)*'Ground Base'!D3)*(1+GroundFuelSurcharge),2)))*(1+FedEx_Markup),2)</f>
        <v>13.7</v>
      </c>
      <c r="E8" s="275">
        <f>ROUND((IF('Ground Base'!E$154&gt;ROUND(((1-GroundCommDiscount01to05-GroundCommIncentive)*'Ground Base'!E3),2),ROUND('Ground Base'!E$154*(1+GroundFuelSurcharge),2),ROUND(((1-GroundCommDiscount01to05-GroundCommIncentive)*'Ground Base'!E3)*(1+GroundFuelSurcharge),2)))*(1+FedEx_Markup),2)</f>
        <v>13.7</v>
      </c>
      <c r="F8" s="275">
        <f>ROUND((IF('Ground Base'!F$154&gt;ROUND(((1-GroundCommDiscount01to05-GroundCommIncentive)*'Ground Base'!F3),2),ROUND('Ground Base'!F$154*(1+GroundFuelSurcharge),2),ROUND(((1-GroundCommDiscount01to05-GroundCommIncentive)*'Ground Base'!F3)*(1+GroundFuelSurcharge),2)))*(1+FedEx_Markup),2)</f>
        <v>13.7</v>
      </c>
      <c r="G8" s="275">
        <f>ROUND((IF('Ground Base'!G$154&gt;ROUND(((1-GroundCommDiscount01to05-GroundCommIncentive)*'Ground Base'!G3),2),ROUND('Ground Base'!G$154*(1+GroundFuelSurcharge),2),ROUND(((1-GroundCommDiscount01to05-GroundCommIncentive)*'Ground Base'!G3)*(1+GroundFuelSurcharge),2)))*(1+FedEx_Markup),2)</f>
        <v>13.7</v>
      </c>
      <c r="H8" s="275">
        <f>ROUND((IF('Ground Base'!H$154&gt;ROUND(((1-GroundCommDiscount01to05-GroundCommIncentive)*'Ground Base'!H3),2),ROUND('Ground Base'!H$154*(1+GroundFuelSurcharge),2),ROUND(((1-GroundCommDiscount01to05-GroundCommIncentive)*'Ground Base'!H3)*(1+GroundFuelSurcharge),2)))*(1+FedEx_Markup),2)</f>
        <v>13.7</v>
      </c>
      <c r="I8" s="275">
        <f>ROUND((IF('Ground Base'!I$154&gt;ROUND(((1-GroundAKHIDiscount)*'Ground Base'!I3),2),ROUND('Ground Base'!I$154*(1+GroundFuelSurcharge),2),ROUND(((1-GroundAKHIDiscount)*'Ground Base'!I3)*(1+GroundFuelSurcharge),2)))*(1+FedEx_Markup),2)</f>
        <v>41.65</v>
      </c>
      <c r="J8" s="275">
        <f>ROUND((IF('Ground Base'!J$154&gt;ROUND(((1-GroundAKHIDiscount)*'Ground Base'!J3),2),ROUND('Ground Base'!J$154*(1+GroundFuelSurcharge),2),ROUND(((1-GroundAKHIDiscount)*'Ground Base'!J3)*(1+GroundFuelSurcharge),2)))*(1+FedEx_Markup),2)</f>
        <v>41.65</v>
      </c>
      <c r="K8" s="275">
        <f>ROUND((IF('Ground Base'!K$154&gt;ROUND(((1-GroundZone51Discount)*'Ground Base'!K3),2),ROUND('Ground Base'!K$154*(1+GroundFuelSurcharge),2),ROUND(((1-GroundZone51Discount)*'Ground Base'!K3)*(1+GroundFuelSurcharge),2)))*(1+FedEx_Markup),2)</f>
        <v>29.81</v>
      </c>
      <c r="L8" s="275">
        <f>ROUND((IF('Ground Base'!L$154&gt;ROUND(((1-GroundZone54Discount)*'Ground Base'!L3),2),ROUND('Ground Base'!L$154*(1+GroundFuelSurcharge),2),ROUND(((1-GroundZone54Discount)*'Ground Base'!L3)*(1+GroundFuelSurcharge),2)))*(1+FedEx_Markup),2)</f>
        <v>37.58</v>
      </c>
      <c r="M8" s="8"/>
      <c r="N8" s="4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274">
        <v>2.0</v>
      </c>
      <c r="B9" s="275">
        <f>ROUND((IF('Ground Base'!B$154&gt;ROUND(((1-GroundCommDiscount01to05-GroundCommIncentive)*'Ground Base'!B4),2),ROUND('Ground Base'!B$154*(1+GroundFuelSurcharge),2),ROUND(((1-GroundCommDiscount01to05-GroundCommIncentive)*'Ground Base'!B4)*(1+GroundFuelSurcharge),2)))*(1+FedEx_Markup),2)</f>
        <v>13.7</v>
      </c>
      <c r="C9" s="275">
        <f>ROUND((IF('Ground Base'!C$154&gt;ROUND(((1-GroundCommDiscount01to05-GroundCommIncentive)*'Ground Base'!C4),2),ROUND('Ground Base'!C$154*(1+GroundFuelSurcharge),2),ROUND(((1-GroundCommDiscount01to05-GroundCommIncentive)*'Ground Base'!C4)*(1+GroundFuelSurcharge),2)))*(1+FedEx_Markup),2)</f>
        <v>13.7</v>
      </c>
      <c r="D9" s="275">
        <f>ROUND((IF('Ground Base'!D$154&gt;ROUND(((1-GroundCommDiscount01to05-GroundCommIncentive)*'Ground Base'!D4),2),ROUND('Ground Base'!D$154*(1+GroundFuelSurcharge),2),ROUND(((1-GroundCommDiscount01to05-GroundCommIncentive)*'Ground Base'!D4)*(1+GroundFuelSurcharge),2)))*(1+FedEx_Markup),2)</f>
        <v>13.7</v>
      </c>
      <c r="E9" s="275">
        <f>ROUND((IF('Ground Base'!E$154&gt;ROUND(((1-GroundCommDiscount01to05-GroundCommIncentive)*'Ground Base'!E4),2),ROUND('Ground Base'!E$154*(1+GroundFuelSurcharge),2),ROUND(((1-GroundCommDiscount01to05-GroundCommIncentive)*'Ground Base'!E4)*(1+GroundFuelSurcharge),2)))*(1+FedEx_Markup),2)</f>
        <v>13.7</v>
      </c>
      <c r="F9" s="275">
        <f>ROUND((IF('Ground Base'!F$154&gt;ROUND(((1-GroundCommDiscount01to05-GroundCommIncentive)*'Ground Base'!F4),2),ROUND('Ground Base'!F$154*(1+GroundFuelSurcharge),2),ROUND(((1-GroundCommDiscount01to05-GroundCommIncentive)*'Ground Base'!F4)*(1+GroundFuelSurcharge),2)))*(1+FedEx_Markup),2)</f>
        <v>13.7</v>
      </c>
      <c r="G9" s="275">
        <f>ROUND((IF('Ground Base'!G$154&gt;ROUND(((1-GroundCommDiscount01to05-GroundCommIncentive)*'Ground Base'!G4),2),ROUND('Ground Base'!G$154*(1+GroundFuelSurcharge),2),ROUND(((1-GroundCommDiscount01to05-GroundCommIncentive)*'Ground Base'!G4)*(1+GroundFuelSurcharge),2)))*(1+FedEx_Markup),2)</f>
        <v>13.7</v>
      </c>
      <c r="H9" s="275">
        <f>ROUND((IF('Ground Base'!H$154&gt;ROUND(((1-GroundCommDiscount01to05-GroundCommIncentive)*'Ground Base'!H4),2),ROUND('Ground Base'!H$154*(1+GroundFuelSurcharge),2),ROUND(((1-GroundCommDiscount01to05-GroundCommIncentive)*'Ground Base'!H4)*(1+GroundFuelSurcharge),2)))*(1+FedEx_Markup),2)</f>
        <v>13.7</v>
      </c>
      <c r="I9" s="275">
        <f>ROUND((IF('Ground Base'!I$154&gt;ROUND(((1-GroundAKHIDiscount)*'Ground Base'!I4),2),ROUND('Ground Base'!I$154*(1+GroundFuelSurcharge),2),ROUND(((1-GroundAKHIDiscount)*'Ground Base'!I4)*(1+GroundFuelSurcharge),2)))*(1+FedEx_Markup),2)</f>
        <v>46.32</v>
      </c>
      <c r="J9" s="275">
        <f>ROUND((IF('Ground Base'!J$154&gt;ROUND(((1-GroundAKHIDiscount)*'Ground Base'!J4),2),ROUND('Ground Base'!J$154*(1+GroundFuelSurcharge),2),ROUND(((1-GroundAKHIDiscount)*'Ground Base'!J4)*(1+GroundFuelSurcharge),2)))*(1+FedEx_Markup),2)</f>
        <v>46.32</v>
      </c>
      <c r="K9" s="275">
        <f>ROUND((IF('Ground Base'!K$154&gt;ROUND(((1-GroundZone51Discount)*'Ground Base'!K4),2),ROUND('Ground Base'!K$154*(1+GroundFuelSurcharge),2),ROUND(((1-GroundZone51Discount)*'Ground Base'!K4)*(1+GroundFuelSurcharge),2)))*(1+FedEx_Markup),2)</f>
        <v>29.81</v>
      </c>
      <c r="L9" s="275">
        <f>ROUND((IF('Ground Base'!L$154&gt;ROUND(((1-GroundZone54Discount)*'Ground Base'!L4),2),ROUND('Ground Base'!L$154*(1+GroundFuelSurcharge),2),ROUND(((1-GroundZone54Discount)*'Ground Base'!L4)*(1+GroundFuelSurcharge),2)))*(1+FedEx_Markup),2)</f>
        <v>37.58</v>
      </c>
      <c r="M9" s="12"/>
      <c r="N9" s="4"/>
      <c r="O9" s="27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274">
        <v>3.0</v>
      </c>
      <c r="B10" s="275">
        <f>ROUND((IF('Ground Base'!B$154&gt;ROUND(((1-GroundCommDiscount01to05-GroundCommIncentive)*'Ground Base'!B5),2),ROUND('Ground Base'!B$154*(1+GroundFuelSurcharge),2),ROUND(((1-GroundCommDiscount01to05-GroundCommIncentive)*'Ground Base'!B5)*(1+GroundFuelSurcharge),2)))*(1+FedEx_Markup),2)</f>
        <v>13.7</v>
      </c>
      <c r="C10" s="275">
        <f>ROUND((IF('Ground Base'!C$154&gt;ROUND(((1-GroundCommDiscount01to05-GroundCommIncentive)*'Ground Base'!C5),2),ROUND('Ground Base'!C$154*(1+GroundFuelSurcharge),2),ROUND(((1-GroundCommDiscount01to05-GroundCommIncentive)*'Ground Base'!C5)*(1+GroundFuelSurcharge),2)))*(1+FedEx_Markup),2)</f>
        <v>13.7</v>
      </c>
      <c r="D10" s="275">
        <f>ROUND((IF('Ground Base'!D$154&gt;ROUND(((1-GroundCommDiscount01to05-GroundCommIncentive)*'Ground Base'!D5),2),ROUND('Ground Base'!D$154*(1+GroundFuelSurcharge),2),ROUND(((1-GroundCommDiscount01to05-GroundCommIncentive)*'Ground Base'!D5)*(1+GroundFuelSurcharge),2)))*(1+FedEx_Markup),2)</f>
        <v>13.7</v>
      </c>
      <c r="E10" s="275">
        <f>ROUND((IF('Ground Base'!E$154&gt;ROUND(((1-GroundCommDiscount01to05-GroundCommIncentive)*'Ground Base'!E5),2),ROUND('Ground Base'!E$154*(1+GroundFuelSurcharge),2),ROUND(((1-GroundCommDiscount01to05-GroundCommIncentive)*'Ground Base'!E5)*(1+GroundFuelSurcharge),2)))*(1+FedEx_Markup),2)</f>
        <v>13.7</v>
      </c>
      <c r="F10" s="275">
        <f>ROUND((IF('Ground Base'!F$154&gt;ROUND(((1-GroundCommDiscount01to05-GroundCommIncentive)*'Ground Base'!F5),2),ROUND('Ground Base'!F$154*(1+GroundFuelSurcharge),2),ROUND(((1-GroundCommDiscount01to05-GroundCommIncentive)*'Ground Base'!F5)*(1+GroundFuelSurcharge),2)))*(1+FedEx_Markup),2)</f>
        <v>13.7</v>
      </c>
      <c r="G10" s="275">
        <f>ROUND((IF('Ground Base'!G$154&gt;ROUND(((1-GroundCommDiscount01to05-GroundCommIncentive)*'Ground Base'!G5),2),ROUND('Ground Base'!G$154*(1+GroundFuelSurcharge),2),ROUND(((1-GroundCommDiscount01to05-GroundCommIncentive)*'Ground Base'!G5)*(1+GroundFuelSurcharge),2)))*(1+FedEx_Markup),2)</f>
        <v>13.7</v>
      </c>
      <c r="H10" s="275">
        <f>ROUND((IF('Ground Base'!H$154&gt;ROUND(((1-GroundCommDiscount01to05-GroundCommIncentive)*'Ground Base'!H5),2),ROUND('Ground Base'!H$154*(1+GroundFuelSurcharge),2),ROUND(((1-GroundCommDiscount01to05-GroundCommIncentive)*'Ground Base'!H5)*(1+GroundFuelSurcharge),2)))*(1+FedEx_Markup),2)</f>
        <v>13.7</v>
      </c>
      <c r="I10" s="275">
        <f>ROUND((IF('Ground Base'!I$154&gt;ROUND(((1-GroundAKHIDiscount)*'Ground Base'!I5),2),ROUND('Ground Base'!I$154*(1+GroundFuelSurcharge),2),ROUND(((1-GroundAKHIDiscount)*'Ground Base'!I5)*(1+GroundFuelSurcharge),2)))*(1+FedEx_Markup),2)</f>
        <v>50.35</v>
      </c>
      <c r="J10" s="275">
        <f>ROUND((IF('Ground Base'!J$154&gt;ROUND(((1-GroundAKHIDiscount)*'Ground Base'!J5),2),ROUND('Ground Base'!J$154*(1+GroundFuelSurcharge),2),ROUND(((1-GroundAKHIDiscount)*'Ground Base'!J5)*(1+GroundFuelSurcharge),2)))*(1+FedEx_Markup),2)</f>
        <v>50.35</v>
      </c>
      <c r="K10" s="275">
        <f>ROUND((IF('Ground Base'!K$154&gt;ROUND(((1-GroundZone51Discount)*'Ground Base'!K5),2),ROUND('Ground Base'!K$154*(1+GroundFuelSurcharge),2),ROUND(((1-GroundZone51Discount)*'Ground Base'!K5)*(1+GroundFuelSurcharge),2)))*(1+FedEx_Markup),2)</f>
        <v>29.81</v>
      </c>
      <c r="L10" s="275">
        <f>ROUND((IF('Ground Base'!L$154&gt;ROUND(((1-GroundZone54Discount)*'Ground Base'!L5),2),ROUND('Ground Base'!L$154*(1+GroundFuelSurcharge),2),ROUND(((1-GroundZone54Discount)*'Ground Base'!L5)*(1+GroundFuelSurcharge),2)))*(1+FedEx_Markup),2)</f>
        <v>37.58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274">
        <v>4.0</v>
      </c>
      <c r="B11" s="275">
        <f>ROUND((IF('Ground Base'!B$154&gt;ROUND(((1-GroundCommDiscount01to05-GroundCommIncentive)*'Ground Base'!B6),2),ROUND('Ground Base'!B$154*(1+GroundFuelSurcharge),2),ROUND(((1-GroundCommDiscount01to05-GroundCommIncentive)*'Ground Base'!B6)*(1+GroundFuelSurcharge),2)))*(1+FedEx_Markup),2)</f>
        <v>13.7</v>
      </c>
      <c r="C11" s="275">
        <f>ROUND((IF('Ground Base'!C$154&gt;ROUND(((1-GroundCommDiscount01to05-GroundCommIncentive)*'Ground Base'!C6),2),ROUND('Ground Base'!C$154*(1+GroundFuelSurcharge),2),ROUND(((1-GroundCommDiscount01to05-GroundCommIncentive)*'Ground Base'!C6)*(1+GroundFuelSurcharge),2)))*(1+FedEx_Markup),2)</f>
        <v>13.7</v>
      </c>
      <c r="D11" s="275">
        <f>ROUND((IF('Ground Base'!D$154&gt;ROUND(((1-GroundCommDiscount01to05-GroundCommIncentive)*'Ground Base'!D6),2),ROUND('Ground Base'!D$154*(1+GroundFuelSurcharge),2),ROUND(((1-GroundCommDiscount01to05-GroundCommIncentive)*'Ground Base'!D6)*(1+GroundFuelSurcharge),2)))*(1+FedEx_Markup),2)</f>
        <v>13.7</v>
      </c>
      <c r="E11" s="275">
        <f>ROUND((IF('Ground Base'!E$154&gt;ROUND(((1-GroundCommDiscount01to05-GroundCommIncentive)*'Ground Base'!E6),2),ROUND('Ground Base'!E$154*(1+GroundFuelSurcharge),2),ROUND(((1-GroundCommDiscount01to05-GroundCommIncentive)*'Ground Base'!E6)*(1+GroundFuelSurcharge),2)))*(1+FedEx_Markup),2)</f>
        <v>13.7</v>
      </c>
      <c r="F11" s="275">
        <f>ROUND((IF('Ground Base'!F$154&gt;ROUND(((1-GroundCommDiscount01to05-GroundCommIncentive)*'Ground Base'!F6),2),ROUND('Ground Base'!F$154*(1+GroundFuelSurcharge),2),ROUND(((1-GroundCommDiscount01to05-GroundCommIncentive)*'Ground Base'!F6)*(1+GroundFuelSurcharge),2)))*(1+FedEx_Markup),2)</f>
        <v>13.7</v>
      </c>
      <c r="G11" s="275">
        <f>ROUND((IF('Ground Base'!G$154&gt;ROUND(((1-GroundCommDiscount01to05-GroundCommIncentive)*'Ground Base'!G6),2),ROUND('Ground Base'!G$154*(1+GroundFuelSurcharge),2),ROUND(((1-GroundCommDiscount01to05-GroundCommIncentive)*'Ground Base'!G6)*(1+GroundFuelSurcharge),2)))*(1+FedEx_Markup),2)</f>
        <v>13.7</v>
      </c>
      <c r="H11" s="275">
        <f>ROUND((IF('Ground Base'!H$154&gt;ROUND(((1-GroundCommDiscount01to05-GroundCommIncentive)*'Ground Base'!H6),2),ROUND('Ground Base'!H$154*(1+GroundFuelSurcharge),2),ROUND(((1-GroundCommDiscount01to05-GroundCommIncentive)*'Ground Base'!H6)*(1+GroundFuelSurcharge),2)))*(1+FedEx_Markup),2)</f>
        <v>13.7</v>
      </c>
      <c r="I11" s="275">
        <f>ROUND((IF('Ground Base'!I$154&gt;ROUND(((1-GroundAKHIDiscount)*'Ground Base'!I6),2),ROUND('Ground Base'!I$154*(1+GroundFuelSurcharge),2),ROUND(((1-GroundAKHIDiscount)*'Ground Base'!I6)*(1+GroundFuelSurcharge),2)))*(1+FedEx_Markup),2)</f>
        <v>55.28</v>
      </c>
      <c r="J11" s="275">
        <f>ROUND((IF('Ground Base'!J$154&gt;ROUND(((1-GroundAKHIDiscount)*'Ground Base'!J6),2),ROUND('Ground Base'!J$154*(1+GroundFuelSurcharge),2),ROUND(((1-GroundAKHIDiscount)*'Ground Base'!J6)*(1+GroundFuelSurcharge),2)))*(1+FedEx_Markup),2)</f>
        <v>55.28</v>
      </c>
      <c r="K11" s="275">
        <f>ROUND((IF('Ground Base'!K$154&gt;ROUND(((1-GroundZone51Discount)*'Ground Base'!K6),2),ROUND('Ground Base'!K$154*(1+GroundFuelSurcharge),2),ROUND(((1-GroundZone51Discount)*'Ground Base'!K6)*(1+GroundFuelSurcharge),2)))*(1+FedEx_Markup),2)</f>
        <v>29.81</v>
      </c>
      <c r="L11" s="275">
        <f>ROUND((IF('Ground Base'!L$154&gt;ROUND(((1-GroundZone54Discount)*'Ground Base'!L6),2),ROUND('Ground Base'!L$154*(1+GroundFuelSurcharge),2),ROUND(((1-GroundZone54Discount)*'Ground Base'!L6)*(1+GroundFuelSurcharge),2)))*(1+FedEx_Markup),2)</f>
        <v>37.58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4">
        <v>5.0</v>
      </c>
      <c r="B12" s="275">
        <f>ROUND((IF('Ground Base'!B$154&gt;ROUND(((1-GroundCommDiscount01to05-GroundCommIncentive)*'Ground Base'!B7),2),ROUND('Ground Base'!B$154*(1+GroundFuelSurcharge),2),ROUND(((1-GroundCommDiscount01to05-GroundCommIncentive)*'Ground Base'!B7)*(1+GroundFuelSurcharge),2)))*(1+FedEx_Markup),2)</f>
        <v>13.7</v>
      </c>
      <c r="C12" s="275">
        <f>ROUND((IF('Ground Base'!C$154&gt;ROUND(((1-GroundCommDiscount01to05-GroundCommIncentive)*'Ground Base'!C7),2),ROUND('Ground Base'!C$154*(1+GroundFuelSurcharge),2),ROUND(((1-GroundCommDiscount01to05-GroundCommIncentive)*'Ground Base'!C7)*(1+GroundFuelSurcharge),2)))*(1+FedEx_Markup),2)</f>
        <v>13.7</v>
      </c>
      <c r="D12" s="275">
        <f>ROUND((IF('Ground Base'!D$154&gt;ROUND(((1-GroundCommDiscount01to05-GroundCommIncentive)*'Ground Base'!D7),2),ROUND('Ground Base'!D$154*(1+GroundFuelSurcharge),2),ROUND(((1-GroundCommDiscount01to05-GroundCommIncentive)*'Ground Base'!D7)*(1+GroundFuelSurcharge),2)))*(1+FedEx_Markup),2)</f>
        <v>13.7</v>
      </c>
      <c r="E12" s="275">
        <f>ROUND((IF('Ground Base'!E$154&gt;ROUND(((1-GroundCommDiscount01to05-GroundCommIncentive)*'Ground Base'!E7),2),ROUND('Ground Base'!E$154*(1+GroundFuelSurcharge),2),ROUND(((1-GroundCommDiscount01to05-GroundCommIncentive)*'Ground Base'!E7)*(1+GroundFuelSurcharge),2)))*(1+FedEx_Markup),2)</f>
        <v>13.7</v>
      </c>
      <c r="F12" s="275">
        <f>ROUND((IF('Ground Base'!F$154&gt;ROUND(((1-GroundCommDiscount01to05-GroundCommIncentive)*'Ground Base'!F7),2),ROUND('Ground Base'!F$154*(1+GroundFuelSurcharge),2),ROUND(((1-GroundCommDiscount01to05-GroundCommIncentive)*'Ground Base'!F7)*(1+GroundFuelSurcharge),2)))*(1+FedEx_Markup),2)</f>
        <v>13.7</v>
      </c>
      <c r="G12" s="275">
        <f>ROUND((IF('Ground Base'!G$154&gt;ROUND(((1-GroundCommDiscount01to05-GroundCommIncentive)*'Ground Base'!G7),2),ROUND('Ground Base'!G$154*(1+GroundFuelSurcharge),2),ROUND(((1-GroundCommDiscount01to05-GroundCommIncentive)*'Ground Base'!G7)*(1+GroundFuelSurcharge),2)))*(1+FedEx_Markup),2)</f>
        <v>13.7</v>
      </c>
      <c r="H12" s="275">
        <f>ROUND((IF('Ground Base'!H$154&gt;ROUND(((1-GroundCommDiscount01to05-GroundCommIncentive)*'Ground Base'!H7),2),ROUND('Ground Base'!H$154*(1+GroundFuelSurcharge),2),ROUND(((1-GroundCommDiscount01to05-GroundCommIncentive)*'Ground Base'!H7)*(1+GroundFuelSurcharge),2)))*(1+FedEx_Markup),2)</f>
        <v>13.7</v>
      </c>
      <c r="I12" s="275">
        <f>ROUND((IF('Ground Base'!I$154&gt;ROUND(((1-GroundAKHIDiscount)*'Ground Base'!I7),2),ROUND('Ground Base'!I$154*(1+GroundFuelSurcharge),2),ROUND(((1-GroundAKHIDiscount)*'Ground Base'!I7)*(1+GroundFuelSurcharge),2)))*(1+FedEx_Markup),2)</f>
        <v>59.92</v>
      </c>
      <c r="J12" s="275">
        <f>ROUND((IF('Ground Base'!J$154&gt;ROUND(((1-GroundAKHIDiscount)*'Ground Base'!J7),2),ROUND('Ground Base'!J$154*(1+GroundFuelSurcharge),2),ROUND(((1-GroundAKHIDiscount)*'Ground Base'!J7)*(1+GroundFuelSurcharge),2)))*(1+FedEx_Markup),2)</f>
        <v>59.92</v>
      </c>
      <c r="K12" s="275">
        <f>ROUND((IF('Ground Base'!K$154&gt;ROUND(((1-GroundZone51Discount)*'Ground Base'!K7),2),ROUND('Ground Base'!K$154*(1+GroundFuelSurcharge),2),ROUND(((1-GroundZone51Discount)*'Ground Base'!K7)*(1+GroundFuelSurcharge),2)))*(1+FedEx_Markup),2)</f>
        <v>29.81</v>
      </c>
      <c r="L12" s="275">
        <f>ROUND((IF('Ground Base'!L$154&gt;ROUND(((1-GroundZone54Discount)*'Ground Base'!L7),2),ROUND('Ground Base'!L$154*(1+GroundFuelSurcharge),2),ROUND(((1-GroundZone54Discount)*'Ground Base'!L7)*(1+GroundFuelSurcharge),2)))*(1+FedEx_Markup),2)</f>
        <v>37.58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274">
        <v>6.0</v>
      </c>
      <c r="B13" s="275">
        <f>ROUND((IF('Ground Base'!B$154&gt;ROUND(((1-GroundCommDiscount06to10-GroundCommIncentive)*'Ground Base'!B8),2),ROUND('Ground Base'!B$154*(1+GroundFuelSurcharge),2),ROUND(((1-GroundCommDiscount06to10-GroundCommIncentive)*'Ground Base'!B8)*(1+GroundFuelSurcharge),2)))*(1+FedEx_Markup),2)</f>
        <v>13.7</v>
      </c>
      <c r="C13" s="275">
        <f>ROUND((IF('Ground Base'!C$154&gt;ROUND(((1-GroundCommDiscount06to10-GroundCommIncentive)*'Ground Base'!C8),2),ROUND('Ground Base'!C$154*(1+GroundFuelSurcharge),2),ROUND(((1-GroundCommDiscount06to10-GroundCommIncentive)*'Ground Base'!C8)*(1+GroundFuelSurcharge),2)))*(1+FedEx_Markup),2)</f>
        <v>13.7</v>
      </c>
      <c r="D13" s="275">
        <f>ROUND((IF('Ground Base'!D$154&gt;ROUND(((1-GroundCommDiscount06to10-GroundCommIncentive)*'Ground Base'!D8),2),ROUND('Ground Base'!D$154*(1+GroundFuelSurcharge),2),ROUND(((1-GroundCommDiscount06to10-GroundCommIncentive)*'Ground Base'!D8)*(1+GroundFuelSurcharge),2)))*(1+FedEx_Markup),2)</f>
        <v>13.7</v>
      </c>
      <c r="E13" s="275">
        <f>ROUND((IF('Ground Base'!E$154&gt;ROUND(((1-GroundCommDiscount06to10-GroundCommIncentive)*'Ground Base'!E8),2),ROUND('Ground Base'!E$154*(1+GroundFuelSurcharge),2),ROUND(((1-GroundCommDiscount06to10-GroundCommIncentive)*'Ground Base'!E8)*(1+GroundFuelSurcharge),2)))*(1+FedEx_Markup),2)</f>
        <v>13.7</v>
      </c>
      <c r="F13" s="275">
        <f>ROUND((IF('Ground Base'!F$154&gt;ROUND(((1-GroundCommDiscount06to10-GroundCommIncentive)*'Ground Base'!F8),2),ROUND('Ground Base'!F$154*(1+GroundFuelSurcharge),2),ROUND(((1-GroundCommDiscount06to10-GroundCommIncentive)*'Ground Base'!F8)*(1+GroundFuelSurcharge),2)))*(1+FedEx_Markup),2)</f>
        <v>13.7</v>
      </c>
      <c r="G13" s="275">
        <f>ROUND((IF('Ground Base'!G$154&gt;ROUND(((1-GroundCommDiscount06to10-GroundCommIncentive)*'Ground Base'!G8),2),ROUND('Ground Base'!G$154*(1+GroundFuelSurcharge),2),ROUND(((1-GroundCommDiscount06to10-GroundCommIncentive)*'Ground Base'!G8)*(1+GroundFuelSurcharge),2)))*(1+FedEx_Markup),2)</f>
        <v>13.7</v>
      </c>
      <c r="H13" s="275">
        <f>ROUND((IF('Ground Base'!H$154&gt;ROUND(((1-GroundCommDiscount06to10-GroundCommIncentive)*'Ground Base'!H8),2),ROUND('Ground Base'!H$154*(1+GroundFuelSurcharge),2),ROUND(((1-GroundCommDiscount06to10-GroundCommIncentive)*'Ground Base'!H8)*(1+GroundFuelSurcharge),2)))*(1+FedEx_Markup),2)</f>
        <v>14.21</v>
      </c>
      <c r="I13" s="275">
        <f>ROUND((IF('Ground Base'!I$154&gt;ROUND(((1-GroundAKHIDiscount)*'Ground Base'!I8),2),ROUND('Ground Base'!I$154*(1+GroundFuelSurcharge),2),ROUND(((1-GroundAKHIDiscount)*'Ground Base'!I8)*(1+GroundFuelSurcharge),2)))*(1+FedEx_Markup),2)</f>
        <v>64.66</v>
      </c>
      <c r="J13" s="275">
        <f>ROUND((IF('Ground Base'!J$154&gt;ROUND(((1-GroundAKHIDiscount)*'Ground Base'!J8),2),ROUND('Ground Base'!J$154*(1+GroundFuelSurcharge),2),ROUND(((1-GroundAKHIDiscount)*'Ground Base'!J8)*(1+GroundFuelSurcharge),2)))*(1+FedEx_Markup),2)</f>
        <v>64.66</v>
      </c>
      <c r="K13" s="275">
        <f>ROUND((IF('Ground Base'!K$154&gt;ROUND(((1-GroundZone51Discount)*'Ground Base'!K8),2),ROUND('Ground Base'!K$154*(1+GroundFuelSurcharge),2),ROUND(((1-GroundZone51Discount)*'Ground Base'!K8)*(1+GroundFuelSurcharge),2)))*(1+FedEx_Markup),2)</f>
        <v>29.81</v>
      </c>
      <c r="L13" s="275">
        <f>ROUND((IF('Ground Base'!L$154&gt;ROUND(((1-GroundZone54Discount)*'Ground Base'!L8),2),ROUND('Ground Base'!L$154*(1+GroundFuelSurcharge),2),ROUND(((1-GroundZone54Discount)*'Ground Base'!L8)*(1+GroundFuelSurcharge),2)))*(1+FedEx_Markup),2)</f>
        <v>37.58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274">
        <v>7.0</v>
      </c>
      <c r="B14" s="275">
        <f>ROUND((IF('Ground Base'!B$154&gt;ROUND(((1-GroundCommDiscount06to10-GroundCommIncentive)*'Ground Base'!B9),2),ROUND('Ground Base'!B$154*(1+GroundFuelSurcharge),2),ROUND(((1-GroundCommDiscount06to10-GroundCommIncentive)*'Ground Base'!B9)*(1+GroundFuelSurcharge),2)))*(1+FedEx_Markup),2)</f>
        <v>13.7</v>
      </c>
      <c r="C14" s="275">
        <f>ROUND((IF('Ground Base'!C$154&gt;ROUND(((1-GroundCommDiscount06to10-GroundCommIncentive)*'Ground Base'!C9),2),ROUND('Ground Base'!C$154*(1+GroundFuelSurcharge),2),ROUND(((1-GroundCommDiscount06to10-GroundCommIncentive)*'Ground Base'!C9)*(1+GroundFuelSurcharge),2)))*(1+FedEx_Markup),2)</f>
        <v>13.7</v>
      </c>
      <c r="D14" s="275">
        <f>ROUND((IF('Ground Base'!D$154&gt;ROUND(((1-GroundCommDiscount06to10-GroundCommIncentive)*'Ground Base'!D9),2),ROUND('Ground Base'!D$154*(1+GroundFuelSurcharge),2),ROUND(((1-GroundCommDiscount06to10-GroundCommIncentive)*'Ground Base'!D9)*(1+GroundFuelSurcharge),2)))*(1+FedEx_Markup),2)</f>
        <v>13.7</v>
      </c>
      <c r="E14" s="275">
        <f>ROUND((IF('Ground Base'!E$154&gt;ROUND(((1-GroundCommDiscount06to10-GroundCommIncentive)*'Ground Base'!E9),2),ROUND('Ground Base'!E$154*(1+GroundFuelSurcharge),2),ROUND(((1-GroundCommDiscount06to10-GroundCommIncentive)*'Ground Base'!E9)*(1+GroundFuelSurcharge),2)))*(1+FedEx_Markup),2)</f>
        <v>13.7</v>
      </c>
      <c r="F14" s="275">
        <f>ROUND((IF('Ground Base'!F$154&gt;ROUND(((1-GroundCommDiscount06to10-GroundCommIncentive)*'Ground Base'!F9),2),ROUND('Ground Base'!F$154*(1+GroundFuelSurcharge),2),ROUND(((1-GroundCommDiscount06to10-GroundCommIncentive)*'Ground Base'!F9)*(1+GroundFuelSurcharge),2)))*(1+FedEx_Markup),2)</f>
        <v>13.7</v>
      </c>
      <c r="G14" s="275">
        <f>ROUND((IF('Ground Base'!G$154&gt;ROUND(((1-GroundCommDiscount06to10-GroundCommIncentive)*'Ground Base'!G9),2),ROUND('Ground Base'!G$154*(1+GroundFuelSurcharge),2),ROUND(((1-GroundCommDiscount06to10-GroundCommIncentive)*'Ground Base'!G9)*(1+GroundFuelSurcharge),2)))*(1+FedEx_Markup),2)</f>
        <v>13.78</v>
      </c>
      <c r="H14" s="275">
        <f>ROUND((IF('Ground Base'!H$154&gt;ROUND(((1-GroundCommDiscount06to10-GroundCommIncentive)*'Ground Base'!H9),2),ROUND('Ground Base'!H$154*(1+GroundFuelSurcharge),2),ROUND(((1-GroundCommDiscount06to10-GroundCommIncentive)*'Ground Base'!H9)*(1+GroundFuelSurcharge),2)))*(1+FedEx_Markup),2)</f>
        <v>14.74</v>
      </c>
      <c r="I14" s="275">
        <f>ROUND((IF('Ground Base'!I$154&gt;ROUND(((1-GroundAKHIDiscount)*'Ground Base'!I9),2),ROUND('Ground Base'!I$154*(1+GroundFuelSurcharge),2),ROUND(((1-GroundAKHIDiscount)*'Ground Base'!I9)*(1+GroundFuelSurcharge),2)))*(1+FedEx_Markup),2)</f>
        <v>69.03</v>
      </c>
      <c r="J14" s="275">
        <f>ROUND((IF('Ground Base'!J$154&gt;ROUND(((1-GroundAKHIDiscount)*'Ground Base'!J9),2),ROUND('Ground Base'!J$154*(1+GroundFuelSurcharge),2),ROUND(((1-GroundAKHIDiscount)*'Ground Base'!J9)*(1+GroundFuelSurcharge),2)))*(1+FedEx_Markup),2)</f>
        <v>69.03</v>
      </c>
      <c r="K14" s="275">
        <f>ROUND((IF('Ground Base'!K$154&gt;ROUND(((1-GroundZone51Discount)*'Ground Base'!K9),2),ROUND('Ground Base'!K$154*(1+GroundFuelSurcharge),2),ROUND(((1-GroundZone51Discount)*'Ground Base'!K9)*(1+GroundFuelSurcharge),2)))*(1+FedEx_Markup),2)</f>
        <v>29.81</v>
      </c>
      <c r="L14" s="275">
        <f>ROUND((IF('Ground Base'!L$154&gt;ROUND(((1-GroundZone54Discount)*'Ground Base'!L9),2),ROUND('Ground Base'!L$154*(1+GroundFuelSurcharge),2),ROUND(((1-GroundZone54Discount)*'Ground Base'!L9)*(1+GroundFuelSurcharge),2)))*(1+FedEx_Markup),2)</f>
        <v>37.58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274">
        <v>8.0</v>
      </c>
      <c r="B15" s="275">
        <f>ROUND((IF('Ground Base'!B$154&gt;ROUND(((1-GroundCommDiscount06to10-GroundCommIncentive)*'Ground Base'!B10),2),ROUND('Ground Base'!B$154*(1+GroundFuelSurcharge),2),ROUND(((1-GroundCommDiscount06to10-GroundCommIncentive)*'Ground Base'!B10)*(1+GroundFuelSurcharge),2)))*(1+FedEx_Markup),2)</f>
        <v>13.7</v>
      </c>
      <c r="C15" s="275">
        <f>ROUND((IF('Ground Base'!C$154&gt;ROUND(((1-GroundCommDiscount06to10-GroundCommIncentive)*'Ground Base'!C10),2),ROUND('Ground Base'!C$154*(1+GroundFuelSurcharge),2),ROUND(((1-GroundCommDiscount06to10-GroundCommIncentive)*'Ground Base'!C10)*(1+GroundFuelSurcharge),2)))*(1+FedEx_Markup),2)</f>
        <v>13.7</v>
      </c>
      <c r="D15" s="275">
        <f>ROUND((IF('Ground Base'!D$154&gt;ROUND(((1-GroundCommDiscount06to10-GroundCommIncentive)*'Ground Base'!D10),2),ROUND('Ground Base'!D$154*(1+GroundFuelSurcharge),2),ROUND(((1-GroundCommDiscount06to10-GroundCommIncentive)*'Ground Base'!D10)*(1+GroundFuelSurcharge),2)))*(1+FedEx_Markup),2)</f>
        <v>13.7</v>
      </c>
      <c r="E15" s="275">
        <f>ROUND((IF('Ground Base'!E$154&gt;ROUND(((1-GroundCommDiscount06to10-GroundCommIncentive)*'Ground Base'!E10),2),ROUND('Ground Base'!E$154*(1+GroundFuelSurcharge),2),ROUND(((1-GroundCommDiscount06to10-GroundCommIncentive)*'Ground Base'!E10)*(1+GroundFuelSurcharge),2)))*(1+FedEx_Markup),2)</f>
        <v>13.7</v>
      </c>
      <c r="F15" s="275">
        <f>ROUND((IF('Ground Base'!F$154&gt;ROUND(((1-GroundCommDiscount06to10-GroundCommIncentive)*'Ground Base'!F10),2),ROUND('Ground Base'!F$154*(1+GroundFuelSurcharge),2),ROUND(((1-GroundCommDiscount06to10-GroundCommIncentive)*'Ground Base'!F10)*(1+GroundFuelSurcharge),2)))*(1+FedEx_Markup),2)</f>
        <v>13.7</v>
      </c>
      <c r="G15" s="275">
        <f>ROUND((IF('Ground Base'!G$154&gt;ROUND(((1-GroundCommDiscount06to10-GroundCommIncentive)*'Ground Base'!G10),2),ROUND('Ground Base'!G$154*(1+GroundFuelSurcharge),2),ROUND(((1-GroundCommDiscount06to10-GroundCommIncentive)*'Ground Base'!G10)*(1+GroundFuelSurcharge),2)))*(1+FedEx_Markup),2)</f>
        <v>14.33</v>
      </c>
      <c r="H15" s="275">
        <f>ROUND((IF('Ground Base'!H$154&gt;ROUND(((1-GroundCommDiscount06to10-GroundCommIncentive)*'Ground Base'!H10),2),ROUND('Ground Base'!H$154*(1+GroundFuelSurcharge),2),ROUND(((1-GroundCommDiscount06to10-GroundCommIncentive)*'Ground Base'!H10)*(1+GroundFuelSurcharge),2)))*(1+FedEx_Markup),2)</f>
        <v>15.39</v>
      </c>
      <c r="I15" s="275">
        <f>ROUND((IF('Ground Base'!I$154&gt;ROUND(((1-GroundAKHIDiscount)*'Ground Base'!I10),2),ROUND('Ground Base'!I$154*(1+GroundFuelSurcharge),2),ROUND(((1-GroundAKHIDiscount)*'Ground Base'!I10)*(1+GroundFuelSurcharge),2)))*(1+FedEx_Markup),2)</f>
        <v>71.74</v>
      </c>
      <c r="J15" s="275">
        <f>ROUND((IF('Ground Base'!J$154&gt;ROUND(((1-GroundAKHIDiscount)*'Ground Base'!J10),2),ROUND('Ground Base'!J$154*(1+GroundFuelSurcharge),2),ROUND(((1-GroundAKHIDiscount)*'Ground Base'!J10)*(1+GroundFuelSurcharge),2)))*(1+FedEx_Markup),2)</f>
        <v>71.74</v>
      </c>
      <c r="K15" s="275">
        <f>ROUND((IF('Ground Base'!K$154&gt;ROUND(((1-GroundZone51Discount)*'Ground Base'!K10),2),ROUND('Ground Base'!K$154*(1+GroundFuelSurcharge),2),ROUND(((1-GroundZone51Discount)*'Ground Base'!K10)*(1+GroundFuelSurcharge),2)))*(1+FedEx_Markup),2)</f>
        <v>29.81</v>
      </c>
      <c r="L15" s="275">
        <f>ROUND((IF('Ground Base'!L$154&gt;ROUND(((1-GroundZone54Discount)*'Ground Base'!L10),2),ROUND('Ground Base'!L$154*(1+GroundFuelSurcharge),2),ROUND(((1-GroundZone54Discount)*'Ground Base'!L10)*(1+GroundFuelSurcharge),2)))*(1+FedEx_Markup),2)</f>
        <v>37.58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274">
        <v>9.0</v>
      </c>
      <c r="B16" s="275">
        <f>ROUND((IF('Ground Base'!B$154&gt;ROUND(((1-GroundCommDiscount06to10-GroundCommIncentive)*'Ground Base'!B11),2),ROUND('Ground Base'!B$154*(1+GroundFuelSurcharge),2),ROUND(((1-GroundCommDiscount06to10-GroundCommIncentive)*'Ground Base'!B11)*(1+GroundFuelSurcharge),2)))*(1+FedEx_Markup),2)</f>
        <v>13.7</v>
      </c>
      <c r="C16" s="275">
        <f>ROUND((IF('Ground Base'!C$154&gt;ROUND(((1-GroundCommDiscount06to10-GroundCommIncentive)*'Ground Base'!C11),2),ROUND('Ground Base'!C$154*(1+GroundFuelSurcharge),2),ROUND(((1-GroundCommDiscount06to10-GroundCommIncentive)*'Ground Base'!C11)*(1+GroundFuelSurcharge),2)))*(1+FedEx_Markup),2)</f>
        <v>13.7</v>
      </c>
      <c r="D16" s="275">
        <f>ROUND((IF('Ground Base'!D$154&gt;ROUND(((1-GroundCommDiscount06to10-GroundCommIncentive)*'Ground Base'!D11),2),ROUND('Ground Base'!D$154*(1+GroundFuelSurcharge),2),ROUND(((1-GroundCommDiscount06to10-GroundCommIncentive)*'Ground Base'!D11)*(1+GroundFuelSurcharge),2)))*(1+FedEx_Markup),2)</f>
        <v>13.7</v>
      </c>
      <c r="E16" s="275">
        <f>ROUND((IF('Ground Base'!E$154&gt;ROUND(((1-GroundCommDiscount06to10-GroundCommIncentive)*'Ground Base'!E11),2),ROUND('Ground Base'!E$154*(1+GroundFuelSurcharge),2),ROUND(((1-GroundCommDiscount06to10-GroundCommIncentive)*'Ground Base'!E11)*(1+GroundFuelSurcharge),2)))*(1+FedEx_Markup),2)</f>
        <v>13.7</v>
      </c>
      <c r="F16" s="275">
        <f>ROUND((IF('Ground Base'!F$154&gt;ROUND(((1-GroundCommDiscount06to10-GroundCommIncentive)*'Ground Base'!F11),2),ROUND('Ground Base'!F$154*(1+GroundFuelSurcharge),2),ROUND(((1-GroundCommDiscount06to10-GroundCommIncentive)*'Ground Base'!F11)*(1+GroundFuelSurcharge),2)))*(1+FedEx_Markup),2)</f>
        <v>13.71</v>
      </c>
      <c r="G16" s="275">
        <f>ROUND((IF('Ground Base'!G$154&gt;ROUND(((1-GroundCommDiscount06to10-GroundCommIncentive)*'Ground Base'!G11),2),ROUND('Ground Base'!G$154*(1+GroundFuelSurcharge),2),ROUND(((1-GroundCommDiscount06to10-GroundCommIncentive)*'Ground Base'!G11)*(1+GroundFuelSurcharge),2)))*(1+FedEx_Markup),2)</f>
        <v>14.93</v>
      </c>
      <c r="H16" s="275">
        <f>ROUND((IF('Ground Base'!H$154&gt;ROUND(((1-GroundCommDiscount06to10-GroundCommIncentive)*'Ground Base'!H11),2),ROUND('Ground Base'!H$154*(1+GroundFuelSurcharge),2),ROUND(((1-GroundCommDiscount06to10-GroundCommIncentive)*'Ground Base'!H11)*(1+GroundFuelSurcharge),2)))*(1+FedEx_Markup),2)</f>
        <v>16.2</v>
      </c>
      <c r="I16" s="275">
        <f>ROUND((IF('Ground Base'!I$154&gt;ROUND(((1-GroundAKHIDiscount)*'Ground Base'!I11),2),ROUND('Ground Base'!I$154*(1+GroundFuelSurcharge),2),ROUND(((1-GroundAKHIDiscount)*'Ground Base'!I11)*(1+GroundFuelSurcharge),2)))*(1+FedEx_Markup),2)</f>
        <v>76.79</v>
      </c>
      <c r="J16" s="275">
        <f>ROUND((IF('Ground Base'!J$154&gt;ROUND(((1-GroundAKHIDiscount)*'Ground Base'!J11),2),ROUND('Ground Base'!J$154*(1+GroundFuelSurcharge),2),ROUND(((1-GroundAKHIDiscount)*'Ground Base'!J11)*(1+GroundFuelSurcharge),2)))*(1+FedEx_Markup),2)</f>
        <v>76.79</v>
      </c>
      <c r="K16" s="275">
        <f>ROUND((IF('Ground Base'!K$154&gt;ROUND(((1-GroundZone51Discount)*'Ground Base'!K11),2),ROUND('Ground Base'!K$154*(1+GroundFuelSurcharge),2),ROUND(((1-GroundZone51Discount)*'Ground Base'!K11)*(1+GroundFuelSurcharge),2)))*(1+FedEx_Markup),2)</f>
        <v>29.81</v>
      </c>
      <c r="L16" s="275">
        <f>ROUND((IF('Ground Base'!L$154&gt;ROUND(((1-GroundZone54Discount)*'Ground Base'!L11),2),ROUND('Ground Base'!L$154*(1+GroundFuelSurcharge),2),ROUND(((1-GroundZone54Discount)*'Ground Base'!L11)*(1+GroundFuelSurcharge),2)))*(1+FedEx_Markup),2)</f>
        <v>37.58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274">
        <v>10.0</v>
      </c>
      <c r="B17" s="275">
        <f>ROUND((IF('Ground Base'!B$154&gt;ROUND(((1-GroundCommDiscount06to10-GroundCommIncentive)*'Ground Base'!B12),2),ROUND('Ground Base'!B$154*(1+GroundFuelSurcharge),2),ROUND(((1-GroundCommDiscount06to10-GroundCommIncentive)*'Ground Base'!B12)*(1+GroundFuelSurcharge),2)))*(1+FedEx_Markup),2)</f>
        <v>13.7</v>
      </c>
      <c r="C17" s="275">
        <f>ROUND((IF('Ground Base'!C$154&gt;ROUND(((1-GroundCommDiscount06to10-GroundCommIncentive)*'Ground Base'!C12),2),ROUND('Ground Base'!C$154*(1+GroundFuelSurcharge),2),ROUND(((1-GroundCommDiscount06to10-GroundCommIncentive)*'Ground Base'!C12)*(1+GroundFuelSurcharge),2)))*(1+FedEx_Markup),2)</f>
        <v>13.7</v>
      </c>
      <c r="D17" s="275">
        <f>ROUND((IF('Ground Base'!D$154&gt;ROUND(((1-GroundCommDiscount06to10-GroundCommIncentive)*'Ground Base'!D12),2),ROUND('Ground Base'!D$154*(1+GroundFuelSurcharge),2),ROUND(((1-GroundCommDiscount06to10-GroundCommIncentive)*'Ground Base'!D12)*(1+GroundFuelSurcharge),2)))*(1+FedEx_Markup),2)</f>
        <v>13.7</v>
      </c>
      <c r="E17" s="275">
        <f>ROUND((IF('Ground Base'!E$154&gt;ROUND(((1-GroundCommDiscount06to10-GroundCommIncentive)*'Ground Base'!E12),2),ROUND('Ground Base'!E$154*(1+GroundFuelSurcharge),2),ROUND(((1-GroundCommDiscount06to10-GroundCommIncentive)*'Ground Base'!E12)*(1+GroundFuelSurcharge),2)))*(1+FedEx_Markup),2)</f>
        <v>13.7</v>
      </c>
      <c r="F17" s="275">
        <f>ROUND((IF('Ground Base'!F$154&gt;ROUND(((1-GroundCommDiscount06to10-GroundCommIncentive)*'Ground Base'!F12),2),ROUND('Ground Base'!F$154*(1+GroundFuelSurcharge),2),ROUND(((1-GroundCommDiscount06to10-GroundCommIncentive)*'Ground Base'!F12)*(1+GroundFuelSurcharge),2)))*(1+FedEx_Markup),2)</f>
        <v>13.87</v>
      </c>
      <c r="G17" s="275">
        <f>ROUND((IF('Ground Base'!G$154&gt;ROUND(((1-GroundCommDiscount06to10-GroundCommIncentive)*'Ground Base'!G12),2),ROUND('Ground Base'!G$154*(1+GroundFuelSurcharge),2),ROUND(((1-GroundCommDiscount06to10-GroundCommIncentive)*'Ground Base'!G12)*(1+GroundFuelSurcharge),2)))*(1+FedEx_Markup),2)</f>
        <v>15.63</v>
      </c>
      <c r="H17" s="275">
        <f>ROUND((IF('Ground Base'!H$154&gt;ROUND(((1-GroundCommDiscount06to10-GroundCommIncentive)*'Ground Base'!H12),2),ROUND('Ground Base'!H$154*(1+GroundFuelSurcharge),2),ROUND(((1-GroundCommDiscount06to10-GroundCommIncentive)*'Ground Base'!H12)*(1+GroundFuelSurcharge),2)))*(1+FedEx_Markup),2)</f>
        <v>17.27</v>
      </c>
      <c r="I17" s="275">
        <f>ROUND((IF('Ground Base'!I$154&gt;ROUND(((1-GroundAKHIDiscount)*'Ground Base'!I12),2),ROUND('Ground Base'!I$154*(1+GroundFuelSurcharge),2),ROUND(((1-GroundAKHIDiscount)*'Ground Base'!I12)*(1+GroundFuelSurcharge),2)))*(1+FedEx_Markup),2)</f>
        <v>81.59</v>
      </c>
      <c r="J17" s="275">
        <f>ROUND((IF('Ground Base'!J$154&gt;ROUND(((1-GroundAKHIDiscount)*'Ground Base'!J12),2),ROUND('Ground Base'!J$154*(1+GroundFuelSurcharge),2),ROUND(((1-GroundAKHIDiscount)*'Ground Base'!J12)*(1+GroundFuelSurcharge),2)))*(1+FedEx_Markup),2)</f>
        <v>81.59</v>
      </c>
      <c r="K17" s="275">
        <f>ROUND((IF('Ground Base'!K$154&gt;ROUND(((1-GroundZone51Discount)*'Ground Base'!K12),2),ROUND('Ground Base'!K$154*(1+GroundFuelSurcharge),2),ROUND(((1-GroundZone51Discount)*'Ground Base'!K12)*(1+GroundFuelSurcharge),2)))*(1+FedEx_Markup),2)</f>
        <v>29.81</v>
      </c>
      <c r="L17" s="275">
        <f>ROUND((IF('Ground Base'!L$154&gt;ROUND(((1-GroundZone54Discount)*'Ground Base'!L12),2),ROUND('Ground Base'!L$154*(1+GroundFuelSurcharge),2),ROUND(((1-GroundZone54Discount)*'Ground Base'!L12)*(1+GroundFuelSurcharge),2)))*(1+FedEx_Markup),2)</f>
        <v>37.58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274">
        <v>11.0</v>
      </c>
      <c r="B18" s="275">
        <f>ROUND((IF('Ground Base'!B$154&gt;ROUND(((1-GroundCommDiscount11to20-GroundCommIncentive)*'Ground Base'!B13),2),ROUND('Ground Base'!B$154*(1+GroundFuelSurcharge),2),ROUND(((1-GroundCommDiscount11to20-GroundCommIncentive)*'Ground Base'!B13)*(1+GroundFuelSurcharge),2)))*(1+FedEx_Markup),2)</f>
        <v>13.7</v>
      </c>
      <c r="C18" s="275">
        <f>ROUND((IF('Ground Base'!C$154&gt;ROUND(((1-GroundCommDiscount11to20-GroundCommIncentive)*'Ground Base'!C13),2),ROUND('Ground Base'!C$154*(1+GroundFuelSurcharge),2),ROUND(((1-GroundCommDiscount11to20-GroundCommIncentive)*'Ground Base'!C13)*(1+GroundFuelSurcharge),2)))*(1+FedEx_Markup),2)</f>
        <v>13.7</v>
      </c>
      <c r="D18" s="275">
        <f>ROUND((IF('Ground Base'!D$154&gt;ROUND(((1-GroundCommDiscount11to20-GroundCommIncentive)*'Ground Base'!D13),2),ROUND('Ground Base'!D$154*(1+GroundFuelSurcharge),2),ROUND(((1-GroundCommDiscount11to20-GroundCommIncentive)*'Ground Base'!D13)*(1+GroundFuelSurcharge),2)))*(1+FedEx_Markup),2)</f>
        <v>13.7</v>
      </c>
      <c r="E18" s="275">
        <f>ROUND((IF('Ground Base'!E$154&gt;ROUND(((1-GroundCommDiscount11to20-GroundCommIncentive)*'Ground Base'!E13),2),ROUND('Ground Base'!E$154*(1+GroundFuelSurcharge),2),ROUND(((1-GroundCommDiscount11to20-GroundCommIncentive)*'Ground Base'!E13)*(1+GroundFuelSurcharge),2)))*(1+FedEx_Markup),2)</f>
        <v>13.7</v>
      </c>
      <c r="F18" s="275">
        <f>ROUND((IF('Ground Base'!F$154&gt;ROUND(((1-GroundCommDiscount11to20-GroundCommIncentive)*'Ground Base'!F13),2),ROUND('Ground Base'!F$154*(1+GroundFuelSurcharge),2),ROUND(((1-GroundCommDiscount11to20-GroundCommIncentive)*'Ground Base'!F13)*(1+GroundFuelSurcharge),2)))*(1+FedEx_Markup),2)</f>
        <v>13.7</v>
      </c>
      <c r="G18" s="275">
        <f>ROUND((IF('Ground Base'!G$154&gt;ROUND(((1-GroundCommDiscount11to20-GroundCommIncentive)*'Ground Base'!G13),2),ROUND('Ground Base'!G$154*(1+GroundFuelSurcharge),2),ROUND(((1-GroundCommDiscount11to20-GroundCommIncentive)*'Ground Base'!G13)*(1+GroundFuelSurcharge),2)))*(1+FedEx_Markup),2)</f>
        <v>16.1</v>
      </c>
      <c r="H18" s="275">
        <f>ROUND((IF('Ground Base'!H$154&gt;ROUND(((1-GroundCommDiscount11to20-GroundCommIncentive)*'Ground Base'!H13),2),ROUND('Ground Base'!H$154*(1+GroundFuelSurcharge),2),ROUND(((1-GroundCommDiscount11to20-GroundCommIncentive)*'Ground Base'!H13)*(1+GroundFuelSurcharge),2)))*(1+FedEx_Markup),2)</f>
        <v>17.49</v>
      </c>
      <c r="I18" s="275">
        <f>ROUND((IF('Ground Base'!I$154&gt;ROUND(((1-GroundAKHIDiscount)*'Ground Base'!I13),2),ROUND('Ground Base'!I$154*(1+GroundFuelSurcharge),2),ROUND(((1-GroundAKHIDiscount)*'Ground Base'!I13)*(1+GroundFuelSurcharge),2)))*(1+FedEx_Markup),2)</f>
        <v>86.57</v>
      </c>
      <c r="J18" s="275">
        <f>ROUND((IF('Ground Base'!J$154&gt;ROUND(((1-GroundAKHIDiscount)*'Ground Base'!J13),2),ROUND('Ground Base'!J$154*(1+GroundFuelSurcharge),2),ROUND(((1-GroundAKHIDiscount)*'Ground Base'!J13)*(1+GroundFuelSurcharge),2)))*(1+FedEx_Markup),2)</f>
        <v>86.57</v>
      </c>
      <c r="K18" s="275">
        <f>ROUND((IF('Ground Base'!K$154&gt;ROUND(((1-GroundZone51Discount)*'Ground Base'!K13),2),ROUND('Ground Base'!K$154*(1+GroundFuelSurcharge),2),ROUND(((1-GroundZone51Discount)*'Ground Base'!K13)*(1+GroundFuelSurcharge),2)))*(1+FedEx_Markup),2)</f>
        <v>30.73</v>
      </c>
      <c r="L18" s="275">
        <f>ROUND((IF('Ground Base'!L$154&gt;ROUND(((1-GroundZone54Discount)*'Ground Base'!L13),2),ROUND('Ground Base'!L$154*(1+GroundFuelSurcharge),2),ROUND(((1-GroundZone54Discount)*'Ground Base'!L13)*(1+GroundFuelSurcharge),2)))*(1+FedEx_Markup),2)</f>
        <v>37.58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274">
        <v>12.0</v>
      </c>
      <c r="B19" s="275">
        <f>ROUND((IF('Ground Base'!B$154&gt;ROUND(((1-GroundCommDiscount11to20-GroundCommIncentive)*'Ground Base'!B14),2),ROUND('Ground Base'!B$154*(1+GroundFuelSurcharge),2),ROUND(((1-GroundCommDiscount11to20-GroundCommIncentive)*'Ground Base'!B14)*(1+GroundFuelSurcharge),2)))*(1+FedEx_Markup),2)</f>
        <v>13.7</v>
      </c>
      <c r="C19" s="275">
        <f>ROUND((IF('Ground Base'!C$154&gt;ROUND(((1-GroundCommDiscount11to20-GroundCommIncentive)*'Ground Base'!C14),2),ROUND('Ground Base'!C$154*(1+GroundFuelSurcharge),2),ROUND(((1-GroundCommDiscount11to20-GroundCommIncentive)*'Ground Base'!C14)*(1+GroundFuelSurcharge),2)))*(1+FedEx_Markup),2)</f>
        <v>13.7</v>
      </c>
      <c r="D19" s="275">
        <f>ROUND((IF('Ground Base'!D$154&gt;ROUND(((1-GroundCommDiscount11to20-GroundCommIncentive)*'Ground Base'!D14),2),ROUND('Ground Base'!D$154*(1+GroundFuelSurcharge),2),ROUND(((1-GroundCommDiscount11to20-GroundCommIncentive)*'Ground Base'!D14)*(1+GroundFuelSurcharge),2)))*(1+FedEx_Markup),2)</f>
        <v>13.7</v>
      </c>
      <c r="E19" s="275">
        <f>ROUND((IF('Ground Base'!E$154&gt;ROUND(((1-GroundCommDiscount11to20-GroundCommIncentive)*'Ground Base'!E14),2),ROUND('Ground Base'!E$154*(1+GroundFuelSurcharge),2),ROUND(((1-GroundCommDiscount11to20-GroundCommIncentive)*'Ground Base'!E14)*(1+GroundFuelSurcharge),2)))*(1+FedEx_Markup),2)</f>
        <v>13.7</v>
      </c>
      <c r="F19" s="275">
        <f>ROUND((IF('Ground Base'!F$154&gt;ROUND(((1-GroundCommDiscount11to20-GroundCommIncentive)*'Ground Base'!F14),2),ROUND('Ground Base'!F$154*(1+GroundFuelSurcharge),2),ROUND(((1-GroundCommDiscount11to20-GroundCommIncentive)*'Ground Base'!F14)*(1+GroundFuelSurcharge),2)))*(1+FedEx_Markup),2)</f>
        <v>14.12</v>
      </c>
      <c r="G19" s="275">
        <f>ROUND((IF('Ground Base'!G$154&gt;ROUND(((1-GroundCommDiscount11to20-GroundCommIncentive)*'Ground Base'!G14),2),ROUND('Ground Base'!G$154*(1+GroundFuelSurcharge),2),ROUND(((1-GroundCommDiscount11to20-GroundCommIncentive)*'Ground Base'!G14)*(1+GroundFuelSurcharge),2)))*(1+FedEx_Markup),2)</f>
        <v>16.74</v>
      </c>
      <c r="H19" s="275">
        <f>ROUND((IF('Ground Base'!H$154&gt;ROUND(((1-GroundCommDiscount11to20-GroundCommIncentive)*'Ground Base'!H14),2),ROUND('Ground Base'!H$154*(1+GroundFuelSurcharge),2),ROUND(((1-GroundCommDiscount11to20-GroundCommIncentive)*'Ground Base'!H14)*(1+GroundFuelSurcharge),2)))*(1+FedEx_Markup),2)</f>
        <v>18.31</v>
      </c>
      <c r="I19" s="275">
        <f>ROUND((IF('Ground Base'!I$154&gt;ROUND(((1-GroundAKHIDiscount)*'Ground Base'!I14),2),ROUND('Ground Base'!I$154*(1+GroundFuelSurcharge),2),ROUND(((1-GroundAKHIDiscount)*'Ground Base'!I14)*(1+GroundFuelSurcharge),2)))*(1+FedEx_Markup),2)</f>
        <v>90.29</v>
      </c>
      <c r="J19" s="275">
        <f>ROUND((IF('Ground Base'!J$154&gt;ROUND(((1-GroundAKHIDiscount)*'Ground Base'!J14),2),ROUND('Ground Base'!J$154*(1+GroundFuelSurcharge),2),ROUND(((1-GroundAKHIDiscount)*'Ground Base'!J14)*(1+GroundFuelSurcharge),2)))*(1+FedEx_Markup),2)</f>
        <v>90.29</v>
      </c>
      <c r="K19" s="275">
        <f>ROUND((IF('Ground Base'!K$154&gt;ROUND(((1-GroundZone51Discount)*'Ground Base'!K14),2),ROUND('Ground Base'!K$154*(1+GroundFuelSurcharge),2),ROUND(((1-GroundZone51Discount)*'Ground Base'!K14)*(1+GroundFuelSurcharge),2)))*(1+FedEx_Markup),2)</f>
        <v>31.79</v>
      </c>
      <c r="L19" s="275">
        <f>ROUND((IF('Ground Base'!L$154&gt;ROUND(((1-GroundZone54Discount)*'Ground Base'!L14),2),ROUND('Ground Base'!L$154*(1+GroundFuelSurcharge),2),ROUND(((1-GroundZone54Discount)*'Ground Base'!L14)*(1+GroundFuelSurcharge),2)))*(1+FedEx_Markup),2)</f>
        <v>38.21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274">
        <v>13.0</v>
      </c>
      <c r="B20" s="275">
        <f>ROUND((IF('Ground Base'!B$154&gt;ROUND(((1-GroundCommDiscount11to20-GroundCommIncentive)*'Ground Base'!B15),2),ROUND('Ground Base'!B$154*(1+GroundFuelSurcharge),2),ROUND(((1-GroundCommDiscount11to20-GroundCommIncentive)*'Ground Base'!B15)*(1+GroundFuelSurcharge),2)))*(1+FedEx_Markup),2)</f>
        <v>13.7</v>
      </c>
      <c r="C20" s="275">
        <f>ROUND((IF('Ground Base'!C$154&gt;ROUND(((1-GroundCommDiscount11to20-GroundCommIncentive)*'Ground Base'!C15),2),ROUND('Ground Base'!C$154*(1+GroundFuelSurcharge),2),ROUND(((1-GroundCommDiscount11to20-GroundCommIncentive)*'Ground Base'!C15)*(1+GroundFuelSurcharge),2)))*(1+FedEx_Markup),2)</f>
        <v>13.7</v>
      </c>
      <c r="D20" s="275">
        <f>ROUND((IF('Ground Base'!D$154&gt;ROUND(((1-GroundCommDiscount11to20-GroundCommIncentive)*'Ground Base'!D15),2),ROUND('Ground Base'!D$154*(1+GroundFuelSurcharge),2),ROUND(((1-GroundCommDiscount11to20-GroundCommIncentive)*'Ground Base'!D15)*(1+GroundFuelSurcharge),2)))*(1+FedEx_Markup),2)</f>
        <v>13.7</v>
      </c>
      <c r="E20" s="275">
        <f>ROUND((IF('Ground Base'!E$154&gt;ROUND(((1-GroundCommDiscount11to20-GroundCommIncentive)*'Ground Base'!E15),2),ROUND('Ground Base'!E$154*(1+GroundFuelSurcharge),2),ROUND(((1-GroundCommDiscount11to20-GroundCommIncentive)*'Ground Base'!E15)*(1+GroundFuelSurcharge),2)))*(1+FedEx_Markup),2)</f>
        <v>13.7</v>
      </c>
      <c r="F20" s="275">
        <f>ROUND((IF('Ground Base'!F$154&gt;ROUND(((1-GroundCommDiscount11to20-GroundCommIncentive)*'Ground Base'!F15),2),ROUND('Ground Base'!F$154*(1+GroundFuelSurcharge),2),ROUND(((1-GroundCommDiscount11to20-GroundCommIncentive)*'Ground Base'!F15)*(1+GroundFuelSurcharge),2)))*(1+FedEx_Markup),2)</f>
        <v>14.56</v>
      </c>
      <c r="G20" s="275">
        <f>ROUND((IF('Ground Base'!G$154&gt;ROUND(((1-GroundCommDiscount11to20-GroundCommIncentive)*'Ground Base'!G15),2),ROUND('Ground Base'!G$154*(1+GroundFuelSurcharge),2),ROUND(((1-GroundCommDiscount11to20-GroundCommIncentive)*'Ground Base'!G15)*(1+GroundFuelSurcharge),2)))*(1+FedEx_Markup),2)</f>
        <v>17.77</v>
      </c>
      <c r="H20" s="275">
        <f>ROUND((IF('Ground Base'!H$154&gt;ROUND(((1-GroundCommDiscount11to20-GroundCommIncentive)*'Ground Base'!H15),2),ROUND('Ground Base'!H$154*(1+GroundFuelSurcharge),2),ROUND(((1-GroundCommDiscount11to20-GroundCommIncentive)*'Ground Base'!H15)*(1+GroundFuelSurcharge),2)))*(1+FedEx_Markup),2)</f>
        <v>19.14</v>
      </c>
      <c r="I20" s="275">
        <f>ROUND((IF('Ground Base'!I$154&gt;ROUND(((1-GroundAKHIDiscount)*'Ground Base'!I15),2),ROUND('Ground Base'!I$154*(1+GroundFuelSurcharge),2),ROUND(((1-GroundAKHIDiscount)*'Ground Base'!I15)*(1+GroundFuelSurcharge),2)))*(1+FedEx_Markup),2)</f>
        <v>94.02</v>
      </c>
      <c r="J20" s="275">
        <f>ROUND((IF('Ground Base'!J$154&gt;ROUND(((1-GroundAKHIDiscount)*'Ground Base'!J15),2),ROUND('Ground Base'!J$154*(1+GroundFuelSurcharge),2),ROUND(((1-GroundAKHIDiscount)*'Ground Base'!J15)*(1+GroundFuelSurcharge),2)))*(1+FedEx_Markup),2)</f>
        <v>94.02</v>
      </c>
      <c r="K20" s="275">
        <f>ROUND((IF('Ground Base'!K$154&gt;ROUND(((1-GroundZone51Discount)*'Ground Base'!K15),2),ROUND('Ground Base'!K$154*(1+GroundFuelSurcharge),2),ROUND(((1-GroundZone51Discount)*'Ground Base'!K15)*(1+GroundFuelSurcharge),2)))*(1+FedEx_Markup),2)</f>
        <v>33.06</v>
      </c>
      <c r="L20" s="275">
        <f>ROUND((IF('Ground Base'!L$154&gt;ROUND(((1-GroundZone54Discount)*'Ground Base'!L15),2),ROUND('Ground Base'!L$154*(1+GroundFuelSurcharge),2),ROUND(((1-GroundZone54Discount)*'Ground Base'!L15)*(1+GroundFuelSurcharge),2)))*(1+FedEx_Markup),2)</f>
        <v>39.45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274">
        <v>14.0</v>
      </c>
      <c r="B21" s="275">
        <f>ROUND((IF('Ground Base'!B$154&gt;ROUND(((1-GroundCommDiscount11to20-GroundCommIncentive)*'Ground Base'!B16),2),ROUND('Ground Base'!B$154*(1+GroundFuelSurcharge),2),ROUND(((1-GroundCommDiscount11to20-GroundCommIncentive)*'Ground Base'!B16)*(1+GroundFuelSurcharge),2)))*(1+FedEx_Markup),2)</f>
        <v>13.7</v>
      </c>
      <c r="C21" s="275">
        <f>ROUND((IF('Ground Base'!C$154&gt;ROUND(((1-GroundCommDiscount11to20-GroundCommIncentive)*'Ground Base'!C16),2),ROUND('Ground Base'!C$154*(1+GroundFuelSurcharge),2),ROUND(((1-GroundCommDiscount11to20-GroundCommIncentive)*'Ground Base'!C16)*(1+GroundFuelSurcharge),2)))*(1+FedEx_Markup),2)</f>
        <v>13.7</v>
      </c>
      <c r="D21" s="275">
        <f>ROUND((IF('Ground Base'!D$154&gt;ROUND(((1-GroundCommDiscount11to20-GroundCommIncentive)*'Ground Base'!D16),2),ROUND('Ground Base'!D$154*(1+GroundFuelSurcharge),2),ROUND(((1-GroundCommDiscount11to20-GroundCommIncentive)*'Ground Base'!D16)*(1+GroundFuelSurcharge),2)))*(1+FedEx_Markup),2)</f>
        <v>13.7</v>
      </c>
      <c r="E21" s="275">
        <f>ROUND((IF('Ground Base'!E$154&gt;ROUND(((1-GroundCommDiscount11to20-GroundCommIncentive)*'Ground Base'!E16),2),ROUND('Ground Base'!E$154*(1+GroundFuelSurcharge),2),ROUND(((1-GroundCommDiscount11to20-GroundCommIncentive)*'Ground Base'!E16)*(1+GroundFuelSurcharge),2)))*(1+FedEx_Markup),2)</f>
        <v>13.7</v>
      </c>
      <c r="F21" s="275">
        <f>ROUND((IF('Ground Base'!F$154&gt;ROUND(((1-GroundCommDiscount11to20-GroundCommIncentive)*'Ground Base'!F16),2),ROUND('Ground Base'!F$154*(1+GroundFuelSurcharge),2),ROUND(((1-GroundCommDiscount11to20-GroundCommIncentive)*'Ground Base'!F16)*(1+GroundFuelSurcharge),2)))*(1+FedEx_Markup),2)</f>
        <v>15.42</v>
      </c>
      <c r="G21" s="275">
        <f>ROUND((IF('Ground Base'!G$154&gt;ROUND(((1-GroundCommDiscount11to20-GroundCommIncentive)*'Ground Base'!G16),2),ROUND('Ground Base'!G$154*(1+GroundFuelSurcharge),2),ROUND(((1-GroundCommDiscount11to20-GroundCommIncentive)*'Ground Base'!G16)*(1+GroundFuelSurcharge),2)))*(1+FedEx_Markup),2)</f>
        <v>19.03</v>
      </c>
      <c r="H21" s="275">
        <f>ROUND((IF('Ground Base'!H$154&gt;ROUND(((1-GroundCommDiscount11to20-GroundCommIncentive)*'Ground Base'!H16),2),ROUND('Ground Base'!H$154*(1+GroundFuelSurcharge),2),ROUND(((1-GroundCommDiscount11to20-GroundCommIncentive)*'Ground Base'!H16)*(1+GroundFuelSurcharge),2)))*(1+FedEx_Markup),2)</f>
        <v>20.8</v>
      </c>
      <c r="I21" s="275">
        <f>ROUND((IF('Ground Base'!I$154&gt;ROUND(((1-GroundAKHIDiscount)*'Ground Base'!I16),2),ROUND('Ground Base'!I$154*(1+GroundFuelSurcharge),2),ROUND(((1-GroundAKHIDiscount)*'Ground Base'!I16)*(1+GroundFuelSurcharge),2)))*(1+FedEx_Markup),2)</f>
        <v>97.92</v>
      </c>
      <c r="J21" s="275">
        <f>ROUND((IF('Ground Base'!J$154&gt;ROUND(((1-GroundAKHIDiscount)*'Ground Base'!J16),2),ROUND('Ground Base'!J$154*(1+GroundFuelSurcharge),2),ROUND(((1-GroundAKHIDiscount)*'Ground Base'!J16)*(1+GroundFuelSurcharge),2)))*(1+FedEx_Markup),2)</f>
        <v>97.92</v>
      </c>
      <c r="K21" s="275">
        <f>ROUND((IF('Ground Base'!K$154&gt;ROUND(((1-GroundZone51Discount)*'Ground Base'!K16),2),ROUND('Ground Base'!K$154*(1+GroundFuelSurcharge),2),ROUND(((1-GroundZone51Discount)*'Ground Base'!K16)*(1+GroundFuelSurcharge),2)))*(1+FedEx_Markup),2)</f>
        <v>33.07</v>
      </c>
      <c r="L21" s="275">
        <f>ROUND((IF('Ground Base'!L$154&gt;ROUND(((1-GroundZone54Discount)*'Ground Base'!L16),2),ROUND('Ground Base'!L$154*(1+GroundFuelSurcharge),2),ROUND(((1-GroundZone54Discount)*'Ground Base'!L16)*(1+GroundFuelSurcharge),2)))*(1+FedEx_Markup),2)</f>
        <v>39.46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274">
        <v>15.0</v>
      </c>
      <c r="B22" s="275">
        <f>ROUND((IF('Ground Base'!B$154&gt;ROUND(((1-GroundCommDiscount11to20-GroundCommIncentive)*'Ground Base'!B17),2),ROUND('Ground Base'!B$154*(1+GroundFuelSurcharge),2),ROUND(((1-GroundCommDiscount11to20-GroundCommIncentive)*'Ground Base'!B17)*(1+GroundFuelSurcharge),2)))*(1+FedEx_Markup),2)</f>
        <v>13.7</v>
      </c>
      <c r="C22" s="275">
        <f>ROUND((IF('Ground Base'!C$154&gt;ROUND(((1-GroundCommDiscount11to20-GroundCommIncentive)*'Ground Base'!C17),2),ROUND('Ground Base'!C$154*(1+GroundFuelSurcharge),2),ROUND(((1-GroundCommDiscount11to20-GroundCommIncentive)*'Ground Base'!C17)*(1+GroundFuelSurcharge),2)))*(1+FedEx_Markup),2)</f>
        <v>13.7</v>
      </c>
      <c r="D22" s="275">
        <f>ROUND((IF('Ground Base'!D$154&gt;ROUND(((1-GroundCommDiscount11to20-GroundCommIncentive)*'Ground Base'!D17),2),ROUND('Ground Base'!D$154*(1+GroundFuelSurcharge),2),ROUND(((1-GroundCommDiscount11to20-GroundCommIncentive)*'Ground Base'!D17)*(1+GroundFuelSurcharge),2)))*(1+FedEx_Markup),2)</f>
        <v>13.7</v>
      </c>
      <c r="E22" s="275">
        <f>ROUND((IF('Ground Base'!E$154&gt;ROUND(((1-GroundCommDiscount11to20-GroundCommIncentive)*'Ground Base'!E17),2),ROUND('Ground Base'!E$154*(1+GroundFuelSurcharge),2),ROUND(((1-GroundCommDiscount11to20-GroundCommIncentive)*'Ground Base'!E17)*(1+GroundFuelSurcharge),2)))*(1+FedEx_Markup),2)</f>
        <v>14.11</v>
      </c>
      <c r="F22" s="275">
        <f>ROUND((IF('Ground Base'!F$154&gt;ROUND(((1-GroundCommDiscount11to20-GroundCommIncentive)*'Ground Base'!F17),2),ROUND('Ground Base'!F$154*(1+GroundFuelSurcharge),2),ROUND(((1-GroundCommDiscount11to20-GroundCommIncentive)*'Ground Base'!F17)*(1+GroundFuelSurcharge),2)))*(1+FedEx_Markup),2)</f>
        <v>16.26</v>
      </c>
      <c r="G22" s="275">
        <f>ROUND((IF('Ground Base'!G$154&gt;ROUND(((1-GroundCommDiscount11to20-GroundCommIncentive)*'Ground Base'!G17),2),ROUND('Ground Base'!G$154*(1+GroundFuelSurcharge),2),ROUND(((1-GroundCommDiscount11to20-GroundCommIncentive)*'Ground Base'!G17)*(1+GroundFuelSurcharge),2)))*(1+FedEx_Markup),2)</f>
        <v>19.63</v>
      </c>
      <c r="H22" s="275">
        <f>ROUND((IF('Ground Base'!H$154&gt;ROUND(((1-GroundCommDiscount11to20-GroundCommIncentive)*'Ground Base'!H17),2),ROUND('Ground Base'!H$154*(1+GroundFuelSurcharge),2),ROUND(((1-GroundCommDiscount11to20-GroundCommIncentive)*'Ground Base'!H17)*(1+GroundFuelSurcharge),2)))*(1+FedEx_Markup),2)</f>
        <v>21.65</v>
      </c>
      <c r="I22" s="275">
        <f>ROUND((IF('Ground Base'!I$154&gt;ROUND(((1-GroundAKHIDiscount)*'Ground Base'!I17),2),ROUND('Ground Base'!I$154*(1+GroundFuelSurcharge),2),ROUND(((1-GroundAKHIDiscount)*'Ground Base'!I17)*(1+GroundFuelSurcharge),2)))*(1+FedEx_Markup),2)</f>
        <v>101.52</v>
      </c>
      <c r="J22" s="275">
        <f>ROUND((IF('Ground Base'!J$154&gt;ROUND(((1-GroundAKHIDiscount)*'Ground Base'!J17),2),ROUND('Ground Base'!J$154*(1+GroundFuelSurcharge),2),ROUND(((1-GroundAKHIDiscount)*'Ground Base'!J17)*(1+GroundFuelSurcharge),2)))*(1+FedEx_Markup),2)</f>
        <v>101.52</v>
      </c>
      <c r="K22" s="275">
        <f>ROUND((IF('Ground Base'!K$154&gt;ROUND(((1-GroundZone51Discount)*'Ground Base'!K17),2),ROUND('Ground Base'!K$154*(1+GroundFuelSurcharge),2),ROUND(((1-GroundZone51Discount)*'Ground Base'!K17)*(1+GroundFuelSurcharge),2)))*(1+FedEx_Markup),2)</f>
        <v>34.01</v>
      </c>
      <c r="L22" s="275">
        <f>ROUND((IF('Ground Base'!L$154&gt;ROUND(((1-GroundZone54Discount)*'Ground Base'!L17),2),ROUND('Ground Base'!L$154*(1+GroundFuelSurcharge),2),ROUND(((1-GroundZone54Discount)*'Ground Base'!L17)*(1+GroundFuelSurcharge),2)))*(1+FedEx_Markup),2)</f>
        <v>40.19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274">
        <v>16.0</v>
      </c>
      <c r="B23" s="275">
        <f>ROUND((IF('Ground Base'!B$154&gt;ROUND(((1-GroundCommDiscount11to20-GroundCommIncentive)*'Ground Base'!B18),2),ROUND('Ground Base'!B$154*(1+GroundFuelSurcharge),2),ROUND(((1-GroundCommDiscount11to20-GroundCommIncentive)*'Ground Base'!B18)*(1+GroundFuelSurcharge),2)))*(1+FedEx_Markup),2)</f>
        <v>13.7</v>
      </c>
      <c r="C23" s="275">
        <f>ROUND((IF('Ground Base'!C$154&gt;ROUND(((1-GroundCommDiscount11to20-GroundCommIncentive)*'Ground Base'!C18),2),ROUND('Ground Base'!C$154*(1+GroundFuelSurcharge),2),ROUND(((1-GroundCommDiscount11to20-GroundCommIncentive)*'Ground Base'!C18)*(1+GroundFuelSurcharge),2)))*(1+FedEx_Markup),2)</f>
        <v>13.7</v>
      </c>
      <c r="D23" s="275">
        <f>ROUND((IF('Ground Base'!D$154&gt;ROUND(((1-GroundCommDiscount11to20-GroundCommIncentive)*'Ground Base'!D18),2),ROUND('Ground Base'!D$154*(1+GroundFuelSurcharge),2),ROUND(((1-GroundCommDiscount11to20-GroundCommIncentive)*'Ground Base'!D18)*(1+GroundFuelSurcharge),2)))*(1+FedEx_Markup),2)</f>
        <v>13.7</v>
      </c>
      <c r="E23" s="275">
        <f>ROUND((IF('Ground Base'!E$154&gt;ROUND(((1-GroundCommDiscount11to20-GroundCommIncentive)*'Ground Base'!E18),2),ROUND('Ground Base'!E$154*(1+GroundFuelSurcharge),2),ROUND(((1-GroundCommDiscount11to20-GroundCommIncentive)*'Ground Base'!E18)*(1+GroundFuelSurcharge),2)))*(1+FedEx_Markup),2)</f>
        <v>14.35</v>
      </c>
      <c r="F23" s="275">
        <f>ROUND((IF('Ground Base'!F$154&gt;ROUND(((1-GroundCommDiscount11to20-GroundCommIncentive)*'Ground Base'!F18),2),ROUND('Ground Base'!F$154*(1+GroundFuelSurcharge),2),ROUND(((1-GroundCommDiscount11to20-GroundCommIncentive)*'Ground Base'!F18)*(1+GroundFuelSurcharge),2)))*(1+FedEx_Markup),2)</f>
        <v>16.79</v>
      </c>
      <c r="G23" s="275">
        <f>ROUND((IF('Ground Base'!G$154&gt;ROUND(((1-GroundCommDiscount11to20-GroundCommIncentive)*'Ground Base'!G18),2),ROUND('Ground Base'!G$154*(1+GroundFuelSurcharge),2),ROUND(((1-GroundCommDiscount11to20-GroundCommIncentive)*'Ground Base'!G18)*(1+GroundFuelSurcharge),2)))*(1+FedEx_Markup),2)</f>
        <v>20.67</v>
      </c>
      <c r="H23" s="275">
        <f>ROUND((IF('Ground Base'!H$154&gt;ROUND(((1-GroundCommDiscount11to20-GroundCommIncentive)*'Ground Base'!H18),2),ROUND('Ground Base'!H$154*(1+GroundFuelSurcharge),2),ROUND(((1-GroundCommDiscount11to20-GroundCommIncentive)*'Ground Base'!H18)*(1+GroundFuelSurcharge),2)))*(1+FedEx_Markup),2)</f>
        <v>22.74</v>
      </c>
      <c r="I23" s="275">
        <f>ROUND((IF('Ground Base'!I$154&gt;ROUND(((1-GroundAKHIDiscount)*'Ground Base'!I18),2),ROUND('Ground Base'!I$154*(1+GroundFuelSurcharge),2),ROUND(((1-GroundAKHIDiscount)*'Ground Base'!I18)*(1+GroundFuelSurcharge),2)))*(1+FedEx_Markup),2)</f>
        <v>106.06</v>
      </c>
      <c r="J23" s="275">
        <f>ROUND((IF('Ground Base'!J$154&gt;ROUND(((1-GroundAKHIDiscount)*'Ground Base'!J18),2),ROUND('Ground Base'!J$154*(1+GroundFuelSurcharge),2),ROUND(((1-GroundAKHIDiscount)*'Ground Base'!J18)*(1+GroundFuelSurcharge),2)))*(1+FedEx_Markup),2)</f>
        <v>106.06</v>
      </c>
      <c r="K23" s="275">
        <f>ROUND((IF('Ground Base'!K$154&gt;ROUND(((1-GroundZone51Discount)*'Ground Base'!K18),2),ROUND('Ground Base'!K$154*(1+GroundFuelSurcharge),2),ROUND(((1-GroundZone51Discount)*'Ground Base'!K18)*(1+GroundFuelSurcharge),2)))*(1+FedEx_Markup),2)</f>
        <v>35.16</v>
      </c>
      <c r="L23" s="275">
        <f>ROUND((IF('Ground Base'!L$154&gt;ROUND(((1-GroundZone54Discount)*'Ground Base'!L18),2),ROUND('Ground Base'!L$154*(1+GroundFuelSurcharge),2),ROUND(((1-GroundZone54Discount)*'Ground Base'!L18)*(1+GroundFuelSurcharge),2)))*(1+FedEx_Markup),2)</f>
        <v>41.57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74">
        <v>17.0</v>
      </c>
      <c r="B24" s="275">
        <f>ROUND((IF('Ground Base'!B$154&gt;ROUND(((1-GroundCommDiscount11to20-GroundCommIncentive)*'Ground Base'!B19),2),ROUND('Ground Base'!B$154*(1+GroundFuelSurcharge),2),ROUND(((1-GroundCommDiscount11to20-GroundCommIncentive)*'Ground Base'!B19)*(1+GroundFuelSurcharge),2)))*(1+FedEx_Markup),2)</f>
        <v>13.7</v>
      </c>
      <c r="C24" s="275">
        <f>ROUND((IF('Ground Base'!C$154&gt;ROUND(((1-GroundCommDiscount11to20-GroundCommIncentive)*'Ground Base'!C19),2),ROUND('Ground Base'!C$154*(1+GroundFuelSurcharge),2),ROUND(((1-GroundCommDiscount11to20-GroundCommIncentive)*'Ground Base'!C19)*(1+GroundFuelSurcharge),2)))*(1+FedEx_Markup),2)</f>
        <v>13.7</v>
      </c>
      <c r="D24" s="275">
        <f>ROUND((IF('Ground Base'!D$154&gt;ROUND(((1-GroundCommDiscount11to20-GroundCommIncentive)*'Ground Base'!D19),2),ROUND('Ground Base'!D$154*(1+GroundFuelSurcharge),2),ROUND(((1-GroundCommDiscount11to20-GroundCommIncentive)*'Ground Base'!D19)*(1+GroundFuelSurcharge),2)))*(1+FedEx_Markup),2)</f>
        <v>13.7</v>
      </c>
      <c r="E24" s="275">
        <f>ROUND((IF('Ground Base'!E$154&gt;ROUND(((1-GroundCommDiscount11to20-GroundCommIncentive)*'Ground Base'!E19),2),ROUND('Ground Base'!E$154*(1+GroundFuelSurcharge),2),ROUND(((1-GroundCommDiscount11to20-GroundCommIncentive)*'Ground Base'!E19)*(1+GroundFuelSurcharge),2)))*(1+FedEx_Markup),2)</f>
        <v>14.75</v>
      </c>
      <c r="F24" s="275">
        <f>ROUND((IF('Ground Base'!F$154&gt;ROUND(((1-GroundCommDiscount11to20-GroundCommIncentive)*'Ground Base'!F19),2),ROUND('Ground Base'!F$154*(1+GroundFuelSurcharge),2),ROUND(((1-GroundCommDiscount11to20-GroundCommIncentive)*'Ground Base'!F19)*(1+GroundFuelSurcharge),2)))*(1+FedEx_Markup),2)</f>
        <v>17.5</v>
      </c>
      <c r="G24" s="275">
        <f>ROUND((IF('Ground Base'!G$154&gt;ROUND(((1-GroundCommDiscount11to20-GroundCommIncentive)*'Ground Base'!G19),2),ROUND('Ground Base'!G$154*(1+GroundFuelSurcharge),2),ROUND(((1-GroundCommDiscount11to20-GroundCommIncentive)*'Ground Base'!G19)*(1+GroundFuelSurcharge),2)))*(1+FedEx_Markup),2)</f>
        <v>21.72</v>
      </c>
      <c r="H24" s="275">
        <f>ROUND((IF('Ground Base'!H$154&gt;ROUND(((1-GroundCommDiscount11to20-GroundCommIncentive)*'Ground Base'!H19),2),ROUND('Ground Base'!H$154*(1+GroundFuelSurcharge),2),ROUND(((1-GroundCommDiscount11to20-GroundCommIncentive)*'Ground Base'!H19)*(1+GroundFuelSurcharge),2)))*(1+FedEx_Markup),2)</f>
        <v>22.75</v>
      </c>
      <c r="I24" s="275">
        <f>ROUND((IF('Ground Base'!I$154&gt;ROUND(((1-GroundAKHIDiscount)*'Ground Base'!I19),2),ROUND('Ground Base'!I$154*(1+GroundFuelSurcharge),2),ROUND(((1-GroundAKHIDiscount)*'Ground Base'!I19)*(1+GroundFuelSurcharge),2)))*(1+FedEx_Markup),2)</f>
        <v>110.58</v>
      </c>
      <c r="J24" s="275">
        <f>ROUND((IF('Ground Base'!J$154&gt;ROUND(((1-GroundAKHIDiscount)*'Ground Base'!J19),2),ROUND('Ground Base'!J$154*(1+GroundFuelSurcharge),2),ROUND(((1-GroundAKHIDiscount)*'Ground Base'!J19)*(1+GroundFuelSurcharge),2)))*(1+FedEx_Markup),2)</f>
        <v>110.58</v>
      </c>
      <c r="K24" s="275">
        <f>ROUND((IF('Ground Base'!K$154&gt;ROUND(((1-GroundZone51Discount)*'Ground Base'!K19),2),ROUND('Ground Base'!K$154*(1+GroundFuelSurcharge),2),ROUND(((1-GroundZone51Discount)*'Ground Base'!K19)*(1+GroundFuelSurcharge),2)))*(1+FedEx_Markup),2)</f>
        <v>36.09</v>
      </c>
      <c r="L24" s="275">
        <f>ROUND((IF('Ground Base'!L$154&gt;ROUND(((1-GroundZone54Discount)*'Ground Base'!L19),2),ROUND('Ground Base'!L$154*(1+GroundFuelSurcharge),2),ROUND(((1-GroundZone54Discount)*'Ground Base'!L19)*(1+GroundFuelSurcharge),2)))*(1+FedEx_Markup),2)</f>
        <v>42.75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74">
        <v>18.0</v>
      </c>
      <c r="B25" s="275">
        <f>ROUND((IF('Ground Base'!B$154&gt;ROUND(((1-GroundCommDiscount11to20-GroundCommIncentive)*'Ground Base'!B20),2),ROUND('Ground Base'!B$154*(1+GroundFuelSurcharge),2),ROUND(((1-GroundCommDiscount11to20-GroundCommIncentive)*'Ground Base'!B20)*(1+GroundFuelSurcharge),2)))*(1+FedEx_Markup),2)</f>
        <v>13.7</v>
      </c>
      <c r="C25" s="275">
        <f>ROUND((IF('Ground Base'!C$154&gt;ROUND(((1-GroundCommDiscount11to20-GroundCommIncentive)*'Ground Base'!C20),2),ROUND('Ground Base'!C$154*(1+GroundFuelSurcharge),2),ROUND(((1-GroundCommDiscount11to20-GroundCommIncentive)*'Ground Base'!C20)*(1+GroundFuelSurcharge),2)))*(1+FedEx_Markup),2)</f>
        <v>13.7</v>
      </c>
      <c r="D25" s="275">
        <f>ROUND((IF('Ground Base'!D$154&gt;ROUND(((1-GroundCommDiscount11to20-GroundCommIncentive)*'Ground Base'!D20),2),ROUND('Ground Base'!D$154*(1+GroundFuelSurcharge),2),ROUND(((1-GroundCommDiscount11to20-GroundCommIncentive)*'Ground Base'!D20)*(1+GroundFuelSurcharge),2)))*(1+FedEx_Markup),2)</f>
        <v>13.7</v>
      </c>
      <c r="E25" s="275">
        <f>ROUND((IF('Ground Base'!E$154&gt;ROUND(((1-GroundCommDiscount11to20-GroundCommIncentive)*'Ground Base'!E20),2),ROUND('Ground Base'!E$154*(1+GroundFuelSurcharge),2),ROUND(((1-GroundCommDiscount11to20-GroundCommIncentive)*'Ground Base'!E20)*(1+GroundFuelSurcharge),2)))*(1+FedEx_Markup),2)</f>
        <v>15.47</v>
      </c>
      <c r="F25" s="275">
        <f>ROUND((IF('Ground Base'!F$154&gt;ROUND(((1-GroundCommDiscount11to20-GroundCommIncentive)*'Ground Base'!F20),2),ROUND('Ground Base'!F$154*(1+GroundFuelSurcharge),2),ROUND(((1-GroundCommDiscount11to20-GroundCommIncentive)*'Ground Base'!F20)*(1+GroundFuelSurcharge),2)))*(1+FedEx_Markup),2)</f>
        <v>18.42</v>
      </c>
      <c r="G25" s="275">
        <f>ROUND((IF('Ground Base'!G$154&gt;ROUND(((1-GroundCommDiscount11to20-GroundCommIncentive)*'Ground Base'!G20),2),ROUND('Ground Base'!G$154*(1+GroundFuelSurcharge),2),ROUND(((1-GroundCommDiscount11to20-GroundCommIncentive)*'Ground Base'!G20)*(1+GroundFuelSurcharge),2)))*(1+FedEx_Markup),2)</f>
        <v>22.37</v>
      </c>
      <c r="H25" s="275">
        <f>ROUND((IF('Ground Base'!H$154&gt;ROUND(((1-GroundCommDiscount11to20-GroundCommIncentive)*'Ground Base'!H20),2),ROUND('Ground Base'!H$154*(1+GroundFuelSurcharge),2),ROUND(((1-GroundCommDiscount11to20-GroundCommIncentive)*'Ground Base'!H20)*(1+GroundFuelSurcharge),2)))*(1+FedEx_Markup),2)</f>
        <v>24.52</v>
      </c>
      <c r="I25" s="275">
        <f>ROUND((IF('Ground Base'!I$154&gt;ROUND(((1-GroundAKHIDiscount)*'Ground Base'!I20),2),ROUND('Ground Base'!I$154*(1+GroundFuelSurcharge),2),ROUND(((1-GroundAKHIDiscount)*'Ground Base'!I20)*(1+GroundFuelSurcharge),2)))*(1+FedEx_Markup),2)</f>
        <v>115.16</v>
      </c>
      <c r="J25" s="275">
        <f>ROUND((IF('Ground Base'!J$154&gt;ROUND(((1-GroundAKHIDiscount)*'Ground Base'!J20),2),ROUND('Ground Base'!J$154*(1+GroundFuelSurcharge),2),ROUND(((1-GroundAKHIDiscount)*'Ground Base'!J20)*(1+GroundFuelSurcharge),2)))*(1+FedEx_Markup),2)</f>
        <v>115.16</v>
      </c>
      <c r="K25" s="275">
        <f>ROUND((IF('Ground Base'!K$154&gt;ROUND(((1-GroundZone51Discount)*'Ground Base'!K20),2),ROUND('Ground Base'!K$154*(1+GroundFuelSurcharge),2),ROUND(((1-GroundZone51Discount)*'Ground Base'!K20)*(1+GroundFuelSurcharge),2)))*(1+FedEx_Markup),2)</f>
        <v>37.38</v>
      </c>
      <c r="L25" s="275">
        <f>ROUND((IF('Ground Base'!L$154&gt;ROUND(((1-GroundZone54Discount)*'Ground Base'!L20),2),ROUND('Ground Base'!L$154*(1+GroundFuelSurcharge),2),ROUND(((1-GroundZone54Discount)*'Ground Base'!L20)*(1+GroundFuelSurcharge),2)))*(1+FedEx_Markup),2)</f>
        <v>44.02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74">
        <v>19.0</v>
      </c>
      <c r="B26" s="275">
        <f>ROUND((IF('Ground Base'!B$154&gt;ROUND(((1-GroundCommDiscount11to20-GroundCommIncentive)*'Ground Base'!B21),2),ROUND('Ground Base'!B$154*(1+GroundFuelSurcharge),2),ROUND(((1-GroundCommDiscount11to20-GroundCommIncentive)*'Ground Base'!B21)*(1+GroundFuelSurcharge),2)))*(1+FedEx_Markup),2)</f>
        <v>13.7</v>
      </c>
      <c r="C26" s="275">
        <f>ROUND((IF('Ground Base'!C$154&gt;ROUND(((1-GroundCommDiscount11to20-GroundCommIncentive)*'Ground Base'!C21),2),ROUND('Ground Base'!C$154*(1+GroundFuelSurcharge),2),ROUND(((1-GroundCommDiscount11to20-GroundCommIncentive)*'Ground Base'!C21)*(1+GroundFuelSurcharge),2)))*(1+FedEx_Markup),2)</f>
        <v>13.7</v>
      </c>
      <c r="D26" s="275">
        <f>ROUND((IF('Ground Base'!D$154&gt;ROUND(((1-GroundCommDiscount11to20-GroundCommIncentive)*'Ground Base'!D21),2),ROUND('Ground Base'!D$154*(1+GroundFuelSurcharge),2),ROUND(((1-GroundCommDiscount11to20-GroundCommIncentive)*'Ground Base'!D21)*(1+GroundFuelSurcharge),2)))*(1+FedEx_Markup),2)</f>
        <v>13.7</v>
      </c>
      <c r="E26" s="275">
        <f>ROUND((IF('Ground Base'!E$154&gt;ROUND(((1-GroundCommDiscount11to20-GroundCommIncentive)*'Ground Base'!E21),2),ROUND('Ground Base'!E$154*(1+GroundFuelSurcharge),2),ROUND(((1-GroundCommDiscount11to20-GroundCommIncentive)*'Ground Base'!E21)*(1+GroundFuelSurcharge),2)))*(1+FedEx_Markup),2)</f>
        <v>16.19</v>
      </c>
      <c r="F26" s="275">
        <f>ROUND((IF('Ground Base'!F$154&gt;ROUND(((1-GroundCommDiscount11to20-GroundCommIncentive)*'Ground Base'!F21),2),ROUND('Ground Base'!F$154*(1+GroundFuelSurcharge),2),ROUND(((1-GroundCommDiscount11to20-GroundCommIncentive)*'Ground Base'!F21)*(1+GroundFuelSurcharge),2)))*(1+FedEx_Markup),2)</f>
        <v>18.96</v>
      </c>
      <c r="G26" s="275">
        <f>ROUND((IF('Ground Base'!G$154&gt;ROUND(((1-GroundCommDiscount11to20-GroundCommIncentive)*'Ground Base'!G21),2),ROUND('Ground Base'!G$154*(1+GroundFuelSurcharge),2),ROUND(((1-GroundCommDiscount11to20-GroundCommIncentive)*'Ground Base'!G21)*(1+GroundFuelSurcharge),2)))*(1+FedEx_Markup),2)</f>
        <v>23.05</v>
      </c>
      <c r="H26" s="275">
        <f>ROUND((IF('Ground Base'!H$154&gt;ROUND(((1-GroundCommDiscount11to20-GroundCommIncentive)*'Ground Base'!H21),2),ROUND('Ground Base'!H$154*(1+GroundFuelSurcharge),2),ROUND(((1-GroundCommDiscount11to20-GroundCommIncentive)*'Ground Base'!H21)*(1+GroundFuelSurcharge),2)))*(1+FedEx_Markup),2)</f>
        <v>25.69</v>
      </c>
      <c r="I26" s="275">
        <f>ROUND((IF('Ground Base'!I$154&gt;ROUND(((1-GroundAKHIDiscount)*'Ground Base'!I21),2),ROUND('Ground Base'!I$154*(1+GroundFuelSurcharge),2),ROUND(((1-GroundAKHIDiscount)*'Ground Base'!I21)*(1+GroundFuelSurcharge),2)))*(1+FedEx_Markup),2)</f>
        <v>119.7</v>
      </c>
      <c r="J26" s="275">
        <f>ROUND((IF('Ground Base'!J$154&gt;ROUND(((1-GroundAKHIDiscount)*'Ground Base'!J21),2),ROUND('Ground Base'!J$154*(1+GroundFuelSurcharge),2),ROUND(((1-GroundAKHIDiscount)*'Ground Base'!J21)*(1+GroundFuelSurcharge),2)))*(1+FedEx_Markup),2)</f>
        <v>119.7</v>
      </c>
      <c r="K26" s="275">
        <f>ROUND((IF('Ground Base'!K$154&gt;ROUND(((1-GroundZone51Discount)*'Ground Base'!K21),2),ROUND('Ground Base'!K$154*(1+GroundFuelSurcharge),2),ROUND(((1-GroundZone51Discount)*'Ground Base'!K21)*(1+GroundFuelSurcharge),2)))*(1+FedEx_Markup),2)</f>
        <v>38.54</v>
      </c>
      <c r="L26" s="275">
        <f>ROUND((IF('Ground Base'!L$154&gt;ROUND(((1-GroundZone54Discount)*'Ground Base'!L21),2),ROUND('Ground Base'!L$154*(1+GroundFuelSurcharge),2),ROUND(((1-GroundZone54Discount)*'Ground Base'!L21)*(1+GroundFuelSurcharge),2)))*(1+FedEx_Markup),2)</f>
        <v>45.31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74">
        <v>20.0</v>
      </c>
      <c r="B27" s="275">
        <f>ROUND((IF('Ground Base'!B$154&gt;ROUND(((1-GroundCommDiscount11to20-GroundCommIncentive)*'Ground Base'!B22),2),ROUND('Ground Base'!B$154*(1+GroundFuelSurcharge),2),ROUND(((1-GroundCommDiscount11to20-GroundCommIncentive)*'Ground Base'!B22)*(1+GroundFuelSurcharge),2)))*(1+FedEx_Markup),2)</f>
        <v>13.7</v>
      </c>
      <c r="C27" s="275">
        <f>ROUND((IF('Ground Base'!C$154&gt;ROUND(((1-GroundCommDiscount11to20-GroundCommIncentive)*'Ground Base'!C22),2),ROUND('Ground Base'!C$154*(1+GroundFuelSurcharge),2),ROUND(((1-GroundCommDiscount11to20-GroundCommIncentive)*'Ground Base'!C22)*(1+GroundFuelSurcharge),2)))*(1+FedEx_Markup),2)</f>
        <v>13.7</v>
      </c>
      <c r="D27" s="275">
        <f>ROUND((IF('Ground Base'!D$154&gt;ROUND(((1-GroundCommDiscount11to20-GroundCommIncentive)*'Ground Base'!D22),2),ROUND('Ground Base'!D$154*(1+GroundFuelSurcharge),2),ROUND(((1-GroundCommDiscount11to20-GroundCommIncentive)*'Ground Base'!D22)*(1+GroundFuelSurcharge),2)))*(1+FedEx_Markup),2)</f>
        <v>13.7</v>
      </c>
      <c r="E27" s="275">
        <f>ROUND((IF('Ground Base'!E$154&gt;ROUND(((1-GroundCommDiscount11to20-GroundCommIncentive)*'Ground Base'!E22),2),ROUND('Ground Base'!E$154*(1+GroundFuelSurcharge),2),ROUND(((1-GroundCommDiscount11to20-GroundCommIncentive)*'Ground Base'!E22)*(1+GroundFuelSurcharge),2)))*(1+FedEx_Markup),2)</f>
        <v>16.84</v>
      </c>
      <c r="F27" s="275">
        <f>ROUND((IF('Ground Base'!F$154&gt;ROUND(((1-GroundCommDiscount11to20-GroundCommIncentive)*'Ground Base'!F22),2),ROUND('Ground Base'!F$154*(1+GroundFuelSurcharge),2),ROUND(((1-GroundCommDiscount11to20-GroundCommIncentive)*'Ground Base'!F22)*(1+GroundFuelSurcharge),2)))*(1+FedEx_Markup),2)</f>
        <v>19.61</v>
      </c>
      <c r="G27" s="275">
        <f>ROUND((IF('Ground Base'!G$154&gt;ROUND(((1-GroundCommDiscount11to20-GroundCommIncentive)*'Ground Base'!G22),2),ROUND('Ground Base'!G$154*(1+GroundFuelSurcharge),2),ROUND(((1-GroundCommDiscount11to20-GroundCommIncentive)*'Ground Base'!G22)*(1+GroundFuelSurcharge),2)))*(1+FedEx_Markup),2)</f>
        <v>23.91</v>
      </c>
      <c r="H27" s="275">
        <f>ROUND((IF('Ground Base'!H$154&gt;ROUND(((1-GroundCommDiscount11to20-GroundCommIncentive)*'Ground Base'!H22),2),ROUND('Ground Base'!H$154*(1+GroundFuelSurcharge),2),ROUND(((1-GroundCommDiscount11to20-GroundCommIncentive)*'Ground Base'!H22)*(1+GroundFuelSurcharge),2)))*(1+FedEx_Markup),2)</f>
        <v>26.62</v>
      </c>
      <c r="I27" s="275">
        <f>ROUND((IF('Ground Base'!I$154&gt;ROUND(((1-GroundAKHIDiscount)*'Ground Base'!I22),2),ROUND('Ground Base'!I$154*(1+GroundFuelSurcharge),2),ROUND(((1-GroundAKHIDiscount)*'Ground Base'!I22)*(1+GroundFuelSurcharge),2)))*(1+FedEx_Markup),2)</f>
        <v>123.71</v>
      </c>
      <c r="J27" s="275">
        <f>ROUND((IF('Ground Base'!J$154&gt;ROUND(((1-GroundAKHIDiscount)*'Ground Base'!J22),2),ROUND('Ground Base'!J$154*(1+GroundFuelSurcharge),2),ROUND(((1-GroundAKHIDiscount)*'Ground Base'!J22)*(1+GroundFuelSurcharge),2)))*(1+FedEx_Markup),2)</f>
        <v>123.71</v>
      </c>
      <c r="K27" s="275">
        <f>ROUND((IF('Ground Base'!K$154&gt;ROUND(((1-GroundZone51Discount)*'Ground Base'!K22),2),ROUND('Ground Base'!K$154*(1+GroundFuelSurcharge),2),ROUND(((1-GroundZone51Discount)*'Ground Base'!K22)*(1+GroundFuelSurcharge),2)))*(1+FedEx_Markup),2)</f>
        <v>39.5</v>
      </c>
      <c r="L27" s="275">
        <f>ROUND((IF('Ground Base'!L$154&gt;ROUND(((1-GroundZone54Discount)*'Ground Base'!L22),2),ROUND('Ground Base'!L$154*(1+GroundFuelSurcharge),2),ROUND(((1-GroundZone54Discount)*'Ground Base'!L22)*(1+GroundFuelSurcharge),2)))*(1+FedEx_Markup),2)</f>
        <v>46.53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74">
        <v>21.0</v>
      </c>
      <c r="B28" s="275">
        <f>ROUND((IF('Ground Base'!B$154&gt;ROUND(((1-GroundCommDiscount21to30-GroundCommIncentive)*'Ground Base'!B23),2),ROUND('Ground Base'!B$154*(1+GroundFuelSurcharge),2),ROUND(((1-GroundCommDiscount21to30-GroundCommIncentive)*'Ground Base'!B23)*(1+GroundFuelSurcharge),2)))*(1+FedEx_Markup),2)</f>
        <v>13.7</v>
      </c>
      <c r="C28" s="275">
        <f>ROUND((IF('Ground Base'!C$154&gt;ROUND(((1-GroundCommDiscount21to30-GroundCommIncentive)*'Ground Base'!C23),2),ROUND('Ground Base'!C$154*(1+GroundFuelSurcharge),2),ROUND(((1-GroundCommDiscount21to30-GroundCommIncentive)*'Ground Base'!C23)*(1+GroundFuelSurcharge),2)))*(1+FedEx_Markup),2)</f>
        <v>13.7</v>
      </c>
      <c r="D28" s="275">
        <f>ROUND((IF('Ground Base'!D$154&gt;ROUND(((1-GroundCommDiscount21to30-GroundCommIncentive)*'Ground Base'!D23),2),ROUND('Ground Base'!D$154*(1+GroundFuelSurcharge),2),ROUND(((1-GroundCommDiscount21to30-GroundCommIncentive)*'Ground Base'!D23)*(1+GroundFuelSurcharge),2)))*(1+FedEx_Markup),2)</f>
        <v>13.7</v>
      </c>
      <c r="E28" s="275">
        <f>ROUND((IF('Ground Base'!E$154&gt;ROUND(((1-GroundCommDiscount21to30-GroundCommIncentive)*'Ground Base'!E23),2),ROUND('Ground Base'!E$154*(1+GroundFuelSurcharge),2),ROUND(((1-GroundCommDiscount21to30-GroundCommIncentive)*'Ground Base'!E23)*(1+GroundFuelSurcharge),2)))*(1+FedEx_Markup),2)</f>
        <v>14.9</v>
      </c>
      <c r="F28" s="275">
        <f>ROUND((IF('Ground Base'!F$154&gt;ROUND(((1-GroundCommDiscount21to30-GroundCommIncentive)*'Ground Base'!F23),2),ROUND('Ground Base'!F$154*(1+GroundFuelSurcharge),2),ROUND(((1-GroundCommDiscount21to30-GroundCommIncentive)*'Ground Base'!F23)*(1+GroundFuelSurcharge),2)))*(1+FedEx_Markup),2)</f>
        <v>17.7</v>
      </c>
      <c r="G28" s="275">
        <f>ROUND((IF('Ground Base'!G$154&gt;ROUND(((1-GroundCommDiscount21to30-GroundCommIncentive)*'Ground Base'!G23),2),ROUND('Ground Base'!G$154*(1+GroundFuelSurcharge),2),ROUND(((1-GroundCommDiscount21to30-GroundCommIncentive)*'Ground Base'!G23)*(1+GroundFuelSurcharge),2)))*(1+FedEx_Markup),2)</f>
        <v>21.49</v>
      </c>
      <c r="H28" s="275">
        <f>ROUND((IF('Ground Base'!H$154&gt;ROUND(((1-GroundCommDiscount21to30-GroundCommIncentive)*'Ground Base'!H23),2),ROUND('Ground Base'!H$154*(1+GroundFuelSurcharge),2),ROUND(((1-GroundCommDiscount21to30-GroundCommIncentive)*'Ground Base'!H23)*(1+GroundFuelSurcharge),2)))*(1+FedEx_Markup),2)</f>
        <v>24.01</v>
      </c>
      <c r="I28" s="275">
        <f>ROUND((IF('Ground Base'!I$154&gt;ROUND(((1-GroundAKHIDiscount)*'Ground Base'!I23),2),ROUND('Ground Base'!I$154*(1+GroundFuelSurcharge),2),ROUND(((1-GroundAKHIDiscount)*'Ground Base'!I23)*(1+GroundFuelSurcharge),2)))*(1+FedEx_Markup),2)</f>
        <v>126.53</v>
      </c>
      <c r="J28" s="275">
        <f>ROUND((IF('Ground Base'!J$154&gt;ROUND(((1-GroundAKHIDiscount)*'Ground Base'!J23),2),ROUND('Ground Base'!J$154*(1+GroundFuelSurcharge),2),ROUND(((1-GroundAKHIDiscount)*'Ground Base'!J23)*(1+GroundFuelSurcharge),2)))*(1+FedEx_Markup),2)</f>
        <v>126.53</v>
      </c>
      <c r="K28" s="275">
        <f>ROUND((IF('Ground Base'!K$154&gt;ROUND(((1-GroundZone51Discount)*'Ground Base'!K23),2),ROUND('Ground Base'!K$154*(1+GroundFuelSurcharge),2),ROUND(((1-GroundZone51Discount)*'Ground Base'!K23)*(1+GroundFuelSurcharge),2)))*(1+FedEx_Markup),2)</f>
        <v>40.37</v>
      </c>
      <c r="L28" s="275">
        <f>ROUND((IF('Ground Base'!L$154&gt;ROUND(((1-GroundZone54Discount)*'Ground Base'!L23),2),ROUND('Ground Base'!L$154*(1+GroundFuelSurcharge),2),ROUND(((1-GroundZone54Discount)*'Ground Base'!L23)*(1+GroundFuelSurcharge),2)))*(1+FedEx_Markup),2)</f>
        <v>47.73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74">
        <v>22.0</v>
      </c>
      <c r="B29" s="275">
        <f>ROUND((IF('Ground Base'!B$154&gt;ROUND(((1-GroundCommDiscount21to30-GroundCommIncentive)*'Ground Base'!B24),2),ROUND('Ground Base'!B$154*(1+GroundFuelSurcharge),2),ROUND(((1-GroundCommDiscount21to30-GroundCommIncentive)*'Ground Base'!B24)*(1+GroundFuelSurcharge),2)))*(1+FedEx_Markup),2)</f>
        <v>13.7</v>
      </c>
      <c r="C29" s="275">
        <f>ROUND((IF('Ground Base'!C$154&gt;ROUND(((1-GroundCommDiscount21to30-GroundCommIncentive)*'Ground Base'!C24),2),ROUND('Ground Base'!C$154*(1+GroundFuelSurcharge),2),ROUND(((1-GroundCommDiscount21to30-GroundCommIncentive)*'Ground Base'!C24)*(1+GroundFuelSurcharge),2)))*(1+FedEx_Markup),2)</f>
        <v>13.7</v>
      </c>
      <c r="D29" s="275">
        <f>ROUND((IF('Ground Base'!D$154&gt;ROUND(((1-GroundCommDiscount21to30-GroundCommIncentive)*'Ground Base'!D24),2),ROUND('Ground Base'!D$154*(1+GroundFuelSurcharge),2),ROUND(((1-GroundCommDiscount21to30-GroundCommIncentive)*'Ground Base'!D24)*(1+GroundFuelSurcharge),2)))*(1+FedEx_Markup),2)</f>
        <v>13.7</v>
      </c>
      <c r="E29" s="275">
        <f>ROUND((IF('Ground Base'!E$154&gt;ROUND(((1-GroundCommDiscount21to30-GroundCommIncentive)*'Ground Base'!E24),2),ROUND('Ground Base'!E$154*(1+GroundFuelSurcharge),2),ROUND(((1-GroundCommDiscount21to30-GroundCommIncentive)*'Ground Base'!E24)*(1+GroundFuelSurcharge),2)))*(1+FedEx_Markup),2)</f>
        <v>15.32</v>
      </c>
      <c r="F29" s="275">
        <f>ROUND((IF('Ground Base'!F$154&gt;ROUND(((1-GroundCommDiscount21to30-GroundCommIncentive)*'Ground Base'!F24),2),ROUND('Ground Base'!F$154*(1+GroundFuelSurcharge),2),ROUND(((1-GroundCommDiscount21to30-GroundCommIncentive)*'Ground Base'!F24)*(1+GroundFuelSurcharge),2)))*(1+FedEx_Markup),2)</f>
        <v>18.41</v>
      </c>
      <c r="G29" s="275">
        <f>ROUND((IF('Ground Base'!G$154&gt;ROUND(((1-GroundCommDiscount21to30-GroundCommIncentive)*'Ground Base'!G24),2),ROUND('Ground Base'!G$154*(1+GroundFuelSurcharge),2),ROUND(((1-GroundCommDiscount21to30-GroundCommIncentive)*'Ground Base'!G24)*(1+GroundFuelSurcharge),2)))*(1+FedEx_Markup),2)</f>
        <v>22.29</v>
      </c>
      <c r="H29" s="275">
        <f>ROUND((IF('Ground Base'!H$154&gt;ROUND(((1-GroundCommDiscount21to30-GroundCommIncentive)*'Ground Base'!H24),2),ROUND('Ground Base'!H$154*(1+GroundFuelSurcharge),2),ROUND(((1-GroundCommDiscount21to30-GroundCommIncentive)*'Ground Base'!H24)*(1+GroundFuelSurcharge),2)))*(1+FedEx_Markup),2)</f>
        <v>25.07</v>
      </c>
      <c r="I29" s="275">
        <f>ROUND((IF('Ground Base'!I$154&gt;ROUND(((1-GroundAKHIDiscount)*'Ground Base'!I24),2),ROUND('Ground Base'!I$154*(1+GroundFuelSurcharge),2),ROUND(((1-GroundAKHIDiscount)*'Ground Base'!I24)*(1+GroundFuelSurcharge),2)))*(1+FedEx_Markup),2)</f>
        <v>130.5</v>
      </c>
      <c r="J29" s="275">
        <f>ROUND((IF('Ground Base'!J$154&gt;ROUND(((1-GroundAKHIDiscount)*'Ground Base'!J24),2),ROUND('Ground Base'!J$154*(1+GroundFuelSurcharge),2),ROUND(((1-GroundAKHIDiscount)*'Ground Base'!J24)*(1+GroundFuelSurcharge),2)))*(1+FedEx_Markup),2)</f>
        <v>130.5</v>
      </c>
      <c r="K29" s="275">
        <f>ROUND((IF('Ground Base'!K$154&gt;ROUND(((1-GroundZone51Discount)*'Ground Base'!K24),2),ROUND('Ground Base'!K$154*(1+GroundFuelSurcharge),2),ROUND(((1-GroundZone51Discount)*'Ground Base'!K24)*(1+GroundFuelSurcharge),2)))*(1+FedEx_Markup),2)</f>
        <v>41.6</v>
      </c>
      <c r="L29" s="275">
        <f>ROUND((IF('Ground Base'!L$154&gt;ROUND(((1-GroundZone54Discount)*'Ground Base'!L24),2),ROUND('Ground Base'!L$154*(1+GroundFuelSurcharge),2),ROUND(((1-GroundZone54Discount)*'Ground Base'!L24)*(1+GroundFuelSurcharge),2)))*(1+FedEx_Markup),2)</f>
        <v>49.11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74">
        <v>23.0</v>
      </c>
      <c r="B30" s="275">
        <f>ROUND((IF('Ground Base'!B$154&gt;ROUND(((1-GroundCommDiscount21to30-GroundCommIncentive)*'Ground Base'!B25),2),ROUND('Ground Base'!B$154*(1+GroundFuelSurcharge),2),ROUND(((1-GroundCommDiscount21to30-GroundCommIncentive)*'Ground Base'!B25)*(1+GroundFuelSurcharge),2)))*(1+FedEx_Markup),2)</f>
        <v>13.7</v>
      </c>
      <c r="C30" s="275">
        <f>ROUND((IF('Ground Base'!C$154&gt;ROUND(((1-GroundCommDiscount21to30-GroundCommIncentive)*'Ground Base'!C25),2),ROUND('Ground Base'!C$154*(1+GroundFuelSurcharge),2),ROUND(((1-GroundCommDiscount21to30-GroundCommIncentive)*'Ground Base'!C25)*(1+GroundFuelSurcharge),2)))*(1+FedEx_Markup),2)</f>
        <v>13.7</v>
      </c>
      <c r="D30" s="275">
        <f>ROUND((IF('Ground Base'!D$154&gt;ROUND(((1-GroundCommDiscount21to30-GroundCommIncentive)*'Ground Base'!D25),2),ROUND('Ground Base'!D$154*(1+GroundFuelSurcharge),2),ROUND(((1-GroundCommDiscount21to30-GroundCommIncentive)*'Ground Base'!D25)*(1+GroundFuelSurcharge),2)))*(1+FedEx_Markup),2)</f>
        <v>13.7</v>
      </c>
      <c r="E30" s="275">
        <f>ROUND((IF('Ground Base'!E$154&gt;ROUND(((1-GroundCommDiscount21to30-GroundCommIncentive)*'Ground Base'!E25),2),ROUND('Ground Base'!E$154*(1+GroundFuelSurcharge),2),ROUND(((1-GroundCommDiscount21to30-GroundCommIncentive)*'Ground Base'!E25)*(1+GroundFuelSurcharge),2)))*(1+FedEx_Markup),2)</f>
        <v>15.59</v>
      </c>
      <c r="F30" s="275">
        <f>ROUND((IF('Ground Base'!F$154&gt;ROUND(((1-GroundCommDiscount21to30-GroundCommIncentive)*'Ground Base'!F25),2),ROUND('Ground Base'!F$154*(1+GroundFuelSurcharge),2),ROUND(((1-GroundCommDiscount21to30-GroundCommIncentive)*'Ground Base'!F25)*(1+GroundFuelSurcharge),2)))*(1+FedEx_Markup),2)</f>
        <v>19.11</v>
      </c>
      <c r="G30" s="275">
        <f>ROUND((IF('Ground Base'!G$154&gt;ROUND(((1-GroundCommDiscount21to30-GroundCommIncentive)*'Ground Base'!G25),2),ROUND('Ground Base'!G$154*(1+GroundFuelSurcharge),2),ROUND(((1-GroundCommDiscount21to30-GroundCommIncentive)*'Ground Base'!G25)*(1+GroundFuelSurcharge),2)))*(1+FedEx_Markup),2)</f>
        <v>22.83</v>
      </c>
      <c r="H30" s="275">
        <f>ROUND((IF('Ground Base'!H$154&gt;ROUND(((1-GroundCommDiscount21to30-GroundCommIncentive)*'Ground Base'!H25),2),ROUND('Ground Base'!H$154*(1+GroundFuelSurcharge),2),ROUND(((1-GroundCommDiscount21to30-GroundCommIncentive)*'Ground Base'!H25)*(1+GroundFuelSurcharge),2)))*(1+FedEx_Markup),2)</f>
        <v>26.06</v>
      </c>
      <c r="I30" s="275">
        <f>ROUND((IF('Ground Base'!I$154&gt;ROUND(((1-GroundAKHIDiscount)*'Ground Base'!I25),2),ROUND('Ground Base'!I$154*(1+GroundFuelSurcharge),2),ROUND(((1-GroundAKHIDiscount)*'Ground Base'!I25)*(1+GroundFuelSurcharge),2)))*(1+FedEx_Markup),2)</f>
        <v>134.44</v>
      </c>
      <c r="J30" s="275">
        <f>ROUND((IF('Ground Base'!J$154&gt;ROUND(((1-GroundAKHIDiscount)*'Ground Base'!J25),2),ROUND('Ground Base'!J$154*(1+GroundFuelSurcharge),2),ROUND(((1-GroundAKHIDiscount)*'Ground Base'!J25)*(1+GroundFuelSurcharge),2)))*(1+FedEx_Markup),2)</f>
        <v>134.44</v>
      </c>
      <c r="K30" s="275">
        <f>ROUND((IF('Ground Base'!K$154&gt;ROUND(((1-GroundZone51Discount)*'Ground Base'!K25),2),ROUND('Ground Base'!K$154*(1+GroundFuelSurcharge),2),ROUND(((1-GroundZone51Discount)*'Ground Base'!K25)*(1+GroundFuelSurcharge),2)))*(1+FedEx_Markup),2)</f>
        <v>42.62</v>
      </c>
      <c r="L30" s="275">
        <f>ROUND((IF('Ground Base'!L$154&gt;ROUND(((1-GroundZone54Discount)*'Ground Base'!L25),2),ROUND('Ground Base'!L$154*(1+GroundFuelSurcharge),2),ROUND(((1-GroundZone54Discount)*'Ground Base'!L25)*(1+GroundFuelSurcharge),2)))*(1+FedEx_Markup),2)</f>
        <v>50.32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74">
        <v>24.0</v>
      </c>
      <c r="B31" s="275">
        <f>ROUND((IF('Ground Base'!B$154&gt;ROUND(((1-GroundCommDiscount21to30-GroundCommIncentive)*'Ground Base'!B26),2),ROUND('Ground Base'!B$154*(1+GroundFuelSurcharge),2),ROUND(((1-GroundCommDiscount21to30-GroundCommIncentive)*'Ground Base'!B26)*(1+GroundFuelSurcharge),2)))*(1+FedEx_Markup),2)</f>
        <v>13.7</v>
      </c>
      <c r="C31" s="275">
        <f>ROUND((IF('Ground Base'!C$154&gt;ROUND(((1-GroundCommDiscount21to30-GroundCommIncentive)*'Ground Base'!C26),2),ROUND('Ground Base'!C$154*(1+GroundFuelSurcharge),2),ROUND(((1-GroundCommDiscount21to30-GroundCommIncentive)*'Ground Base'!C26)*(1+GroundFuelSurcharge),2)))*(1+FedEx_Markup),2)</f>
        <v>13.7</v>
      </c>
      <c r="D31" s="275">
        <f>ROUND((IF('Ground Base'!D$154&gt;ROUND(((1-GroundCommDiscount21to30-GroundCommIncentive)*'Ground Base'!D26),2),ROUND('Ground Base'!D$154*(1+GroundFuelSurcharge),2),ROUND(((1-GroundCommDiscount21to30-GroundCommIncentive)*'Ground Base'!D26)*(1+GroundFuelSurcharge),2)))*(1+FedEx_Markup),2)</f>
        <v>13.92</v>
      </c>
      <c r="E31" s="275">
        <f>ROUND((IF('Ground Base'!E$154&gt;ROUND(((1-GroundCommDiscount21to30-GroundCommIncentive)*'Ground Base'!E26),2),ROUND('Ground Base'!E$154*(1+GroundFuelSurcharge),2),ROUND(((1-GroundCommDiscount21to30-GroundCommIncentive)*'Ground Base'!E26)*(1+GroundFuelSurcharge),2)))*(1+FedEx_Markup),2)</f>
        <v>16.43</v>
      </c>
      <c r="F31" s="275">
        <f>ROUND((IF('Ground Base'!F$154&gt;ROUND(((1-GroundCommDiscount21to30-GroundCommIncentive)*'Ground Base'!F26),2),ROUND('Ground Base'!F$154*(1+GroundFuelSurcharge),2),ROUND(((1-GroundCommDiscount21to30-GroundCommIncentive)*'Ground Base'!F26)*(1+GroundFuelSurcharge),2)))*(1+FedEx_Markup),2)</f>
        <v>20.02</v>
      </c>
      <c r="G31" s="275">
        <f>ROUND((IF('Ground Base'!G$154&gt;ROUND(((1-GroundCommDiscount21to30-GroundCommIncentive)*'Ground Base'!G26),2),ROUND('Ground Base'!G$154*(1+GroundFuelSurcharge),2),ROUND(((1-GroundCommDiscount21to30-GroundCommIncentive)*'Ground Base'!G26)*(1+GroundFuelSurcharge),2)))*(1+FedEx_Markup),2)</f>
        <v>23.6</v>
      </c>
      <c r="H31" s="275">
        <f>ROUND((IF('Ground Base'!H$154&gt;ROUND(((1-GroundCommDiscount21to30-GroundCommIncentive)*'Ground Base'!H26),2),ROUND('Ground Base'!H$154*(1+GroundFuelSurcharge),2),ROUND(((1-GroundCommDiscount21to30-GroundCommIncentive)*'Ground Base'!H26)*(1+GroundFuelSurcharge),2)))*(1+FedEx_Markup),2)</f>
        <v>27.55</v>
      </c>
      <c r="I31" s="275">
        <f>ROUND((IF('Ground Base'!I$154&gt;ROUND(((1-GroundAKHIDiscount)*'Ground Base'!I26),2),ROUND('Ground Base'!I$154*(1+GroundFuelSurcharge),2),ROUND(((1-GroundAKHIDiscount)*'Ground Base'!I26)*(1+GroundFuelSurcharge),2)))*(1+FedEx_Markup),2)</f>
        <v>138.85</v>
      </c>
      <c r="J31" s="275">
        <f>ROUND((IF('Ground Base'!J$154&gt;ROUND(((1-GroundAKHIDiscount)*'Ground Base'!J26),2),ROUND('Ground Base'!J$154*(1+GroundFuelSurcharge),2),ROUND(((1-GroundAKHIDiscount)*'Ground Base'!J26)*(1+GroundFuelSurcharge),2)))*(1+FedEx_Markup),2)</f>
        <v>138.85</v>
      </c>
      <c r="K31" s="275">
        <f>ROUND((IF('Ground Base'!K$154&gt;ROUND(((1-GroundZone51Discount)*'Ground Base'!K26),2),ROUND('Ground Base'!K$154*(1+GroundFuelSurcharge),2),ROUND(((1-GroundZone51Discount)*'Ground Base'!K26)*(1+GroundFuelSurcharge),2)))*(1+FedEx_Markup),2)</f>
        <v>43.71</v>
      </c>
      <c r="L31" s="275">
        <f>ROUND((IF('Ground Base'!L$154&gt;ROUND(((1-GroundZone54Discount)*'Ground Base'!L26),2),ROUND('Ground Base'!L$154*(1+GroundFuelSurcharge),2),ROUND(((1-GroundZone54Discount)*'Ground Base'!L26)*(1+GroundFuelSurcharge),2)))*(1+FedEx_Markup),2)</f>
        <v>51.55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274">
        <v>25.0</v>
      </c>
      <c r="B32" s="275">
        <f>ROUND((IF('Ground Base'!B$154&gt;ROUND(((1-GroundCommDiscount21to30-GroundCommIncentive)*'Ground Base'!B27),2),ROUND('Ground Base'!B$154*(1+GroundFuelSurcharge),2),ROUND(((1-GroundCommDiscount21to30-GroundCommIncentive)*'Ground Base'!B27)*(1+GroundFuelSurcharge),2)))*(1+FedEx_Markup),2)</f>
        <v>13.7</v>
      </c>
      <c r="C32" s="275">
        <f>ROUND((IF('Ground Base'!C$154&gt;ROUND(((1-GroundCommDiscount21to30-GroundCommIncentive)*'Ground Base'!C27),2),ROUND('Ground Base'!C$154*(1+GroundFuelSurcharge),2),ROUND(((1-GroundCommDiscount21to30-GroundCommIncentive)*'Ground Base'!C27)*(1+GroundFuelSurcharge),2)))*(1+FedEx_Markup),2)</f>
        <v>13.7</v>
      </c>
      <c r="D32" s="275">
        <f>ROUND((IF('Ground Base'!D$154&gt;ROUND(((1-GroundCommDiscount21to30-GroundCommIncentive)*'Ground Base'!D27),2),ROUND('Ground Base'!D$154*(1+GroundFuelSurcharge),2),ROUND(((1-GroundCommDiscount21to30-GroundCommIncentive)*'Ground Base'!D27)*(1+GroundFuelSurcharge),2)))*(1+FedEx_Markup),2)</f>
        <v>13.98</v>
      </c>
      <c r="E32" s="275">
        <f>ROUND((IF('Ground Base'!E$154&gt;ROUND(((1-GroundCommDiscount21to30-GroundCommIncentive)*'Ground Base'!E27),2),ROUND('Ground Base'!E$154*(1+GroundFuelSurcharge),2),ROUND(((1-GroundCommDiscount21to30-GroundCommIncentive)*'Ground Base'!E27)*(1+GroundFuelSurcharge),2)))*(1+FedEx_Markup),2)</f>
        <v>16.74</v>
      </c>
      <c r="F32" s="275">
        <f>ROUND((IF('Ground Base'!F$154&gt;ROUND(((1-GroundCommDiscount21to30-GroundCommIncentive)*'Ground Base'!F27),2),ROUND('Ground Base'!F$154*(1+GroundFuelSurcharge),2),ROUND(((1-GroundCommDiscount21to30-GroundCommIncentive)*'Ground Base'!F27)*(1+GroundFuelSurcharge),2)))*(1+FedEx_Markup),2)</f>
        <v>20.6</v>
      </c>
      <c r="G32" s="275">
        <f>ROUND((IF('Ground Base'!G$154&gt;ROUND(((1-GroundCommDiscount21to30-GroundCommIncentive)*'Ground Base'!G27),2),ROUND('Ground Base'!G$154*(1+GroundFuelSurcharge),2),ROUND(((1-GroundCommDiscount21to30-GroundCommIncentive)*'Ground Base'!G27)*(1+GroundFuelSurcharge),2)))*(1+FedEx_Markup),2)</f>
        <v>24.9</v>
      </c>
      <c r="H32" s="275">
        <f>ROUND((IF('Ground Base'!H$154&gt;ROUND(((1-GroundCommDiscount21to30-GroundCommIncentive)*'Ground Base'!H27),2),ROUND('Ground Base'!H$154*(1+GroundFuelSurcharge),2),ROUND(((1-GroundCommDiscount21to30-GroundCommIncentive)*'Ground Base'!H27)*(1+GroundFuelSurcharge),2)))*(1+FedEx_Markup),2)</f>
        <v>28.39</v>
      </c>
      <c r="I32" s="275">
        <f>ROUND((IF('Ground Base'!I$154&gt;ROUND(((1-GroundAKHIDiscount)*'Ground Base'!I27),2),ROUND('Ground Base'!I$154*(1+GroundFuelSurcharge),2),ROUND(((1-GroundAKHIDiscount)*'Ground Base'!I27)*(1+GroundFuelSurcharge),2)))*(1+FedEx_Markup),2)</f>
        <v>143.14</v>
      </c>
      <c r="J32" s="275">
        <f>ROUND((IF('Ground Base'!J$154&gt;ROUND(((1-GroundAKHIDiscount)*'Ground Base'!J27),2),ROUND('Ground Base'!J$154*(1+GroundFuelSurcharge),2),ROUND(((1-GroundAKHIDiscount)*'Ground Base'!J27)*(1+GroundFuelSurcharge),2)))*(1+FedEx_Markup),2)</f>
        <v>143.14</v>
      </c>
      <c r="K32" s="275">
        <f>ROUND((IF('Ground Base'!K$154&gt;ROUND(((1-GroundZone51Discount)*'Ground Base'!K27),2),ROUND('Ground Base'!K$154*(1+GroundFuelSurcharge),2),ROUND(((1-GroundZone51Discount)*'Ground Base'!K27)*(1+GroundFuelSurcharge),2)))*(1+FedEx_Markup),2)</f>
        <v>44.56</v>
      </c>
      <c r="L32" s="275">
        <f>ROUND((IF('Ground Base'!L$154&gt;ROUND(((1-GroundZone54Discount)*'Ground Base'!L27),2),ROUND('Ground Base'!L$154*(1+GroundFuelSurcharge),2),ROUND(((1-GroundZone54Discount)*'Ground Base'!L27)*(1+GroundFuelSurcharge),2)))*(1+FedEx_Markup),2)</f>
        <v>52.79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274">
        <v>26.0</v>
      </c>
      <c r="B33" s="275">
        <f>ROUND((IF('Ground Base'!B$154&gt;ROUND(((1-GroundCommDiscount21to30-GroundCommIncentive)*'Ground Base'!B28),2),ROUND('Ground Base'!B$154*(1+GroundFuelSurcharge),2),ROUND(((1-GroundCommDiscount21to30-GroundCommIncentive)*'Ground Base'!B28)*(1+GroundFuelSurcharge),2)))*(1+FedEx_Markup),2)</f>
        <v>13.7</v>
      </c>
      <c r="C33" s="275">
        <f>ROUND((IF('Ground Base'!C$154&gt;ROUND(((1-GroundCommDiscount21to30-GroundCommIncentive)*'Ground Base'!C28),2),ROUND('Ground Base'!C$154*(1+GroundFuelSurcharge),2),ROUND(((1-GroundCommDiscount21to30-GroundCommIncentive)*'Ground Base'!C28)*(1+GroundFuelSurcharge),2)))*(1+FedEx_Markup),2)</f>
        <v>13.7</v>
      </c>
      <c r="D33" s="275">
        <f>ROUND((IF('Ground Base'!D$154&gt;ROUND(((1-GroundCommDiscount21to30-GroundCommIncentive)*'Ground Base'!D28),2),ROUND('Ground Base'!D$154*(1+GroundFuelSurcharge),2),ROUND(((1-GroundCommDiscount21to30-GroundCommIncentive)*'Ground Base'!D28)*(1+GroundFuelSurcharge),2)))*(1+FedEx_Markup),2)</f>
        <v>14.57</v>
      </c>
      <c r="E33" s="275">
        <f>ROUND((IF('Ground Base'!E$154&gt;ROUND(((1-GroundCommDiscount21to30-GroundCommIncentive)*'Ground Base'!E28),2),ROUND('Ground Base'!E$154*(1+GroundFuelSurcharge),2),ROUND(((1-GroundCommDiscount21to30-GroundCommIncentive)*'Ground Base'!E28)*(1+GroundFuelSurcharge),2)))*(1+FedEx_Markup),2)</f>
        <v>17.43</v>
      </c>
      <c r="F33" s="275">
        <f>ROUND((IF('Ground Base'!F$154&gt;ROUND(((1-GroundCommDiscount21to30-GroundCommIncentive)*'Ground Base'!F28),2),ROUND('Ground Base'!F$154*(1+GroundFuelSurcharge),2),ROUND(((1-GroundCommDiscount21to30-GroundCommIncentive)*'Ground Base'!F28)*(1+GroundFuelSurcharge),2)))*(1+FedEx_Markup),2)</f>
        <v>21.34</v>
      </c>
      <c r="G33" s="275">
        <f>ROUND((IF('Ground Base'!G$154&gt;ROUND(((1-GroundCommDiscount21to30-GroundCommIncentive)*'Ground Base'!G28),2),ROUND('Ground Base'!G$154*(1+GroundFuelSurcharge),2),ROUND(((1-GroundCommDiscount21to30-GroundCommIncentive)*'Ground Base'!G28)*(1+GroundFuelSurcharge),2)))*(1+FedEx_Markup),2)</f>
        <v>25.91</v>
      </c>
      <c r="H33" s="275">
        <f>ROUND((IF('Ground Base'!H$154&gt;ROUND(((1-GroundCommDiscount21to30-GroundCommIncentive)*'Ground Base'!H28),2),ROUND('Ground Base'!H$154*(1+GroundFuelSurcharge),2),ROUND(((1-GroundCommDiscount21to30-GroundCommIncentive)*'Ground Base'!H28)*(1+GroundFuelSurcharge),2)))*(1+FedEx_Markup),2)</f>
        <v>29.58</v>
      </c>
      <c r="I33" s="275">
        <f>ROUND((IF('Ground Base'!I$154&gt;ROUND(((1-GroundAKHIDiscount)*'Ground Base'!I28),2),ROUND('Ground Base'!I$154*(1+GroundFuelSurcharge),2),ROUND(((1-GroundAKHIDiscount)*'Ground Base'!I28)*(1+GroundFuelSurcharge),2)))*(1+FedEx_Markup),2)</f>
        <v>147.67</v>
      </c>
      <c r="J33" s="275">
        <f>ROUND((IF('Ground Base'!J$154&gt;ROUND(((1-GroundAKHIDiscount)*'Ground Base'!J28),2),ROUND('Ground Base'!J$154*(1+GroundFuelSurcharge),2),ROUND(((1-GroundAKHIDiscount)*'Ground Base'!J28)*(1+GroundFuelSurcharge),2)))*(1+FedEx_Markup),2)</f>
        <v>147.67</v>
      </c>
      <c r="K33" s="275">
        <f>ROUND((IF('Ground Base'!K$154&gt;ROUND(((1-GroundZone51Discount)*'Ground Base'!K28),2),ROUND('Ground Base'!K$154*(1+GroundFuelSurcharge),2),ROUND(((1-GroundZone51Discount)*'Ground Base'!K28)*(1+GroundFuelSurcharge),2)))*(1+FedEx_Markup),2)</f>
        <v>45.62</v>
      </c>
      <c r="L33" s="275">
        <f>ROUND((IF('Ground Base'!L$154&gt;ROUND(((1-GroundZone54Discount)*'Ground Base'!L28),2),ROUND('Ground Base'!L$154*(1+GroundFuelSurcharge),2),ROUND(((1-GroundZone54Discount)*'Ground Base'!L28)*(1+GroundFuelSurcharge),2)))*(1+FedEx_Markup),2)</f>
        <v>54.25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274">
        <v>27.0</v>
      </c>
      <c r="B34" s="275">
        <f>ROUND((IF('Ground Base'!B$154&gt;ROUND(((1-GroundCommDiscount21to30-GroundCommIncentive)*'Ground Base'!B29),2),ROUND('Ground Base'!B$154*(1+GroundFuelSurcharge),2),ROUND(((1-GroundCommDiscount21to30-GroundCommIncentive)*'Ground Base'!B29)*(1+GroundFuelSurcharge),2)))*(1+FedEx_Markup),2)</f>
        <v>13.7</v>
      </c>
      <c r="C34" s="275">
        <f>ROUND((IF('Ground Base'!C$154&gt;ROUND(((1-GroundCommDiscount21to30-GroundCommIncentive)*'Ground Base'!C29),2),ROUND('Ground Base'!C$154*(1+GroundFuelSurcharge),2),ROUND(((1-GroundCommDiscount21to30-GroundCommIncentive)*'Ground Base'!C29)*(1+GroundFuelSurcharge),2)))*(1+FedEx_Markup),2)</f>
        <v>13.83</v>
      </c>
      <c r="D34" s="275">
        <f>ROUND((IF('Ground Base'!D$154&gt;ROUND(((1-GroundCommDiscount21to30-GroundCommIncentive)*'Ground Base'!D29),2),ROUND('Ground Base'!D$154*(1+GroundFuelSurcharge),2),ROUND(((1-GroundCommDiscount21to30-GroundCommIncentive)*'Ground Base'!D29)*(1+GroundFuelSurcharge),2)))*(1+FedEx_Markup),2)</f>
        <v>14.86</v>
      </c>
      <c r="E34" s="275">
        <f>ROUND((IF('Ground Base'!E$154&gt;ROUND(((1-GroundCommDiscount21to30-GroundCommIncentive)*'Ground Base'!E29),2),ROUND('Ground Base'!E$154*(1+GroundFuelSurcharge),2),ROUND(((1-GroundCommDiscount21to30-GroundCommIncentive)*'Ground Base'!E29)*(1+GroundFuelSurcharge),2)))*(1+FedEx_Markup),2)</f>
        <v>17.72</v>
      </c>
      <c r="F34" s="275">
        <f>ROUND((IF('Ground Base'!F$154&gt;ROUND(((1-GroundCommDiscount21to30-GroundCommIncentive)*'Ground Base'!F29),2),ROUND('Ground Base'!F$154*(1+GroundFuelSurcharge),2),ROUND(((1-GroundCommDiscount21to30-GroundCommIncentive)*'Ground Base'!F29)*(1+GroundFuelSurcharge),2)))*(1+FedEx_Markup),2)</f>
        <v>22.21</v>
      </c>
      <c r="G34" s="275">
        <f>ROUND((IF('Ground Base'!G$154&gt;ROUND(((1-GroundCommDiscount21to30-GroundCommIncentive)*'Ground Base'!G29),2),ROUND('Ground Base'!G$154*(1+GroundFuelSurcharge),2),ROUND(((1-GroundCommDiscount21to30-GroundCommIncentive)*'Ground Base'!G29)*(1+GroundFuelSurcharge),2)))*(1+FedEx_Markup),2)</f>
        <v>26.39</v>
      </c>
      <c r="H34" s="275">
        <f>ROUND((IF('Ground Base'!H$154&gt;ROUND(((1-GroundCommDiscount21to30-GroundCommIncentive)*'Ground Base'!H29),2),ROUND('Ground Base'!H$154*(1+GroundFuelSurcharge),2),ROUND(((1-GroundCommDiscount21to30-GroundCommIncentive)*'Ground Base'!H29)*(1+GroundFuelSurcharge),2)))*(1+FedEx_Markup),2)</f>
        <v>30.07</v>
      </c>
      <c r="I34" s="275">
        <f>ROUND((IF('Ground Base'!I$154&gt;ROUND(((1-GroundAKHIDiscount)*'Ground Base'!I29),2),ROUND('Ground Base'!I$154*(1+GroundFuelSurcharge),2),ROUND(((1-GroundAKHIDiscount)*'Ground Base'!I29)*(1+GroundFuelSurcharge),2)))*(1+FedEx_Markup),2)</f>
        <v>151.78</v>
      </c>
      <c r="J34" s="275">
        <f>ROUND((IF('Ground Base'!J$154&gt;ROUND(((1-GroundAKHIDiscount)*'Ground Base'!J29),2),ROUND('Ground Base'!J$154*(1+GroundFuelSurcharge),2),ROUND(((1-GroundAKHIDiscount)*'Ground Base'!J29)*(1+GroundFuelSurcharge),2)))*(1+FedEx_Markup),2)</f>
        <v>151.78</v>
      </c>
      <c r="K34" s="275">
        <f>ROUND((IF('Ground Base'!K$154&gt;ROUND(((1-GroundZone51Discount)*'Ground Base'!K29),2),ROUND('Ground Base'!K$154*(1+GroundFuelSurcharge),2),ROUND(((1-GroundZone51Discount)*'Ground Base'!K29)*(1+GroundFuelSurcharge),2)))*(1+FedEx_Markup),2)</f>
        <v>46.9</v>
      </c>
      <c r="L34" s="275">
        <f>ROUND((IF('Ground Base'!L$154&gt;ROUND(((1-GroundZone54Discount)*'Ground Base'!L29),2),ROUND('Ground Base'!L$154*(1+GroundFuelSurcharge),2),ROUND(((1-GroundZone54Discount)*'Ground Base'!L29)*(1+GroundFuelSurcharge),2)))*(1+FedEx_Markup),2)</f>
        <v>55.58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274">
        <v>28.0</v>
      </c>
      <c r="B35" s="275">
        <f>ROUND((IF('Ground Base'!B$154&gt;ROUND(((1-GroundCommDiscount21to30-GroundCommIncentive)*'Ground Base'!B30),2),ROUND('Ground Base'!B$154*(1+GroundFuelSurcharge),2),ROUND(((1-GroundCommDiscount21to30-GroundCommIncentive)*'Ground Base'!B30)*(1+GroundFuelSurcharge),2)))*(1+FedEx_Markup),2)</f>
        <v>13.7</v>
      </c>
      <c r="C35" s="275">
        <f>ROUND((IF('Ground Base'!C$154&gt;ROUND(((1-GroundCommDiscount21to30-GroundCommIncentive)*'Ground Base'!C30),2),ROUND('Ground Base'!C$154*(1+GroundFuelSurcharge),2),ROUND(((1-GroundCommDiscount21to30-GroundCommIncentive)*'Ground Base'!C30)*(1+GroundFuelSurcharge),2)))*(1+FedEx_Markup),2)</f>
        <v>14.17</v>
      </c>
      <c r="D35" s="275">
        <f>ROUND((IF('Ground Base'!D$154&gt;ROUND(((1-GroundCommDiscount21to30-GroundCommIncentive)*'Ground Base'!D30),2),ROUND('Ground Base'!D$154*(1+GroundFuelSurcharge),2),ROUND(((1-GroundCommDiscount21to30-GroundCommIncentive)*'Ground Base'!D30)*(1+GroundFuelSurcharge),2)))*(1+FedEx_Markup),2)</f>
        <v>15.55</v>
      </c>
      <c r="E35" s="275">
        <f>ROUND((IF('Ground Base'!E$154&gt;ROUND(((1-GroundCommDiscount21to30-GroundCommIncentive)*'Ground Base'!E30),2),ROUND('Ground Base'!E$154*(1+GroundFuelSurcharge),2),ROUND(((1-GroundCommDiscount21to30-GroundCommIncentive)*'Ground Base'!E30)*(1+GroundFuelSurcharge),2)))*(1+FedEx_Markup),2)</f>
        <v>18.76</v>
      </c>
      <c r="F35" s="275">
        <f>ROUND((IF('Ground Base'!F$154&gt;ROUND(((1-GroundCommDiscount21to30-GroundCommIncentive)*'Ground Base'!F30),2),ROUND('Ground Base'!F$154*(1+GroundFuelSurcharge),2),ROUND(((1-GroundCommDiscount21to30-GroundCommIncentive)*'Ground Base'!F30)*(1+GroundFuelSurcharge),2)))*(1+FedEx_Markup),2)</f>
        <v>23.3</v>
      </c>
      <c r="G35" s="275">
        <f>ROUND((IF('Ground Base'!G$154&gt;ROUND(((1-GroundCommDiscount21to30-GroundCommIncentive)*'Ground Base'!G30),2),ROUND('Ground Base'!G$154*(1+GroundFuelSurcharge),2),ROUND(((1-GroundCommDiscount21to30-GroundCommIncentive)*'Ground Base'!G30)*(1+GroundFuelSurcharge),2)))*(1+FedEx_Markup),2)</f>
        <v>27.58</v>
      </c>
      <c r="H35" s="275">
        <f>ROUND((IF('Ground Base'!H$154&gt;ROUND(((1-GroundCommDiscount21to30-GroundCommIncentive)*'Ground Base'!H30),2),ROUND('Ground Base'!H$154*(1+GroundFuelSurcharge),2),ROUND(((1-GroundCommDiscount21to30-GroundCommIncentive)*'Ground Base'!H30)*(1+GroundFuelSurcharge),2)))*(1+FedEx_Markup),2)</f>
        <v>31.22</v>
      </c>
      <c r="I35" s="275">
        <f>ROUND((IF('Ground Base'!I$154&gt;ROUND(((1-GroundAKHIDiscount)*'Ground Base'!I30),2),ROUND('Ground Base'!I$154*(1+GroundFuelSurcharge),2),ROUND(((1-GroundAKHIDiscount)*'Ground Base'!I30)*(1+GroundFuelSurcharge),2)))*(1+FedEx_Markup),2)</f>
        <v>155.85</v>
      </c>
      <c r="J35" s="275">
        <f>ROUND((IF('Ground Base'!J$154&gt;ROUND(((1-GroundAKHIDiscount)*'Ground Base'!J30),2),ROUND('Ground Base'!J$154*(1+GroundFuelSurcharge),2),ROUND(((1-GroundAKHIDiscount)*'Ground Base'!J30)*(1+GroundFuelSurcharge),2)))*(1+FedEx_Markup),2)</f>
        <v>155.85</v>
      </c>
      <c r="K35" s="275">
        <f>ROUND((IF('Ground Base'!K$154&gt;ROUND(((1-GroundZone51Discount)*'Ground Base'!K30),2),ROUND('Ground Base'!K$154*(1+GroundFuelSurcharge),2),ROUND(((1-GroundZone51Discount)*'Ground Base'!K30)*(1+GroundFuelSurcharge),2)))*(1+FedEx_Markup),2)</f>
        <v>48.02</v>
      </c>
      <c r="L35" s="275">
        <f>ROUND((IF('Ground Base'!L$154&gt;ROUND(((1-GroundZone54Discount)*'Ground Base'!L30),2),ROUND('Ground Base'!L$154*(1+GroundFuelSurcharge),2),ROUND(((1-GroundZone54Discount)*'Ground Base'!L30)*(1+GroundFuelSurcharge),2)))*(1+FedEx_Markup),2)</f>
        <v>56.95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2.75" customHeight="1">
      <c r="A36" s="274">
        <v>29.0</v>
      </c>
      <c r="B36" s="275">
        <f>ROUND((IF('Ground Base'!B$154&gt;ROUND(((1-GroundCommDiscount21to30-GroundCommIncentive)*'Ground Base'!B31),2),ROUND('Ground Base'!B$154*(1+GroundFuelSurcharge),2),ROUND(((1-GroundCommDiscount21to30-GroundCommIncentive)*'Ground Base'!B31)*(1+GroundFuelSurcharge),2)))*(1+FedEx_Markup),2)</f>
        <v>13.7</v>
      </c>
      <c r="C36" s="275">
        <f>ROUND((IF('Ground Base'!C$154&gt;ROUND(((1-GroundCommDiscount21to30-GroundCommIncentive)*'Ground Base'!C31),2),ROUND('Ground Base'!C$154*(1+GroundFuelSurcharge),2),ROUND(((1-GroundCommDiscount21to30-GroundCommIncentive)*'Ground Base'!C31)*(1+GroundFuelSurcharge),2)))*(1+FedEx_Markup),2)</f>
        <v>14.44</v>
      </c>
      <c r="D36" s="275">
        <f>ROUND((IF('Ground Base'!D$154&gt;ROUND(((1-GroundCommDiscount21to30-GroundCommIncentive)*'Ground Base'!D31),2),ROUND('Ground Base'!D$154*(1+GroundFuelSurcharge),2),ROUND(((1-GroundCommDiscount21to30-GroundCommIncentive)*'Ground Base'!D31)*(1+GroundFuelSurcharge),2)))*(1+FedEx_Markup),2)</f>
        <v>15.69</v>
      </c>
      <c r="E36" s="275">
        <f>ROUND((IF('Ground Base'!E$154&gt;ROUND(((1-GroundCommDiscount21to30-GroundCommIncentive)*'Ground Base'!E31),2),ROUND('Ground Base'!E$154*(1+GroundFuelSurcharge),2),ROUND(((1-GroundCommDiscount21to30-GroundCommIncentive)*'Ground Base'!E31)*(1+GroundFuelSurcharge),2)))*(1+FedEx_Markup),2)</f>
        <v>18.77</v>
      </c>
      <c r="F36" s="275">
        <f>ROUND((IF('Ground Base'!F$154&gt;ROUND(((1-GroundCommDiscount21to30-GroundCommIncentive)*'Ground Base'!F31),2),ROUND('Ground Base'!F$154*(1+GroundFuelSurcharge),2),ROUND(((1-GroundCommDiscount21to30-GroundCommIncentive)*'Ground Base'!F31)*(1+GroundFuelSurcharge),2)))*(1+FedEx_Markup),2)</f>
        <v>23.95</v>
      </c>
      <c r="G36" s="275">
        <f>ROUND((IF('Ground Base'!G$154&gt;ROUND(((1-GroundCommDiscount21to30-GroundCommIncentive)*'Ground Base'!G31),2),ROUND('Ground Base'!G$154*(1+GroundFuelSurcharge),2),ROUND(((1-GroundCommDiscount21to30-GroundCommIncentive)*'Ground Base'!G31)*(1+GroundFuelSurcharge),2)))*(1+FedEx_Markup),2)</f>
        <v>28.2</v>
      </c>
      <c r="H36" s="275">
        <f>ROUND((IF('Ground Base'!H$154&gt;ROUND(((1-GroundCommDiscount21to30-GroundCommIncentive)*'Ground Base'!H31),2),ROUND('Ground Base'!H$154*(1+GroundFuelSurcharge),2),ROUND(((1-GroundCommDiscount21to30-GroundCommIncentive)*'Ground Base'!H31)*(1+GroundFuelSurcharge),2)))*(1+FedEx_Markup),2)</f>
        <v>32.05</v>
      </c>
      <c r="I36" s="275">
        <f>ROUND((IF('Ground Base'!I$154&gt;ROUND(((1-GroundAKHIDiscount)*'Ground Base'!I31),2),ROUND('Ground Base'!I$154*(1+GroundFuelSurcharge),2),ROUND(((1-GroundAKHIDiscount)*'Ground Base'!I31)*(1+GroundFuelSurcharge),2)))*(1+FedEx_Markup),2)</f>
        <v>159.69</v>
      </c>
      <c r="J36" s="275">
        <f>ROUND((IF('Ground Base'!J$154&gt;ROUND(((1-GroundAKHIDiscount)*'Ground Base'!J31),2),ROUND('Ground Base'!J$154*(1+GroundFuelSurcharge),2),ROUND(((1-GroundAKHIDiscount)*'Ground Base'!J31)*(1+GroundFuelSurcharge),2)))*(1+FedEx_Markup),2)</f>
        <v>159.69</v>
      </c>
      <c r="K36" s="275">
        <f>ROUND((IF('Ground Base'!K$154&gt;ROUND(((1-GroundZone51Discount)*'Ground Base'!K31),2),ROUND('Ground Base'!K$154*(1+GroundFuelSurcharge),2),ROUND(((1-GroundZone51Discount)*'Ground Base'!K31)*(1+GroundFuelSurcharge),2)))*(1+FedEx_Markup),2)</f>
        <v>49.14</v>
      </c>
      <c r="L36" s="275">
        <f>ROUND((IF('Ground Base'!L$154&gt;ROUND(((1-GroundZone54Discount)*'Ground Base'!L31),2),ROUND('Ground Base'!L$154*(1+GroundFuelSurcharge),2),ROUND(((1-GroundZone54Discount)*'Ground Base'!L31)*(1+GroundFuelSurcharge),2)))*(1+FedEx_Markup),2)</f>
        <v>58.27</v>
      </c>
    </row>
    <row r="37" ht="12.75" customHeight="1">
      <c r="A37" s="274">
        <v>30.0</v>
      </c>
      <c r="B37" s="275">
        <f>ROUND((IF('Ground Base'!B$154&gt;ROUND(((1-GroundCommDiscount21to30-GroundCommIncentive)*'Ground Base'!B32),2),ROUND('Ground Base'!B$154*(1+GroundFuelSurcharge),2),ROUND(((1-GroundCommDiscount21to30-GroundCommIncentive)*'Ground Base'!B32)*(1+GroundFuelSurcharge),2)))*(1+FedEx_Markup),2)</f>
        <v>13.7</v>
      </c>
      <c r="C37" s="275">
        <f>ROUND((IF('Ground Base'!C$154&gt;ROUND(((1-GroundCommDiscount21to30-GroundCommIncentive)*'Ground Base'!C32),2),ROUND('Ground Base'!C$154*(1+GroundFuelSurcharge),2),ROUND(((1-GroundCommDiscount21to30-GroundCommIncentive)*'Ground Base'!C32)*(1+GroundFuelSurcharge),2)))*(1+FedEx_Markup),2)</f>
        <v>14.78</v>
      </c>
      <c r="D37" s="275">
        <f>ROUND((IF('Ground Base'!D$154&gt;ROUND(((1-GroundCommDiscount21to30-GroundCommIncentive)*'Ground Base'!D32),2),ROUND('Ground Base'!D$154*(1+GroundFuelSurcharge),2),ROUND(((1-GroundCommDiscount21to30-GroundCommIncentive)*'Ground Base'!D32)*(1+GroundFuelSurcharge),2)))*(1+FedEx_Markup),2)</f>
        <v>16.28</v>
      </c>
      <c r="E37" s="275">
        <f>ROUND((IF('Ground Base'!E$154&gt;ROUND(((1-GroundCommDiscount21to30-GroundCommIncentive)*'Ground Base'!E32),2),ROUND('Ground Base'!E$154*(1+GroundFuelSurcharge),2),ROUND(((1-GroundCommDiscount21to30-GroundCommIncentive)*'Ground Base'!E32)*(1+GroundFuelSurcharge),2)))*(1+FedEx_Markup),2)</f>
        <v>19.5</v>
      </c>
      <c r="F37" s="275">
        <f>ROUND((IF('Ground Base'!F$154&gt;ROUND(((1-GroundCommDiscount21to30-GroundCommIncentive)*'Ground Base'!F32),2),ROUND('Ground Base'!F$154*(1+GroundFuelSurcharge),2),ROUND(((1-GroundCommDiscount21to30-GroundCommIncentive)*'Ground Base'!F32)*(1+GroundFuelSurcharge),2)))*(1+FedEx_Markup),2)</f>
        <v>24.35</v>
      </c>
      <c r="G37" s="275">
        <f>ROUND((IF('Ground Base'!G$154&gt;ROUND(((1-GroundCommDiscount21to30-GroundCommIncentive)*'Ground Base'!G32),2),ROUND('Ground Base'!G$154*(1+GroundFuelSurcharge),2),ROUND(((1-GroundCommDiscount21to30-GroundCommIncentive)*'Ground Base'!G32)*(1+GroundFuelSurcharge),2)))*(1+FedEx_Markup),2)</f>
        <v>28.35</v>
      </c>
      <c r="H37" s="275">
        <f>ROUND((IF('Ground Base'!H$154&gt;ROUND(((1-GroundCommDiscount21to30-GroundCommIncentive)*'Ground Base'!H32),2),ROUND('Ground Base'!H$154*(1+GroundFuelSurcharge),2),ROUND(((1-GroundCommDiscount21to30-GroundCommIncentive)*'Ground Base'!H32)*(1+GroundFuelSurcharge),2)))*(1+FedEx_Markup),2)</f>
        <v>33.38</v>
      </c>
      <c r="I37" s="275">
        <f>ROUND((IF('Ground Base'!I$154&gt;ROUND(((1-GroundAKHIDiscount)*'Ground Base'!I32),2),ROUND('Ground Base'!I$154*(1+GroundFuelSurcharge),2),ROUND(((1-GroundAKHIDiscount)*'Ground Base'!I32)*(1+GroundFuelSurcharge),2)))*(1+FedEx_Markup),2)</f>
        <v>163.51</v>
      </c>
      <c r="J37" s="275">
        <f>ROUND((IF('Ground Base'!J$154&gt;ROUND(((1-GroundAKHIDiscount)*'Ground Base'!J32),2),ROUND('Ground Base'!J$154*(1+GroundFuelSurcharge),2),ROUND(((1-GroundAKHIDiscount)*'Ground Base'!J32)*(1+GroundFuelSurcharge),2)))*(1+FedEx_Markup),2)</f>
        <v>163.51</v>
      </c>
      <c r="K37" s="275">
        <f>ROUND((IF('Ground Base'!K$154&gt;ROUND(((1-GroundZone51Discount)*'Ground Base'!K32),2),ROUND('Ground Base'!K$154*(1+GroundFuelSurcharge),2),ROUND(((1-GroundZone51Discount)*'Ground Base'!K32)*(1+GroundFuelSurcharge),2)))*(1+FedEx_Markup),2)</f>
        <v>50.26</v>
      </c>
      <c r="L37" s="275">
        <f>ROUND((IF('Ground Base'!L$154&gt;ROUND(((1-GroundZone54Discount)*'Ground Base'!L32),2),ROUND('Ground Base'!L$154*(1+GroundFuelSurcharge),2),ROUND(((1-GroundZone54Discount)*'Ground Base'!L32)*(1+GroundFuelSurcharge),2)))*(1+FedEx_Markup),2)</f>
        <v>59.6</v>
      </c>
    </row>
    <row r="38" ht="12.75" customHeight="1">
      <c r="A38" s="274">
        <v>31.0</v>
      </c>
      <c r="B38" s="275">
        <f>ROUND((IF('Ground Base'!B$154&gt;ROUND(((1-GroundCommDiscount31Up-GroundCommIncentive)*'Ground Base'!B33),2),ROUND('Ground Base'!B$154*(1+GroundFuelSurcharge),2),ROUND(((1-GroundCommDiscount31Up-GroundCommIncentive)*'Ground Base'!B33)*(1+GroundFuelSurcharge),2)))*(1+FedEx_Markup),2)</f>
        <v>13.7</v>
      </c>
      <c r="C38" s="275">
        <f>ROUND((IF('Ground Base'!C$154&gt;ROUND(((1-GroundCommDiscount31Up-GroundCommIncentive)*'Ground Base'!C33),2),ROUND('Ground Base'!C$154*(1+GroundFuelSurcharge),2),ROUND(((1-GroundCommDiscount31Up-GroundCommIncentive)*'Ground Base'!C33)*(1+GroundFuelSurcharge),2)))*(1+FedEx_Markup),2)</f>
        <v>15.11</v>
      </c>
      <c r="D38" s="275">
        <f>ROUND((IF('Ground Base'!D$154&gt;ROUND(((1-GroundCommDiscount31Up-GroundCommIncentive)*'Ground Base'!D33),2),ROUND('Ground Base'!D$154*(1+GroundFuelSurcharge),2),ROUND(((1-GroundCommDiscount31Up-GroundCommIncentive)*'Ground Base'!D33)*(1+GroundFuelSurcharge),2)))*(1+FedEx_Markup),2)</f>
        <v>16.62</v>
      </c>
      <c r="E38" s="275">
        <f>ROUND((IF('Ground Base'!E$154&gt;ROUND(((1-GroundCommDiscount31Up-GroundCommIncentive)*'Ground Base'!E33),2),ROUND('Ground Base'!E$154*(1+GroundFuelSurcharge),2),ROUND(((1-GroundCommDiscount31Up-GroundCommIncentive)*'Ground Base'!E33)*(1+GroundFuelSurcharge),2)))*(1+FedEx_Markup),2)</f>
        <v>19.76</v>
      </c>
      <c r="F38" s="275">
        <f>ROUND((IF('Ground Base'!F$154&gt;ROUND(((1-GroundCommDiscount31Up-GroundCommIncentive)*'Ground Base'!F33),2),ROUND('Ground Base'!F$154*(1+GroundFuelSurcharge),2),ROUND(((1-GroundCommDiscount31Up-GroundCommIncentive)*'Ground Base'!F33)*(1+GroundFuelSurcharge),2)))*(1+FedEx_Markup),2)</f>
        <v>25.06</v>
      </c>
      <c r="G38" s="275">
        <f>ROUND((IF('Ground Base'!G$154&gt;ROUND(((1-GroundCommDiscount31Up-GroundCommIncentive)*'Ground Base'!G33),2),ROUND('Ground Base'!G$154*(1+GroundFuelSurcharge),2),ROUND(((1-GroundCommDiscount31Up-GroundCommIncentive)*'Ground Base'!G33)*(1+GroundFuelSurcharge),2)))*(1+FedEx_Markup),2)</f>
        <v>29.39</v>
      </c>
      <c r="H38" s="275">
        <f>ROUND((IF('Ground Base'!H$154&gt;ROUND(((1-GroundCommDiscount31Up-GroundCommIncentive)*'Ground Base'!H33),2),ROUND('Ground Base'!H$154*(1+GroundFuelSurcharge),2),ROUND(((1-GroundCommDiscount31Up-GroundCommIncentive)*'Ground Base'!H33)*(1+GroundFuelSurcharge),2)))*(1+FedEx_Markup),2)</f>
        <v>34.45</v>
      </c>
      <c r="I38" s="275">
        <f>ROUND((IF('Ground Base'!I$154&gt;ROUND(((1-GroundAKHIDiscount)*'Ground Base'!I33),2),ROUND('Ground Base'!I$154*(1+GroundFuelSurcharge),2),ROUND(((1-GroundAKHIDiscount)*'Ground Base'!I33)*(1+GroundFuelSurcharge),2)))*(1+FedEx_Markup),2)</f>
        <v>163.52</v>
      </c>
      <c r="J38" s="275">
        <f>ROUND((IF('Ground Base'!J$154&gt;ROUND(((1-GroundAKHIDiscount)*'Ground Base'!J33),2),ROUND('Ground Base'!J$154*(1+GroundFuelSurcharge),2),ROUND(((1-GroundAKHIDiscount)*'Ground Base'!J33)*(1+GroundFuelSurcharge),2)))*(1+FedEx_Markup),2)</f>
        <v>163.52</v>
      </c>
      <c r="K38" s="275">
        <f>ROUND((IF('Ground Base'!K$154&gt;ROUND(((1-GroundZone51Discount)*'Ground Base'!K33),2),ROUND('Ground Base'!K$154*(1+GroundFuelSurcharge),2),ROUND(((1-GroundZone51Discount)*'Ground Base'!K33)*(1+GroundFuelSurcharge),2)))*(1+FedEx_Markup),2)</f>
        <v>51.2</v>
      </c>
      <c r="L38" s="275">
        <f>ROUND((IF('Ground Base'!L$154&gt;ROUND(((1-GroundZone54Discount)*'Ground Base'!L33),2),ROUND('Ground Base'!L$154*(1+GroundFuelSurcharge),2),ROUND(((1-GroundZone54Discount)*'Ground Base'!L33)*(1+GroundFuelSurcharge),2)))*(1+FedEx_Markup),2)</f>
        <v>61.03</v>
      </c>
    </row>
    <row r="39" ht="12.75" customHeight="1">
      <c r="A39" s="274">
        <v>32.0</v>
      </c>
      <c r="B39" s="275">
        <f>ROUND((IF('Ground Base'!B$154&gt;ROUND(((1-GroundCommDiscount31Up-GroundCommIncentive)*'Ground Base'!B34),2),ROUND('Ground Base'!B$154*(1+GroundFuelSurcharge),2),ROUND(((1-GroundCommDiscount31Up-GroundCommIncentive)*'Ground Base'!B34)*(1+GroundFuelSurcharge),2)))*(1+FedEx_Markup),2)</f>
        <v>13.7</v>
      </c>
      <c r="C39" s="275">
        <f>ROUND((IF('Ground Base'!C$154&gt;ROUND(((1-GroundCommDiscount31Up-GroundCommIncentive)*'Ground Base'!C34),2),ROUND('Ground Base'!C$154*(1+GroundFuelSurcharge),2),ROUND(((1-GroundCommDiscount31Up-GroundCommIncentive)*'Ground Base'!C34)*(1+GroundFuelSurcharge),2)))*(1+FedEx_Markup),2)</f>
        <v>15.12</v>
      </c>
      <c r="D39" s="275">
        <f>ROUND((IF('Ground Base'!D$154&gt;ROUND(((1-GroundCommDiscount31Up-GroundCommIncentive)*'Ground Base'!D34),2),ROUND('Ground Base'!D$154*(1+GroundFuelSurcharge),2),ROUND(((1-GroundCommDiscount31Up-GroundCommIncentive)*'Ground Base'!D34)*(1+GroundFuelSurcharge),2)))*(1+FedEx_Markup),2)</f>
        <v>16.62</v>
      </c>
      <c r="E39" s="275">
        <f>ROUND((IF('Ground Base'!E$154&gt;ROUND(((1-GroundCommDiscount31Up-GroundCommIncentive)*'Ground Base'!E34),2),ROUND('Ground Base'!E$154*(1+GroundFuelSurcharge),2),ROUND(((1-GroundCommDiscount31Up-GroundCommIncentive)*'Ground Base'!E34)*(1+GroundFuelSurcharge),2)))*(1+FedEx_Markup),2)</f>
        <v>19.76</v>
      </c>
      <c r="F39" s="275">
        <f>ROUND((IF('Ground Base'!F$154&gt;ROUND(((1-GroundCommDiscount31Up-GroundCommIncentive)*'Ground Base'!F34),2),ROUND('Ground Base'!F$154*(1+GroundFuelSurcharge),2),ROUND(((1-GroundCommDiscount31Up-GroundCommIncentive)*'Ground Base'!F34)*(1+GroundFuelSurcharge),2)))*(1+FedEx_Markup),2)</f>
        <v>25.06</v>
      </c>
      <c r="G39" s="275">
        <f>ROUND((IF('Ground Base'!G$154&gt;ROUND(((1-GroundCommDiscount31Up-GroundCommIncentive)*'Ground Base'!G34),2),ROUND('Ground Base'!G$154*(1+GroundFuelSurcharge),2),ROUND(((1-GroundCommDiscount31Up-GroundCommIncentive)*'Ground Base'!G34)*(1+GroundFuelSurcharge),2)))*(1+FedEx_Markup),2)</f>
        <v>29.41</v>
      </c>
      <c r="H39" s="275">
        <f>ROUND((IF('Ground Base'!H$154&gt;ROUND(((1-GroundCommDiscount31Up-GroundCommIncentive)*'Ground Base'!H34),2),ROUND('Ground Base'!H$154*(1+GroundFuelSurcharge),2),ROUND(((1-GroundCommDiscount31Up-GroundCommIncentive)*'Ground Base'!H34)*(1+GroundFuelSurcharge),2)))*(1+FedEx_Markup),2)</f>
        <v>34.83</v>
      </c>
      <c r="I39" s="275">
        <f>ROUND((IF('Ground Base'!I$154&gt;ROUND(((1-GroundAKHIDiscount)*'Ground Base'!I34),2),ROUND('Ground Base'!I$154*(1+GroundFuelSurcharge),2),ROUND(((1-GroundAKHIDiscount)*'Ground Base'!I34)*(1+GroundFuelSurcharge),2)))*(1+FedEx_Markup),2)</f>
        <v>164.08</v>
      </c>
      <c r="J39" s="275">
        <f>ROUND((IF('Ground Base'!J$154&gt;ROUND(((1-GroundAKHIDiscount)*'Ground Base'!J34),2),ROUND('Ground Base'!J$154*(1+GroundFuelSurcharge),2),ROUND(((1-GroundAKHIDiscount)*'Ground Base'!J34)*(1+GroundFuelSurcharge),2)))*(1+FedEx_Markup),2)</f>
        <v>164.08</v>
      </c>
      <c r="K39" s="275">
        <f>ROUND((IF('Ground Base'!K$154&gt;ROUND(((1-GroundZone51Discount)*'Ground Base'!K34),2),ROUND('Ground Base'!K$154*(1+GroundFuelSurcharge),2),ROUND(((1-GroundZone51Discount)*'Ground Base'!K34)*(1+GroundFuelSurcharge),2)))*(1+FedEx_Markup),2)</f>
        <v>52.29</v>
      </c>
      <c r="L39" s="275">
        <f>ROUND((IF('Ground Base'!L$154&gt;ROUND(((1-GroundZone54Discount)*'Ground Base'!L34),2),ROUND('Ground Base'!L$154*(1+GroundFuelSurcharge),2),ROUND(((1-GroundZone54Discount)*'Ground Base'!L34)*(1+GroundFuelSurcharge),2)))*(1+FedEx_Markup),2)</f>
        <v>62.4</v>
      </c>
    </row>
    <row r="40" ht="12.75" customHeight="1">
      <c r="A40" s="274">
        <v>33.0</v>
      </c>
      <c r="B40" s="275">
        <f>ROUND((IF('Ground Base'!B$154&gt;ROUND(((1-GroundCommDiscount31Up-GroundCommIncentive)*'Ground Base'!B35),2),ROUND('Ground Base'!B$154*(1+GroundFuelSurcharge),2),ROUND(((1-GroundCommDiscount31Up-GroundCommIncentive)*'Ground Base'!B35)*(1+GroundFuelSurcharge),2)))*(1+FedEx_Markup),2)</f>
        <v>13.7</v>
      </c>
      <c r="C40" s="275">
        <f>ROUND((IF('Ground Base'!C$154&gt;ROUND(((1-GroundCommDiscount31Up-GroundCommIncentive)*'Ground Base'!C35),2),ROUND('Ground Base'!C$154*(1+GroundFuelSurcharge),2),ROUND(((1-GroundCommDiscount31Up-GroundCommIncentive)*'Ground Base'!C35)*(1+GroundFuelSurcharge),2)))*(1+FedEx_Markup),2)</f>
        <v>15.34</v>
      </c>
      <c r="D40" s="275">
        <f>ROUND((IF('Ground Base'!D$154&gt;ROUND(((1-GroundCommDiscount31Up-GroundCommIncentive)*'Ground Base'!D35),2),ROUND('Ground Base'!D$154*(1+GroundFuelSurcharge),2),ROUND(((1-GroundCommDiscount31Up-GroundCommIncentive)*'Ground Base'!D35)*(1+GroundFuelSurcharge),2)))*(1+FedEx_Markup),2)</f>
        <v>17.37</v>
      </c>
      <c r="E40" s="275">
        <f>ROUND((IF('Ground Base'!E$154&gt;ROUND(((1-GroundCommDiscount31Up-GroundCommIncentive)*'Ground Base'!E35),2),ROUND('Ground Base'!E$154*(1+GroundFuelSurcharge),2),ROUND(((1-GroundCommDiscount31Up-GroundCommIncentive)*'Ground Base'!E35)*(1+GroundFuelSurcharge),2)))*(1+FedEx_Markup),2)</f>
        <v>20.69</v>
      </c>
      <c r="F40" s="275">
        <f>ROUND((IF('Ground Base'!F$154&gt;ROUND(((1-GroundCommDiscount31Up-GroundCommIncentive)*'Ground Base'!F35),2),ROUND('Ground Base'!F$154*(1+GroundFuelSurcharge),2),ROUND(((1-GroundCommDiscount31Up-GroundCommIncentive)*'Ground Base'!F35)*(1+GroundFuelSurcharge),2)))*(1+FedEx_Markup),2)</f>
        <v>26.63</v>
      </c>
      <c r="G40" s="275">
        <f>ROUND((IF('Ground Base'!G$154&gt;ROUND(((1-GroundCommDiscount31Up-GroundCommIncentive)*'Ground Base'!G35),2),ROUND('Ground Base'!G$154*(1+GroundFuelSurcharge),2),ROUND(((1-GroundCommDiscount31Up-GroundCommIncentive)*'Ground Base'!G35)*(1+GroundFuelSurcharge),2)))*(1+FedEx_Markup),2)</f>
        <v>30.37</v>
      </c>
      <c r="H40" s="275">
        <f>ROUND((IF('Ground Base'!H$154&gt;ROUND(((1-GroundCommDiscount31Up-GroundCommIncentive)*'Ground Base'!H35),2),ROUND('Ground Base'!H$154*(1+GroundFuelSurcharge),2),ROUND(((1-GroundCommDiscount31Up-GroundCommIncentive)*'Ground Base'!H35)*(1+GroundFuelSurcharge),2)))*(1+FedEx_Markup),2)</f>
        <v>35.78</v>
      </c>
      <c r="I40" s="275">
        <f>ROUND((IF('Ground Base'!I$154&gt;ROUND(((1-GroundAKHIDiscount)*'Ground Base'!I35),2),ROUND('Ground Base'!I$154*(1+GroundFuelSurcharge),2),ROUND(((1-GroundAKHIDiscount)*'Ground Base'!I35)*(1+GroundFuelSurcharge),2)))*(1+FedEx_Markup),2)</f>
        <v>167.52</v>
      </c>
      <c r="J40" s="275">
        <f>ROUND((IF('Ground Base'!J$154&gt;ROUND(((1-GroundAKHIDiscount)*'Ground Base'!J35),2),ROUND('Ground Base'!J$154*(1+GroundFuelSurcharge),2),ROUND(((1-GroundAKHIDiscount)*'Ground Base'!J35)*(1+GroundFuelSurcharge),2)))*(1+FedEx_Markup),2)</f>
        <v>167.52</v>
      </c>
      <c r="K40" s="275">
        <f>ROUND((IF('Ground Base'!K$154&gt;ROUND(((1-GroundZone51Discount)*'Ground Base'!K35),2),ROUND('Ground Base'!K$154*(1+GroundFuelSurcharge),2),ROUND(((1-GroundZone51Discount)*'Ground Base'!K35)*(1+GroundFuelSurcharge),2)))*(1+FedEx_Markup),2)</f>
        <v>53.6</v>
      </c>
      <c r="L40" s="275">
        <f>ROUND((IF('Ground Base'!L$154&gt;ROUND(((1-GroundZone54Discount)*'Ground Base'!L35),2),ROUND('Ground Base'!L$154*(1+GroundFuelSurcharge),2),ROUND(((1-GroundZone54Discount)*'Ground Base'!L35)*(1+GroundFuelSurcharge),2)))*(1+FedEx_Markup),2)</f>
        <v>63.74</v>
      </c>
    </row>
    <row r="41" ht="12.75" customHeight="1">
      <c r="A41" s="274">
        <v>34.0</v>
      </c>
      <c r="B41" s="275">
        <f>ROUND((IF('Ground Base'!B$154&gt;ROUND(((1-GroundCommDiscount31Up-GroundCommIncentive)*'Ground Base'!B36),2),ROUND('Ground Base'!B$154*(1+GroundFuelSurcharge),2),ROUND(((1-GroundCommDiscount31Up-GroundCommIncentive)*'Ground Base'!B36)*(1+GroundFuelSurcharge),2)))*(1+FedEx_Markup),2)</f>
        <v>13.7</v>
      </c>
      <c r="C41" s="275">
        <f>ROUND((IF('Ground Base'!C$154&gt;ROUND(((1-GroundCommDiscount31Up-GroundCommIncentive)*'Ground Base'!C36),2),ROUND('Ground Base'!C$154*(1+GroundFuelSurcharge),2),ROUND(((1-GroundCommDiscount31Up-GroundCommIncentive)*'Ground Base'!C36)*(1+GroundFuelSurcharge),2)))*(1+FedEx_Markup),2)</f>
        <v>15.69</v>
      </c>
      <c r="D41" s="275">
        <f>ROUND((IF('Ground Base'!D$154&gt;ROUND(((1-GroundCommDiscount31Up-GroundCommIncentive)*'Ground Base'!D36),2),ROUND('Ground Base'!D$154*(1+GroundFuelSurcharge),2),ROUND(((1-GroundCommDiscount31Up-GroundCommIncentive)*'Ground Base'!D36)*(1+GroundFuelSurcharge),2)))*(1+FedEx_Markup),2)</f>
        <v>17.92</v>
      </c>
      <c r="E41" s="275">
        <f>ROUND((IF('Ground Base'!E$154&gt;ROUND(((1-GroundCommDiscount31Up-GroundCommIncentive)*'Ground Base'!E36),2),ROUND('Ground Base'!E$154*(1+GroundFuelSurcharge),2),ROUND(((1-GroundCommDiscount31Up-GroundCommIncentive)*'Ground Base'!E36)*(1+GroundFuelSurcharge),2)))*(1+FedEx_Markup),2)</f>
        <v>21.41</v>
      </c>
      <c r="F41" s="275">
        <f>ROUND((IF('Ground Base'!F$154&gt;ROUND(((1-GroundCommDiscount31Up-GroundCommIncentive)*'Ground Base'!F36),2),ROUND('Ground Base'!F$154*(1+GroundFuelSurcharge),2),ROUND(((1-GroundCommDiscount31Up-GroundCommIncentive)*'Ground Base'!F36)*(1+GroundFuelSurcharge),2)))*(1+FedEx_Markup),2)</f>
        <v>26.65</v>
      </c>
      <c r="G41" s="275">
        <f>ROUND((IF('Ground Base'!G$154&gt;ROUND(((1-GroundCommDiscount31Up-GroundCommIncentive)*'Ground Base'!G36),2),ROUND('Ground Base'!G$154*(1+GroundFuelSurcharge),2),ROUND(((1-GroundCommDiscount31Up-GroundCommIncentive)*'Ground Base'!G36)*(1+GroundFuelSurcharge),2)))*(1+FedEx_Markup),2)</f>
        <v>31.28</v>
      </c>
      <c r="H41" s="275">
        <f>ROUND((IF('Ground Base'!H$154&gt;ROUND(((1-GroundCommDiscount31Up-GroundCommIncentive)*'Ground Base'!H36),2),ROUND('Ground Base'!H$154*(1+GroundFuelSurcharge),2),ROUND(((1-GroundCommDiscount31Up-GroundCommIncentive)*'Ground Base'!H36)*(1+GroundFuelSurcharge),2)))*(1+FedEx_Markup),2)</f>
        <v>37.49</v>
      </c>
      <c r="I41" s="275">
        <f>ROUND((IF('Ground Base'!I$154&gt;ROUND(((1-GroundAKHIDiscount)*'Ground Base'!I36),2),ROUND('Ground Base'!I$154*(1+GroundFuelSurcharge),2),ROUND(((1-GroundAKHIDiscount)*'Ground Base'!I36)*(1+GroundFuelSurcharge),2)))*(1+FedEx_Markup),2)</f>
        <v>171.28</v>
      </c>
      <c r="J41" s="275">
        <f>ROUND((IF('Ground Base'!J$154&gt;ROUND(((1-GroundAKHIDiscount)*'Ground Base'!J36),2),ROUND('Ground Base'!J$154*(1+GroundFuelSurcharge),2),ROUND(((1-GroundAKHIDiscount)*'Ground Base'!J36)*(1+GroundFuelSurcharge),2)))*(1+FedEx_Markup),2)</f>
        <v>171.28</v>
      </c>
      <c r="K41" s="275">
        <f>ROUND((IF('Ground Base'!K$154&gt;ROUND(((1-GroundZone51Discount)*'Ground Base'!K36),2),ROUND('Ground Base'!K$154*(1+GroundFuelSurcharge),2),ROUND(((1-GroundZone51Discount)*'Ground Base'!K36)*(1+GroundFuelSurcharge),2)))*(1+FedEx_Markup),2)</f>
        <v>54.61</v>
      </c>
      <c r="L41" s="275">
        <f>ROUND((IF('Ground Base'!L$154&gt;ROUND(((1-GroundZone54Discount)*'Ground Base'!L36),2),ROUND('Ground Base'!L$154*(1+GroundFuelSurcharge),2),ROUND(((1-GroundZone54Discount)*'Ground Base'!L36)*(1+GroundFuelSurcharge),2)))*(1+FedEx_Markup),2)</f>
        <v>65.07</v>
      </c>
    </row>
    <row r="42" ht="12.75" customHeight="1">
      <c r="A42" s="274">
        <v>35.0</v>
      </c>
      <c r="B42" s="275">
        <f>ROUND((IF('Ground Base'!B$154&gt;ROUND(((1-GroundCommDiscount31Up-GroundCommIncentive)*'Ground Base'!B37),2),ROUND('Ground Base'!B$154*(1+GroundFuelSurcharge),2),ROUND(((1-GroundCommDiscount31Up-GroundCommIncentive)*'Ground Base'!B37)*(1+GroundFuelSurcharge),2)))*(1+FedEx_Markup),2)</f>
        <v>13.7</v>
      </c>
      <c r="C42" s="275">
        <f>ROUND((IF('Ground Base'!C$154&gt;ROUND(((1-GroundCommDiscount31Up-GroundCommIncentive)*'Ground Base'!C37),2),ROUND('Ground Base'!C$154*(1+GroundFuelSurcharge),2),ROUND(((1-GroundCommDiscount31Up-GroundCommIncentive)*'Ground Base'!C37)*(1+GroundFuelSurcharge),2)))*(1+FedEx_Markup),2)</f>
        <v>16.51</v>
      </c>
      <c r="D42" s="275">
        <f>ROUND((IF('Ground Base'!D$154&gt;ROUND(((1-GroundCommDiscount31Up-GroundCommIncentive)*'Ground Base'!D37),2),ROUND('Ground Base'!D$154*(1+GroundFuelSurcharge),2),ROUND(((1-GroundCommDiscount31Up-GroundCommIncentive)*'Ground Base'!D37)*(1+GroundFuelSurcharge),2)))*(1+FedEx_Markup),2)</f>
        <v>18.52</v>
      </c>
      <c r="E42" s="275">
        <f>ROUND((IF('Ground Base'!E$154&gt;ROUND(((1-GroundCommDiscount31Up-GroundCommIncentive)*'Ground Base'!E37),2),ROUND('Ground Base'!E$154*(1+GroundFuelSurcharge),2),ROUND(((1-GroundCommDiscount31Up-GroundCommIncentive)*'Ground Base'!E37)*(1+GroundFuelSurcharge),2)))*(1+FedEx_Markup),2)</f>
        <v>21.93</v>
      </c>
      <c r="F42" s="275">
        <f>ROUND((IF('Ground Base'!F$154&gt;ROUND(((1-GroundCommDiscount31Up-GroundCommIncentive)*'Ground Base'!F37),2),ROUND('Ground Base'!F$154*(1+GroundFuelSurcharge),2),ROUND(((1-GroundCommDiscount31Up-GroundCommIncentive)*'Ground Base'!F37)*(1+GroundFuelSurcharge),2)))*(1+FedEx_Markup),2)</f>
        <v>27.11</v>
      </c>
      <c r="G42" s="275">
        <f>ROUND((IF('Ground Base'!G$154&gt;ROUND(((1-GroundCommDiscount31Up-GroundCommIncentive)*'Ground Base'!G37),2),ROUND('Ground Base'!G$154*(1+GroundFuelSurcharge),2),ROUND(((1-GroundCommDiscount31Up-GroundCommIncentive)*'Ground Base'!G37)*(1+GroundFuelSurcharge),2)))*(1+FedEx_Markup),2)</f>
        <v>32.09</v>
      </c>
      <c r="H42" s="275">
        <f>ROUND((IF('Ground Base'!H$154&gt;ROUND(((1-GroundCommDiscount31Up-GroundCommIncentive)*'Ground Base'!H37),2),ROUND('Ground Base'!H$154*(1+GroundFuelSurcharge),2),ROUND(((1-GroundCommDiscount31Up-GroundCommIncentive)*'Ground Base'!H37)*(1+GroundFuelSurcharge),2)))*(1+FedEx_Markup),2)</f>
        <v>37.75</v>
      </c>
      <c r="I42" s="275">
        <f>ROUND((IF('Ground Base'!I$154&gt;ROUND(((1-GroundAKHIDiscount)*'Ground Base'!I37),2),ROUND('Ground Base'!I$154*(1+GroundFuelSurcharge),2),ROUND(((1-GroundAKHIDiscount)*'Ground Base'!I37)*(1+GroundFuelSurcharge),2)))*(1+FedEx_Markup),2)</f>
        <v>175.52</v>
      </c>
      <c r="J42" s="275">
        <f>ROUND((IF('Ground Base'!J$154&gt;ROUND(((1-GroundAKHIDiscount)*'Ground Base'!J37),2),ROUND('Ground Base'!J$154*(1+GroundFuelSurcharge),2),ROUND(((1-GroundAKHIDiscount)*'Ground Base'!J37)*(1+GroundFuelSurcharge),2)))*(1+FedEx_Markup),2)</f>
        <v>175.52</v>
      </c>
      <c r="K42" s="275">
        <f>ROUND((IF('Ground Base'!K$154&gt;ROUND(((1-GroundZone51Discount)*'Ground Base'!K37),2),ROUND('Ground Base'!K$154*(1+GroundFuelSurcharge),2),ROUND(((1-GroundZone51Discount)*'Ground Base'!K37)*(1+GroundFuelSurcharge),2)))*(1+FedEx_Markup),2)</f>
        <v>55.66</v>
      </c>
      <c r="L42" s="275">
        <f>ROUND((IF('Ground Base'!L$154&gt;ROUND(((1-GroundZone54Discount)*'Ground Base'!L37),2),ROUND('Ground Base'!L$154*(1+GroundFuelSurcharge),2),ROUND(((1-GroundZone54Discount)*'Ground Base'!L37)*(1+GroundFuelSurcharge),2)))*(1+FedEx_Markup),2)</f>
        <v>65.93</v>
      </c>
    </row>
    <row r="43" ht="12.75" customHeight="1">
      <c r="A43" s="274">
        <v>36.0</v>
      </c>
      <c r="B43" s="275">
        <f>ROUND((IF('Ground Base'!B$154&gt;ROUND(((1-GroundCommDiscount31Up-GroundCommIncentive)*'Ground Base'!B38),2),ROUND('Ground Base'!B$154*(1+GroundFuelSurcharge),2),ROUND(((1-GroundCommDiscount31Up-GroundCommIncentive)*'Ground Base'!B38)*(1+GroundFuelSurcharge),2)))*(1+FedEx_Markup),2)</f>
        <v>13.7</v>
      </c>
      <c r="C43" s="275">
        <f>ROUND((IF('Ground Base'!C$154&gt;ROUND(((1-GroundCommDiscount31Up-GroundCommIncentive)*'Ground Base'!C38),2),ROUND('Ground Base'!C$154*(1+GroundFuelSurcharge),2),ROUND(((1-GroundCommDiscount31Up-GroundCommIncentive)*'Ground Base'!C38)*(1+GroundFuelSurcharge),2)))*(1+FedEx_Markup),2)</f>
        <v>16.53</v>
      </c>
      <c r="D43" s="275">
        <f>ROUND((IF('Ground Base'!D$154&gt;ROUND(((1-GroundCommDiscount31Up-GroundCommIncentive)*'Ground Base'!D38),2),ROUND('Ground Base'!D$154*(1+GroundFuelSurcharge),2),ROUND(((1-GroundCommDiscount31Up-GroundCommIncentive)*'Ground Base'!D38)*(1+GroundFuelSurcharge),2)))*(1+FedEx_Markup),2)</f>
        <v>18.65</v>
      </c>
      <c r="E43" s="275">
        <f>ROUND((IF('Ground Base'!E$154&gt;ROUND(((1-GroundCommDiscount31Up-GroundCommIncentive)*'Ground Base'!E38),2),ROUND('Ground Base'!E$154*(1+GroundFuelSurcharge),2),ROUND(((1-GroundCommDiscount31Up-GroundCommIncentive)*'Ground Base'!E38)*(1+GroundFuelSurcharge),2)))*(1+FedEx_Markup),2)</f>
        <v>22.47</v>
      </c>
      <c r="F43" s="275">
        <f>ROUND((IF('Ground Base'!F$154&gt;ROUND(((1-GroundCommDiscount31Up-GroundCommIncentive)*'Ground Base'!F38),2),ROUND('Ground Base'!F$154*(1+GroundFuelSurcharge),2),ROUND(((1-GroundCommDiscount31Up-GroundCommIncentive)*'Ground Base'!F38)*(1+GroundFuelSurcharge),2)))*(1+FedEx_Markup),2)</f>
        <v>28.23</v>
      </c>
      <c r="G43" s="275">
        <f>ROUND((IF('Ground Base'!G$154&gt;ROUND(((1-GroundCommDiscount31Up-GroundCommIncentive)*'Ground Base'!G38),2),ROUND('Ground Base'!G$154*(1+GroundFuelSurcharge),2),ROUND(((1-GroundCommDiscount31Up-GroundCommIncentive)*'Ground Base'!G38)*(1+GroundFuelSurcharge),2)))*(1+FedEx_Markup),2)</f>
        <v>33.18</v>
      </c>
      <c r="H43" s="275">
        <f>ROUND((IF('Ground Base'!H$154&gt;ROUND(((1-GroundCommDiscount31Up-GroundCommIncentive)*'Ground Base'!H38),2),ROUND('Ground Base'!H$154*(1+GroundFuelSurcharge),2),ROUND(((1-GroundCommDiscount31Up-GroundCommIncentive)*'Ground Base'!H38)*(1+GroundFuelSurcharge),2)))*(1+FedEx_Markup),2)</f>
        <v>39.23</v>
      </c>
      <c r="I43" s="275">
        <f>ROUND((IF('Ground Base'!I$154&gt;ROUND(((1-GroundAKHIDiscount)*'Ground Base'!I38),2),ROUND('Ground Base'!I$154*(1+GroundFuelSurcharge),2),ROUND(((1-GroundAKHIDiscount)*'Ground Base'!I38)*(1+GroundFuelSurcharge),2)))*(1+FedEx_Markup),2)</f>
        <v>179.27</v>
      </c>
      <c r="J43" s="275">
        <f>ROUND((IF('Ground Base'!J$154&gt;ROUND(((1-GroundAKHIDiscount)*'Ground Base'!J38),2),ROUND('Ground Base'!J$154*(1+GroundFuelSurcharge),2),ROUND(((1-GroundAKHIDiscount)*'Ground Base'!J38)*(1+GroundFuelSurcharge),2)))*(1+FedEx_Markup),2)</f>
        <v>179.27</v>
      </c>
      <c r="K43" s="275">
        <f>ROUND((IF('Ground Base'!K$154&gt;ROUND(((1-GroundZone51Discount)*'Ground Base'!K38),2),ROUND('Ground Base'!K$154*(1+GroundFuelSurcharge),2),ROUND(((1-GroundZone51Discount)*'Ground Base'!K38)*(1+GroundFuelSurcharge),2)))*(1+FedEx_Markup),2)</f>
        <v>56.68</v>
      </c>
      <c r="L43" s="275">
        <f>ROUND((IF('Ground Base'!L$154&gt;ROUND(((1-GroundZone54Discount)*'Ground Base'!L38),2),ROUND('Ground Base'!L$154*(1+GroundFuelSurcharge),2),ROUND(((1-GroundZone54Discount)*'Ground Base'!L38)*(1+GroundFuelSurcharge),2)))*(1+FedEx_Markup),2)</f>
        <v>67.46</v>
      </c>
    </row>
    <row r="44" ht="12.75" customHeight="1">
      <c r="A44" s="274">
        <v>37.0</v>
      </c>
      <c r="B44" s="275">
        <f>ROUND((IF('Ground Base'!B$154&gt;ROUND(((1-GroundCommDiscount31Up-GroundCommIncentive)*'Ground Base'!B39),2),ROUND('Ground Base'!B$154*(1+GroundFuelSurcharge),2),ROUND(((1-GroundCommDiscount31Up-GroundCommIncentive)*'Ground Base'!B39)*(1+GroundFuelSurcharge),2)))*(1+FedEx_Markup),2)</f>
        <v>13.83</v>
      </c>
      <c r="C44" s="275">
        <f>ROUND((IF('Ground Base'!C$154&gt;ROUND(((1-GroundCommDiscount31Up-GroundCommIncentive)*'Ground Base'!C39),2),ROUND('Ground Base'!C$154*(1+GroundFuelSurcharge),2),ROUND(((1-GroundCommDiscount31Up-GroundCommIncentive)*'Ground Base'!C39)*(1+GroundFuelSurcharge),2)))*(1+FedEx_Markup),2)</f>
        <v>16.74</v>
      </c>
      <c r="D44" s="275">
        <f>ROUND((IF('Ground Base'!D$154&gt;ROUND(((1-GroundCommDiscount31Up-GroundCommIncentive)*'Ground Base'!D39),2),ROUND('Ground Base'!D$154*(1+GroundFuelSurcharge),2),ROUND(((1-GroundCommDiscount31Up-GroundCommIncentive)*'Ground Base'!D39)*(1+GroundFuelSurcharge),2)))*(1+FedEx_Markup),2)</f>
        <v>18.85</v>
      </c>
      <c r="E44" s="275">
        <f>ROUND((IF('Ground Base'!E$154&gt;ROUND(((1-GroundCommDiscount31Up-GroundCommIncentive)*'Ground Base'!E39),2),ROUND('Ground Base'!E$154*(1+GroundFuelSurcharge),2),ROUND(((1-GroundCommDiscount31Up-GroundCommIncentive)*'Ground Base'!E39)*(1+GroundFuelSurcharge),2)))*(1+FedEx_Markup),2)</f>
        <v>22.97</v>
      </c>
      <c r="F44" s="275">
        <f>ROUND((IF('Ground Base'!F$154&gt;ROUND(((1-GroundCommDiscount31Up-GroundCommIncentive)*'Ground Base'!F39),2),ROUND('Ground Base'!F$154*(1+GroundFuelSurcharge),2),ROUND(((1-GroundCommDiscount31Up-GroundCommIncentive)*'Ground Base'!F39)*(1+GroundFuelSurcharge),2)))*(1+FedEx_Markup),2)</f>
        <v>28.36</v>
      </c>
      <c r="G44" s="275">
        <f>ROUND((IF('Ground Base'!G$154&gt;ROUND(((1-GroundCommDiscount31Up-GroundCommIncentive)*'Ground Base'!G39),2),ROUND('Ground Base'!G$154*(1+GroundFuelSurcharge),2),ROUND(((1-GroundCommDiscount31Up-GroundCommIncentive)*'Ground Base'!G39)*(1+GroundFuelSurcharge),2)))*(1+FedEx_Markup),2)</f>
        <v>34.25</v>
      </c>
      <c r="H44" s="275">
        <f>ROUND((IF('Ground Base'!H$154&gt;ROUND(((1-GroundCommDiscount31Up-GroundCommIncentive)*'Ground Base'!H39),2),ROUND('Ground Base'!H$154*(1+GroundFuelSurcharge),2),ROUND(((1-GroundCommDiscount31Up-GroundCommIncentive)*'Ground Base'!H39)*(1+GroundFuelSurcharge),2)))*(1+FedEx_Markup),2)</f>
        <v>39.62</v>
      </c>
      <c r="I44" s="275">
        <f>ROUND((IF('Ground Base'!I$154&gt;ROUND(((1-GroundAKHIDiscount)*'Ground Base'!I39),2),ROUND('Ground Base'!I$154*(1+GroundFuelSurcharge),2),ROUND(((1-GroundAKHIDiscount)*'Ground Base'!I39)*(1+GroundFuelSurcharge),2)))*(1+FedEx_Markup),2)</f>
        <v>183.38</v>
      </c>
      <c r="J44" s="275">
        <f>ROUND((IF('Ground Base'!J$154&gt;ROUND(((1-GroundAKHIDiscount)*'Ground Base'!J39),2),ROUND('Ground Base'!J$154*(1+GroundFuelSurcharge),2),ROUND(((1-GroundAKHIDiscount)*'Ground Base'!J39)*(1+GroundFuelSurcharge),2)))*(1+FedEx_Markup),2)</f>
        <v>183.38</v>
      </c>
      <c r="K44" s="275">
        <f>ROUND((IF('Ground Base'!K$154&gt;ROUND(((1-GroundZone51Discount)*'Ground Base'!K39),2),ROUND('Ground Base'!K$154*(1+GroundFuelSurcharge),2),ROUND(((1-GroundZone51Discount)*'Ground Base'!K39)*(1+GroundFuelSurcharge),2)))*(1+FedEx_Markup),2)</f>
        <v>57.96</v>
      </c>
      <c r="L44" s="275">
        <f>ROUND((IF('Ground Base'!L$154&gt;ROUND(((1-GroundZone54Discount)*'Ground Base'!L39),2),ROUND('Ground Base'!L$154*(1+GroundFuelSurcharge),2),ROUND(((1-GroundZone54Discount)*'Ground Base'!L39)*(1+GroundFuelSurcharge),2)))*(1+FedEx_Markup),2)</f>
        <v>68.83</v>
      </c>
    </row>
    <row r="45" ht="12.75" customHeight="1">
      <c r="A45" s="274">
        <v>38.0</v>
      </c>
      <c r="B45" s="275">
        <f>ROUND((IF('Ground Base'!B$154&gt;ROUND(((1-GroundCommDiscount31Up-GroundCommIncentive)*'Ground Base'!B40),2),ROUND('Ground Base'!B$154*(1+GroundFuelSurcharge),2),ROUND(((1-GroundCommDiscount31Up-GroundCommIncentive)*'Ground Base'!B40)*(1+GroundFuelSurcharge),2)))*(1+FedEx_Markup),2)</f>
        <v>14.05</v>
      </c>
      <c r="C45" s="275">
        <f>ROUND((IF('Ground Base'!C$154&gt;ROUND(((1-GroundCommDiscount31Up-GroundCommIncentive)*'Ground Base'!C40),2),ROUND('Ground Base'!C$154*(1+GroundFuelSurcharge),2),ROUND(((1-GroundCommDiscount31Up-GroundCommIncentive)*'Ground Base'!C40)*(1+GroundFuelSurcharge),2)))*(1+FedEx_Markup),2)</f>
        <v>17</v>
      </c>
      <c r="D45" s="275">
        <f>ROUND((IF('Ground Base'!D$154&gt;ROUND(((1-GroundCommDiscount31Up-GroundCommIncentive)*'Ground Base'!D40),2),ROUND('Ground Base'!D$154*(1+GroundFuelSurcharge),2),ROUND(((1-GroundCommDiscount31Up-GroundCommIncentive)*'Ground Base'!D40)*(1+GroundFuelSurcharge),2)))*(1+FedEx_Markup),2)</f>
        <v>19.46</v>
      </c>
      <c r="E45" s="275">
        <f>ROUND((IF('Ground Base'!E$154&gt;ROUND(((1-GroundCommDiscount31Up-GroundCommIncentive)*'Ground Base'!E40),2),ROUND('Ground Base'!E$154*(1+GroundFuelSurcharge),2),ROUND(((1-GroundCommDiscount31Up-GroundCommIncentive)*'Ground Base'!E40)*(1+GroundFuelSurcharge),2)))*(1+FedEx_Markup),2)</f>
        <v>23.52</v>
      </c>
      <c r="F45" s="275">
        <f>ROUND((IF('Ground Base'!F$154&gt;ROUND(((1-GroundCommDiscount31Up-GroundCommIncentive)*'Ground Base'!F40),2),ROUND('Ground Base'!F$154*(1+GroundFuelSurcharge),2),ROUND(((1-GroundCommDiscount31Up-GroundCommIncentive)*'Ground Base'!F40)*(1+GroundFuelSurcharge),2)))*(1+FedEx_Markup),2)</f>
        <v>29</v>
      </c>
      <c r="G45" s="275">
        <f>ROUND((IF('Ground Base'!G$154&gt;ROUND(((1-GroundCommDiscount31Up-GroundCommIncentive)*'Ground Base'!G40),2),ROUND('Ground Base'!G$154*(1+GroundFuelSurcharge),2),ROUND(((1-GroundCommDiscount31Up-GroundCommIncentive)*'Ground Base'!G40)*(1+GroundFuelSurcharge),2)))*(1+FedEx_Markup),2)</f>
        <v>34.39</v>
      </c>
      <c r="H45" s="275">
        <f>ROUND((IF('Ground Base'!H$154&gt;ROUND(((1-GroundCommDiscount31Up-GroundCommIncentive)*'Ground Base'!H40),2),ROUND('Ground Base'!H$154*(1+GroundFuelSurcharge),2),ROUND(((1-GroundCommDiscount31Up-GroundCommIncentive)*'Ground Base'!H40)*(1+GroundFuelSurcharge),2)))*(1+FedEx_Markup),2)</f>
        <v>40.35</v>
      </c>
      <c r="I45" s="275">
        <f>ROUND((IF('Ground Base'!I$154&gt;ROUND(((1-GroundAKHIDiscount)*'Ground Base'!I40),2),ROUND('Ground Base'!I$154*(1+GroundFuelSurcharge),2),ROUND(((1-GroundAKHIDiscount)*'Ground Base'!I40)*(1+GroundFuelSurcharge),2)))*(1+FedEx_Markup),2)</f>
        <v>187.76</v>
      </c>
      <c r="J45" s="275">
        <f>ROUND((IF('Ground Base'!J$154&gt;ROUND(((1-GroundAKHIDiscount)*'Ground Base'!J40),2),ROUND('Ground Base'!J$154*(1+GroundFuelSurcharge),2),ROUND(((1-GroundAKHIDiscount)*'Ground Base'!J40)*(1+GroundFuelSurcharge),2)))*(1+FedEx_Markup),2)</f>
        <v>187.76</v>
      </c>
      <c r="K45" s="275">
        <f>ROUND((IF('Ground Base'!K$154&gt;ROUND(((1-GroundZone51Discount)*'Ground Base'!K40),2),ROUND('Ground Base'!K$154*(1+GroundFuelSurcharge),2),ROUND(((1-GroundZone51Discount)*'Ground Base'!K40)*(1+GroundFuelSurcharge),2)))*(1+FedEx_Markup),2)</f>
        <v>59.01</v>
      </c>
      <c r="L45" s="275">
        <f>ROUND((IF('Ground Base'!L$154&gt;ROUND(((1-GroundZone54Discount)*'Ground Base'!L40),2),ROUND('Ground Base'!L$154*(1+GroundFuelSurcharge),2),ROUND(((1-GroundZone54Discount)*'Ground Base'!L40)*(1+GroundFuelSurcharge),2)))*(1+FedEx_Markup),2)</f>
        <v>70.01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2.75" customHeight="1">
      <c r="A46" s="274">
        <v>39.0</v>
      </c>
      <c r="B46" s="275">
        <f>ROUND((IF('Ground Base'!B$154&gt;ROUND(((1-GroundCommDiscount31Up-GroundCommIncentive)*'Ground Base'!B41),2),ROUND('Ground Base'!B$154*(1+GroundFuelSurcharge),2),ROUND(((1-GroundCommDiscount31Up-GroundCommIncentive)*'Ground Base'!B41)*(1+GroundFuelSurcharge),2)))*(1+FedEx_Markup),2)</f>
        <v>14.51</v>
      </c>
      <c r="C46" s="275">
        <f>ROUND((IF('Ground Base'!C$154&gt;ROUND(((1-GroundCommDiscount31Up-GroundCommIncentive)*'Ground Base'!C41),2),ROUND('Ground Base'!C$154*(1+GroundFuelSurcharge),2),ROUND(((1-GroundCommDiscount31Up-GroundCommIncentive)*'Ground Base'!C41)*(1+GroundFuelSurcharge),2)))*(1+FedEx_Markup),2)</f>
        <v>17.66</v>
      </c>
      <c r="D46" s="275">
        <f>ROUND((IF('Ground Base'!D$154&gt;ROUND(((1-GroundCommDiscount31Up-GroundCommIncentive)*'Ground Base'!D41),2),ROUND('Ground Base'!D$154*(1+GroundFuelSurcharge),2),ROUND(((1-GroundCommDiscount31Up-GroundCommIncentive)*'Ground Base'!D41)*(1+GroundFuelSurcharge),2)))*(1+FedEx_Markup),2)</f>
        <v>20.29</v>
      </c>
      <c r="E46" s="275">
        <f>ROUND((IF('Ground Base'!E$154&gt;ROUND(((1-GroundCommDiscount31Up-GroundCommIncentive)*'Ground Base'!E41),2),ROUND('Ground Base'!E$154*(1+GroundFuelSurcharge),2),ROUND(((1-GroundCommDiscount31Up-GroundCommIncentive)*'Ground Base'!E41)*(1+GroundFuelSurcharge),2)))*(1+FedEx_Markup),2)</f>
        <v>24.24</v>
      </c>
      <c r="F46" s="275">
        <f>ROUND((IF('Ground Base'!F$154&gt;ROUND(((1-GroundCommDiscount31Up-GroundCommIncentive)*'Ground Base'!F41),2),ROUND('Ground Base'!F$154*(1+GroundFuelSurcharge),2),ROUND(((1-GroundCommDiscount31Up-GroundCommIncentive)*'Ground Base'!F41)*(1+GroundFuelSurcharge),2)))*(1+FedEx_Markup),2)</f>
        <v>30.33</v>
      </c>
      <c r="G46" s="275">
        <f>ROUND((IF('Ground Base'!G$154&gt;ROUND(((1-GroundCommDiscount31Up-GroundCommIncentive)*'Ground Base'!G41),2),ROUND('Ground Base'!G$154*(1+GroundFuelSurcharge),2),ROUND(((1-GroundCommDiscount31Up-GroundCommIncentive)*'Ground Base'!G41)*(1+GroundFuelSurcharge),2)))*(1+FedEx_Markup),2)</f>
        <v>35.74</v>
      </c>
      <c r="H46" s="275">
        <f>ROUND((IF('Ground Base'!H$154&gt;ROUND(((1-GroundCommDiscount31Up-GroundCommIncentive)*'Ground Base'!H41),2),ROUND('Ground Base'!H$154*(1+GroundFuelSurcharge),2),ROUND(((1-GroundCommDiscount31Up-GroundCommIncentive)*'Ground Base'!H41)*(1+GroundFuelSurcharge),2)))*(1+FedEx_Markup),2)</f>
        <v>41.18</v>
      </c>
      <c r="I46" s="275">
        <f>ROUND((IF('Ground Base'!I$154&gt;ROUND(((1-GroundAKHIDiscount)*'Ground Base'!I41),2),ROUND('Ground Base'!I$154*(1+GroundFuelSurcharge),2),ROUND(((1-GroundAKHIDiscount)*'Ground Base'!I41)*(1+GroundFuelSurcharge),2)))*(1+FedEx_Markup),2)</f>
        <v>191.81</v>
      </c>
      <c r="J46" s="275">
        <f>ROUND((IF('Ground Base'!J$154&gt;ROUND(((1-GroundAKHIDiscount)*'Ground Base'!J41),2),ROUND('Ground Base'!J$154*(1+GroundFuelSurcharge),2),ROUND(((1-GroundAKHIDiscount)*'Ground Base'!J41)*(1+GroundFuelSurcharge),2)))*(1+FedEx_Markup),2)</f>
        <v>191.81</v>
      </c>
      <c r="K46" s="275">
        <f>ROUND((IF('Ground Base'!K$154&gt;ROUND(((1-GroundZone51Discount)*'Ground Base'!K41),2),ROUND('Ground Base'!K$154*(1+GroundFuelSurcharge),2),ROUND(((1-GroundZone51Discount)*'Ground Base'!K41)*(1+GroundFuelSurcharge),2)))*(1+FedEx_Markup),2)</f>
        <v>60.36</v>
      </c>
      <c r="L46" s="275">
        <f>ROUND((IF('Ground Base'!L$154&gt;ROUND(((1-GroundZone54Discount)*'Ground Base'!L41),2),ROUND('Ground Base'!L$154*(1+GroundFuelSurcharge),2),ROUND(((1-GroundZone54Discount)*'Ground Base'!L41)*(1+GroundFuelSurcharge),2)))*(1+FedEx_Markup),2)</f>
        <v>71.14</v>
      </c>
    </row>
    <row r="47" ht="12.75" customHeight="1">
      <c r="A47" s="274">
        <v>40.0</v>
      </c>
      <c r="B47" s="275">
        <f>ROUND((IF('Ground Base'!B$154&gt;ROUND(((1-GroundCommDiscount31Up-GroundCommIncentive)*'Ground Base'!B42),2),ROUND('Ground Base'!B$154*(1+GroundFuelSurcharge),2),ROUND(((1-GroundCommDiscount31Up-GroundCommIncentive)*'Ground Base'!B42)*(1+GroundFuelSurcharge),2)))*(1+FedEx_Markup),2)</f>
        <v>14.52</v>
      </c>
      <c r="C47" s="275">
        <f>ROUND((IF('Ground Base'!C$154&gt;ROUND(((1-GroundCommDiscount31Up-GroundCommIncentive)*'Ground Base'!C42),2),ROUND('Ground Base'!C$154*(1+GroundFuelSurcharge),2),ROUND(((1-GroundCommDiscount31Up-GroundCommIncentive)*'Ground Base'!C42)*(1+GroundFuelSurcharge),2)))*(1+FedEx_Markup),2)</f>
        <v>17.73</v>
      </c>
      <c r="D47" s="275">
        <f>ROUND((IF('Ground Base'!D$154&gt;ROUND(((1-GroundCommDiscount31Up-GroundCommIncentive)*'Ground Base'!D42),2),ROUND('Ground Base'!D$154*(1+GroundFuelSurcharge),2),ROUND(((1-GroundCommDiscount31Up-GroundCommIncentive)*'Ground Base'!D42)*(1+GroundFuelSurcharge),2)))*(1+FedEx_Markup),2)</f>
        <v>20.3</v>
      </c>
      <c r="E47" s="275">
        <f>ROUND((IF('Ground Base'!E$154&gt;ROUND(((1-GroundCommDiscount31Up-GroundCommIncentive)*'Ground Base'!E42),2),ROUND('Ground Base'!E$154*(1+GroundFuelSurcharge),2),ROUND(((1-GroundCommDiscount31Up-GroundCommIncentive)*'Ground Base'!E42)*(1+GroundFuelSurcharge),2)))*(1+FedEx_Markup),2)</f>
        <v>24.25</v>
      </c>
      <c r="F47" s="275">
        <f>ROUND((IF('Ground Base'!F$154&gt;ROUND(((1-GroundCommDiscount31Up-GroundCommIncentive)*'Ground Base'!F42),2),ROUND('Ground Base'!F$154*(1+GroundFuelSurcharge),2),ROUND(((1-GroundCommDiscount31Up-GroundCommIncentive)*'Ground Base'!F42)*(1+GroundFuelSurcharge),2)))*(1+FedEx_Markup),2)</f>
        <v>30.36</v>
      </c>
      <c r="G47" s="275">
        <f>ROUND((IF('Ground Base'!G$154&gt;ROUND(((1-GroundCommDiscount31Up-GroundCommIncentive)*'Ground Base'!G42),2),ROUND('Ground Base'!G$154*(1+GroundFuelSurcharge),2),ROUND(((1-GroundCommDiscount31Up-GroundCommIncentive)*'Ground Base'!G42)*(1+GroundFuelSurcharge),2)))*(1+FedEx_Markup),2)</f>
        <v>35.74</v>
      </c>
      <c r="H47" s="275">
        <f>ROUND((IF('Ground Base'!H$154&gt;ROUND(((1-GroundCommDiscount31Up-GroundCommIncentive)*'Ground Base'!H42),2),ROUND('Ground Base'!H$154*(1+GroundFuelSurcharge),2),ROUND(((1-GroundCommDiscount31Up-GroundCommIncentive)*'Ground Base'!H42)*(1+GroundFuelSurcharge),2)))*(1+FedEx_Markup),2)</f>
        <v>41.19</v>
      </c>
      <c r="I47" s="275">
        <f>ROUND((IF('Ground Base'!I$154&gt;ROUND(((1-GroundAKHIDiscount)*'Ground Base'!I42),2),ROUND('Ground Base'!I$154*(1+GroundFuelSurcharge),2),ROUND(((1-GroundAKHIDiscount)*'Ground Base'!I42)*(1+GroundFuelSurcharge),2)))*(1+FedEx_Markup),2)</f>
        <v>195.91</v>
      </c>
      <c r="J47" s="275">
        <f>ROUND((IF('Ground Base'!J$154&gt;ROUND(((1-GroundAKHIDiscount)*'Ground Base'!J42),2),ROUND('Ground Base'!J$154*(1+GroundFuelSurcharge),2),ROUND(((1-GroundAKHIDiscount)*'Ground Base'!J42)*(1+GroundFuelSurcharge),2)))*(1+FedEx_Markup),2)</f>
        <v>195.91</v>
      </c>
      <c r="K47" s="275">
        <f>ROUND((IF('Ground Base'!K$154&gt;ROUND(((1-GroundZone51Discount)*'Ground Base'!K42),2),ROUND('Ground Base'!K$154*(1+GroundFuelSurcharge),2),ROUND(((1-GroundZone51Discount)*'Ground Base'!K42)*(1+GroundFuelSurcharge),2)))*(1+FedEx_Markup),2)</f>
        <v>61.38</v>
      </c>
      <c r="L47" s="275">
        <f>ROUND((IF('Ground Base'!L$154&gt;ROUND(((1-GroundZone54Discount)*'Ground Base'!L42),2),ROUND('Ground Base'!L$154*(1+GroundFuelSurcharge),2),ROUND(((1-GroundZone54Discount)*'Ground Base'!L42)*(1+GroundFuelSurcharge),2)))*(1+FedEx_Markup),2)</f>
        <v>72.51</v>
      </c>
    </row>
    <row r="48" ht="12.75" customHeight="1">
      <c r="A48" s="274">
        <v>41.0</v>
      </c>
      <c r="B48" s="275">
        <f>ROUND((IF('Ground Base'!B$154&gt;ROUND(((1-GroundCommDiscount31Up-GroundCommIncentive)*'Ground Base'!B43),2),ROUND('Ground Base'!B$154*(1+GroundFuelSurcharge),2),ROUND(((1-GroundCommDiscount31Up-GroundCommIncentive)*'Ground Base'!B43)*(1+GroundFuelSurcharge),2)))*(1+FedEx_Markup),2)</f>
        <v>14.86</v>
      </c>
      <c r="C48" s="275">
        <f>ROUND((IF('Ground Base'!C$154&gt;ROUND(((1-GroundCommDiscount31Up-GroundCommIncentive)*'Ground Base'!C43),2),ROUND('Ground Base'!C$154*(1+GroundFuelSurcharge),2),ROUND(((1-GroundCommDiscount31Up-GroundCommIncentive)*'Ground Base'!C43)*(1+GroundFuelSurcharge),2)))*(1+FedEx_Markup),2)</f>
        <v>18.49</v>
      </c>
      <c r="D48" s="275">
        <f>ROUND((IF('Ground Base'!D$154&gt;ROUND(((1-GroundCommDiscount31Up-GroundCommIncentive)*'Ground Base'!D43),2),ROUND('Ground Base'!D$154*(1+GroundFuelSurcharge),2),ROUND(((1-GroundCommDiscount31Up-GroundCommIncentive)*'Ground Base'!D43)*(1+GroundFuelSurcharge),2)))*(1+FedEx_Markup),2)</f>
        <v>20.88</v>
      </c>
      <c r="E48" s="275">
        <f>ROUND((IF('Ground Base'!E$154&gt;ROUND(((1-GroundCommDiscount31Up-GroundCommIncentive)*'Ground Base'!E43),2),ROUND('Ground Base'!E$154*(1+GroundFuelSurcharge),2),ROUND(((1-GroundCommDiscount31Up-GroundCommIncentive)*'Ground Base'!E43)*(1+GroundFuelSurcharge),2)))*(1+FedEx_Markup),2)</f>
        <v>25.12</v>
      </c>
      <c r="F48" s="275">
        <f>ROUND((IF('Ground Base'!F$154&gt;ROUND(((1-GroundCommDiscount31Up-GroundCommIncentive)*'Ground Base'!F43),2),ROUND('Ground Base'!F$154*(1+GroundFuelSurcharge),2),ROUND(((1-GroundCommDiscount31Up-GroundCommIncentive)*'Ground Base'!F43)*(1+GroundFuelSurcharge),2)))*(1+FedEx_Markup),2)</f>
        <v>31.63</v>
      </c>
      <c r="G48" s="275">
        <f>ROUND((IF('Ground Base'!G$154&gt;ROUND(((1-GroundCommDiscount31Up-GroundCommIncentive)*'Ground Base'!G43),2),ROUND('Ground Base'!G$154*(1+GroundFuelSurcharge),2),ROUND(((1-GroundCommDiscount31Up-GroundCommIncentive)*'Ground Base'!G43)*(1+GroundFuelSurcharge),2)))*(1+FedEx_Markup),2)</f>
        <v>36.85</v>
      </c>
      <c r="H48" s="275">
        <f>ROUND((IF('Ground Base'!H$154&gt;ROUND(((1-GroundCommDiscount31Up-GroundCommIncentive)*'Ground Base'!H43),2),ROUND('Ground Base'!H$154*(1+GroundFuelSurcharge),2),ROUND(((1-GroundCommDiscount31Up-GroundCommIncentive)*'Ground Base'!H43)*(1+GroundFuelSurcharge),2)))*(1+FedEx_Markup),2)</f>
        <v>42.75</v>
      </c>
      <c r="I48" s="275">
        <f>ROUND((IF('Ground Base'!I$154&gt;ROUND(((1-GroundAKHIDiscount)*'Ground Base'!I43),2),ROUND('Ground Base'!I$154*(1+GroundFuelSurcharge),2),ROUND(((1-GroundAKHIDiscount)*'Ground Base'!I43)*(1+GroundFuelSurcharge),2)))*(1+FedEx_Markup),2)</f>
        <v>199.3</v>
      </c>
      <c r="J48" s="275">
        <f>ROUND((IF('Ground Base'!J$154&gt;ROUND(((1-GroundAKHIDiscount)*'Ground Base'!J43),2),ROUND('Ground Base'!J$154*(1+GroundFuelSurcharge),2),ROUND(((1-GroundAKHIDiscount)*'Ground Base'!J43)*(1+GroundFuelSurcharge),2)))*(1+FedEx_Markup),2)</f>
        <v>199.3</v>
      </c>
      <c r="K48" s="275">
        <f>ROUND((IF('Ground Base'!K$154&gt;ROUND(((1-GroundZone51Discount)*'Ground Base'!K43),2),ROUND('Ground Base'!K$154*(1+GroundFuelSurcharge),2),ROUND(((1-GroundZone51Discount)*'Ground Base'!K43)*(1+GroundFuelSurcharge),2)))*(1+FedEx_Markup),2)</f>
        <v>62.43</v>
      </c>
      <c r="L48" s="275">
        <f>ROUND((IF('Ground Base'!L$154&gt;ROUND(((1-GroundZone54Discount)*'Ground Base'!L43),2),ROUND('Ground Base'!L$154*(1+GroundFuelSurcharge),2),ROUND(((1-GroundZone54Discount)*'Ground Base'!L43)*(1+GroundFuelSurcharge),2)))*(1+FedEx_Markup),2)</f>
        <v>73.74</v>
      </c>
    </row>
    <row r="49" ht="12.75" customHeight="1">
      <c r="A49" s="274">
        <v>42.0</v>
      </c>
      <c r="B49" s="275">
        <f>ROUND((IF('Ground Base'!B$154&gt;ROUND(((1-GroundCommDiscount31Up-GroundCommIncentive)*'Ground Base'!B44),2),ROUND('Ground Base'!B$154*(1+GroundFuelSurcharge),2),ROUND(((1-GroundCommDiscount31Up-GroundCommIncentive)*'Ground Base'!B44)*(1+GroundFuelSurcharge),2)))*(1+FedEx_Markup),2)</f>
        <v>14.86</v>
      </c>
      <c r="C49" s="275">
        <f>ROUND((IF('Ground Base'!C$154&gt;ROUND(((1-GroundCommDiscount31Up-GroundCommIncentive)*'Ground Base'!C44),2),ROUND('Ground Base'!C$154*(1+GroundFuelSurcharge),2),ROUND(((1-GroundCommDiscount31Up-GroundCommIncentive)*'Ground Base'!C44)*(1+GroundFuelSurcharge),2)))*(1+FedEx_Markup),2)</f>
        <v>18.56</v>
      </c>
      <c r="D49" s="275">
        <f>ROUND((IF('Ground Base'!D$154&gt;ROUND(((1-GroundCommDiscount31Up-GroundCommIncentive)*'Ground Base'!D44),2),ROUND('Ground Base'!D$154*(1+GroundFuelSurcharge),2),ROUND(((1-GroundCommDiscount31Up-GroundCommIncentive)*'Ground Base'!D44)*(1+GroundFuelSurcharge),2)))*(1+FedEx_Markup),2)</f>
        <v>21.69</v>
      </c>
      <c r="E49" s="275">
        <f>ROUND((IF('Ground Base'!E$154&gt;ROUND(((1-GroundCommDiscount31Up-GroundCommIncentive)*'Ground Base'!E44),2),ROUND('Ground Base'!E$154*(1+GroundFuelSurcharge),2),ROUND(((1-GroundCommDiscount31Up-GroundCommIncentive)*'Ground Base'!E44)*(1+GroundFuelSurcharge),2)))*(1+FedEx_Markup),2)</f>
        <v>25.2</v>
      </c>
      <c r="F49" s="275">
        <f>ROUND((IF('Ground Base'!F$154&gt;ROUND(((1-GroundCommDiscount31Up-GroundCommIncentive)*'Ground Base'!F44),2),ROUND('Ground Base'!F$154*(1+GroundFuelSurcharge),2),ROUND(((1-GroundCommDiscount31Up-GroundCommIncentive)*'Ground Base'!F44)*(1+GroundFuelSurcharge),2)))*(1+FedEx_Markup),2)</f>
        <v>31.76</v>
      </c>
      <c r="G49" s="275">
        <f>ROUND((IF('Ground Base'!G$154&gt;ROUND(((1-GroundCommDiscount31Up-GroundCommIncentive)*'Ground Base'!G44),2),ROUND('Ground Base'!G$154*(1+GroundFuelSurcharge),2),ROUND(((1-GroundCommDiscount31Up-GroundCommIncentive)*'Ground Base'!G44)*(1+GroundFuelSurcharge),2)))*(1+FedEx_Markup),2)</f>
        <v>37.48</v>
      </c>
      <c r="H49" s="275">
        <f>ROUND((IF('Ground Base'!H$154&gt;ROUND(((1-GroundCommDiscount31Up-GroundCommIncentive)*'Ground Base'!H44),2),ROUND('Ground Base'!H$154*(1+GroundFuelSurcharge),2),ROUND(((1-GroundCommDiscount31Up-GroundCommIncentive)*'Ground Base'!H44)*(1+GroundFuelSurcharge),2)))*(1+FedEx_Markup),2)</f>
        <v>42.96</v>
      </c>
      <c r="I49" s="275">
        <f>ROUND((IF('Ground Base'!I$154&gt;ROUND(((1-GroundAKHIDiscount)*'Ground Base'!I44),2),ROUND('Ground Base'!I$154*(1+GroundFuelSurcharge),2),ROUND(((1-GroundAKHIDiscount)*'Ground Base'!I44)*(1+GroundFuelSurcharge),2)))*(1+FedEx_Markup),2)</f>
        <v>203.07</v>
      </c>
      <c r="J49" s="275">
        <f>ROUND((IF('Ground Base'!J$154&gt;ROUND(((1-GroundAKHIDiscount)*'Ground Base'!J44),2),ROUND('Ground Base'!J$154*(1+GroundFuelSurcharge),2),ROUND(((1-GroundAKHIDiscount)*'Ground Base'!J44)*(1+GroundFuelSurcharge),2)))*(1+FedEx_Markup),2)</f>
        <v>203.07</v>
      </c>
      <c r="K49" s="275">
        <f>ROUND((IF('Ground Base'!K$154&gt;ROUND(((1-GroundZone51Discount)*'Ground Base'!K44),2),ROUND('Ground Base'!K$154*(1+GroundFuelSurcharge),2),ROUND(((1-GroundZone51Discount)*'Ground Base'!K44)*(1+GroundFuelSurcharge),2)))*(1+FedEx_Markup),2)</f>
        <v>63.42</v>
      </c>
      <c r="L49" s="275">
        <f>ROUND((IF('Ground Base'!L$154&gt;ROUND(((1-GroundZone54Discount)*'Ground Base'!L44),2),ROUND('Ground Base'!L$154*(1+GroundFuelSurcharge),2),ROUND(((1-GroundZone54Discount)*'Ground Base'!L44)*(1+GroundFuelSurcharge),2)))*(1+FedEx_Markup),2)</f>
        <v>74.83</v>
      </c>
    </row>
    <row r="50" ht="12.75" customHeight="1">
      <c r="A50" s="274">
        <v>43.0</v>
      </c>
      <c r="B50" s="275">
        <f>ROUND((IF('Ground Base'!B$154&gt;ROUND(((1-GroundCommDiscount31Up-GroundCommIncentive)*'Ground Base'!B45),2),ROUND('Ground Base'!B$154*(1+GroundFuelSurcharge),2),ROUND(((1-GroundCommDiscount31Up-GroundCommIncentive)*'Ground Base'!B45)*(1+GroundFuelSurcharge),2)))*(1+FedEx_Markup),2)</f>
        <v>15.15</v>
      </c>
      <c r="C50" s="275">
        <f>ROUND((IF('Ground Base'!C$154&gt;ROUND(((1-GroundCommDiscount31Up-GroundCommIncentive)*'Ground Base'!C45),2),ROUND('Ground Base'!C$154*(1+GroundFuelSurcharge),2),ROUND(((1-GroundCommDiscount31Up-GroundCommIncentive)*'Ground Base'!C45)*(1+GroundFuelSurcharge),2)))*(1+FedEx_Markup),2)</f>
        <v>18.83</v>
      </c>
      <c r="D50" s="275">
        <f>ROUND((IF('Ground Base'!D$154&gt;ROUND(((1-GroundCommDiscount31Up-GroundCommIncentive)*'Ground Base'!D45),2),ROUND('Ground Base'!D$154*(1+GroundFuelSurcharge),2),ROUND(((1-GroundCommDiscount31Up-GroundCommIncentive)*'Ground Base'!D45)*(1+GroundFuelSurcharge),2)))*(1+FedEx_Markup),2)</f>
        <v>21.72</v>
      </c>
      <c r="E50" s="275">
        <f>ROUND((IF('Ground Base'!E$154&gt;ROUND(((1-GroundCommDiscount31Up-GroundCommIncentive)*'Ground Base'!E45),2),ROUND('Ground Base'!E$154*(1+GroundFuelSurcharge),2),ROUND(((1-GroundCommDiscount31Up-GroundCommIncentive)*'Ground Base'!E45)*(1+GroundFuelSurcharge),2)))*(1+FedEx_Markup),2)</f>
        <v>26.47</v>
      </c>
      <c r="F50" s="275">
        <f>ROUND((IF('Ground Base'!F$154&gt;ROUND(((1-GroundCommDiscount31Up-GroundCommIncentive)*'Ground Base'!F45),2),ROUND('Ground Base'!F$154*(1+GroundFuelSurcharge),2),ROUND(((1-GroundCommDiscount31Up-GroundCommIncentive)*'Ground Base'!F45)*(1+GroundFuelSurcharge),2)))*(1+FedEx_Markup),2)</f>
        <v>33.49</v>
      </c>
      <c r="G50" s="275">
        <f>ROUND((IF('Ground Base'!G$154&gt;ROUND(((1-GroundCommDiscount31Up-GroundCommIncentive)*'Ground Base'!G45),2),ROUND('Ground Base'!G$154*(1+GroundFuelSurcharge),2),ROUND(((1-GroundCommDiscount31Up-GroundCommIncentive)*'Ground Base'!G45)*(1+GroundFuelSurcharge),2)))*(1+FedEx_Markup),2)</f>
        <v>38.84</v>
      </c>
      <c r="H50" s="275">
        <f>ROUND((IF('Ground Base'!H$154&gt;ROUND(((1-GroundCommDiscount31Up-GroundCommIncentive)*'Ground Base'!H45),2),ROUND('Ground Base'!H$154*(1+GroundFuelSurcharge),2),ROUND(((1-GroundCommDiscount31Up-GroundCommIncentive)*'Ground Base'!H45)*(1+GroundFuelSurcharge),2)))*(1+FedEx_Markup),2)</f>
        <v>44.14</v>
      </c>
      <c r="I50" s="275">
        <f>ROUND((IF('Ground Base'!I$154&gt;ROUND(((1-GroundAKHIDiscount)*'Ground Base'!I45),2),ROUND('Ground Base'!I$154*(1+GroundFuelSurcharge),2),ROUND(((1-GroundAKHIDiscount)*'Ground Base'!I45)*(1+GroundFuelSurcharge),2)))*(1+FedEx_Markup),2)</f>
        <v>207.21</v>
      </c>
      <c r="J50" s="275">
        <f>ROUND((IF('Ground Base'!J$154&gt;ROUND(((1-GroundAKHIDiscount)*'Ground Base'!J45),2),ROUND('Ground Base'!J$154*(1+GroundFuelSurcharge),2),ROUND(((1-GroundAKHIDiscount)*'Ground Base'!J45)*(1+GroundFuelSurcharge),2)))*(1+FedEx_Markup),2)</f>
        <v>207.21</v>
      </c>
      <c r="K50" s="275">
        <f>ROUND((IF('Ground Base'!K$154&gt;ROUND(((1-GroundZone51Discount)*'Ground Base'!K45),2),ROUND('Ground Base'!K$154*(1+GroundFuelSurcharge),2),ROUND(((1-GroundZone51Discount)*'Ground Base'!K45)*(1+GroundFuelSurcharge),2)))*(1+FedEx_Markup),2)</f>
        <v>64.6</v>
      </c>
      <c r="L50" s="275">
        <f>ROUND((IF('Ground Base'!L$154&gt;ROUND(((1-GroundZone54Discount)*'Ground Base'!L45),2),ROUND('Ground Base'!L$154*(1+GroundFuelSurcharge),2),ROUND(((1-GroundZone54Discount)*'Ground Base'!L45)*(1+GroundFuelSurcharge),2)))*(1+FedEx_Markup),2)</f>
        <v>76.11</v>
      </c>
    </row>
    <row r="51" ht="12.75" customHeight="1">
      <c r="A51" s="274">
        <v>44.0</v>
      </c>
      <c r="B51" s="275">
        <f>ROUND((IF('Ground Base'!B$154&gt;ROUND(((1-GroundCommDiscount31Up-GroundCommIncentive)*'Ground Base'!B46),2),ROUND('Ground Base'!B$154*(1+GroundFuelSurcharge),2),ROUND(((1-GroundCommDiscount31Up-GroundCommIncentive)*'Ground Base'!B46)*(1+GroundFuelSurcharge),2)))*(1+FedEx_Markup),2)</f>
        <v>15.35</v>
      </c>
      <c r="C51" s="275">
        <f>ROUND((IF('Ground Base'!C$154&gt;ROUND(((1-GroundCommDiscount31Up-GroundCommIncentive)*'Ground Base'!C46),2),ROUND('Ground Base'!C$154*(1+GroundFuelSurcharge),2),ROUND(((1-GroundCommDiscount31Up-GroundCommIncentive)*'Ground Base'!C46)*(1+GroundFuelSurcharge),2)))*(1+FedEx_Markup),2)</f>
        <v>19.11</v>
      </c>
      <c r="D51" s="275">
        <f>ROUND((IF('Ground Base'!D$154&gt;ROUND(((1-GroundCommDiscount31Up-GroundCommIncentive)*'Ground Base'!D46),2),ROUND('Ground Base'!D$154*(1+GroundFuelSurcharge),2),ROUND(((1-GroundCommDiscount31Up-GroundCommIncentive)*'Ground Base'!D46)*(1+GroundFuelSurcharge),2)))*(1+FedEx_Markup),2)</f>
        <v>22.29</v>
      </c>
      <c r="E51" s="275">
        <f>ROUND((IF('Ground Base'!E$154&gt;ROUND(((1-GroundCommDiscount31Up-GroundCommIncentive)*'Ground Base'!E46),2),ROUND('Ground Base'!E$154*(1+GroundFuelSurcharge),2),ROUND(((1-GroundCommDiscount31Up-GroundCommIncentive)*'Ground Base'!E46)*(1+GroundFuelSurcharge),2)))*(1+FedEx_Markup),2)</f>
        <v>26.96</v>
      </c>
      <c r="F51" s="275">
        <f>ROUND((IF('Ground Base'!F$154&gt;ROUND(((1-GroundCommDiscount31Up-GroundCommIncentive)*'Ground Base'!F46),2),ROUND('Ground Base'!F$154*(1+GroundFuelSurcharge),2),ROUND(((1-GroundCommDiscount31Up-GroundCommIncentive)*'Ground Base'!F46)*(1+GroundFuelSurcharge),2)))*(1+FedEx_Markup),2)</f>
        <v>33.68</v>
      </c>
      <c r="G51" s="275">
        <f>ROUND((IF('Ground Base'!G$154&gt;ROUND(((1-GroundCommDiscount31Up-GroundCommIncentive)*'Ground Base'!G46),2),ROUND('Ground Base'!G$154*(1+GroundFuelSurcharge),2),ROUND(((1-GroundCommDiscount31Up-GroundCommIncentive)*'Ground Base'!G46)*(1+GroundFuelSurcharge),2)))*(1+FedEx_Markup),2)</f>
        <v>40.04</v>
      </c>
      <c r="H51" s="275">
        <f>ROUND((IF('Ground Base'!H$154&gt;ROUND(((1-GroundCommDiscount31Up-GroundCommIncentive)*'Ground Base'!H46),2),ROUND('Ground Base'!H$154*(1+GroundFuelSurcharge),2),ROUND(((1-GroundCommDiscount31Up-GroundCommIncentive)*'Ground Base'!H46)*(1+GroundFuelSurcharge),2)))*(1+FedEx_Markup),2)</f>
        <v>44.6</v>
      </c>
      <c r="I51" s="275">
        <f>ROUND((IF('Ground Base'!I$154&gt;ROUND(((1-GroundAKHIDiscount)*'Ground Base'!I46),2),ROUND('Ground Base'!I$154*(1+GroundFuelSurcharge),2),ROUND(((1-GroundAKHIDiscount)*'Ground Base'!I46)*(1+GroundFuelSurcharge),2)))*(1+FedEx_Markup),2)</f>
        <v>210.17</v>
      </c>
      <c r="J51" s="275">
        <f>ROUND((IF('Ground Base'!J$154&gt;ROUND(((1-GroundAKHIDiscount)*'Ground Base'!J46),2),ROUND('Ground Base'!J$154*(1+GroundFuelSurcharge),2),ROUND(((1-GroundAKHIDiscount)*'Ground Base'!J46)*(1+GroundFuelSurcharge),2)))*(1+FedEx_Markup),2)</f>
        <v>210.17</v>
      </c>
      <c r="K51" s="275">
        <f>ROUND((IF('Ground Base'!K$154&gt;ROUND(((1-GroundZone51Discount)*'Ground Base'!K46),2),ROUND('Ground Base'!K$154*(1+GroundFuelSurcharge),2),ROUND(((1-GroundZone51Discount)*'Ground Base'!K46)*(1+GroundFuelSurcharge),2)))*(1+FedEx_Markup),2)</f>
        <v>65.44</v>
      </c>
      <c r="L51" s="275">
        <f>ROUND((IF('Ground Base'!L$154&gt;ROUND(((1-GroundZone54Discount)*'Ground Base'!L46),2),ROUND('Ground Base'!L$154*(1+GroundFuelSurcharge),2),ROUND(((1-GroundZone54Discount)*'Ground Base'!L46)*(1+GroundFuelSurcharge),2)))*(1+FedEx_Markup),2)</f>
        <v>77.07</v>
      </c>
    </row>
    <row r="52" ht="12.75" customHeight="1">
      <c r="A52" s="274">
        <v>45.0</v>
      </c>
      <c r="B52" s="275">
        <f>ROUND((IF('Ground Base'!B$154&gt;ROUND(((1-GroundCommDiscount31Up-GroundCommIncentive)*'Ground Base'!B47),2),ROUND('Ground Base'!B$154*(1+GroundFuelSurcharge),2),ROUND(((1-GroundCommDiscount31Up-GroundCommIncentive)*'Ground Base'!B47)*(1+GroundFuelSurcharge),2)))*(1+FedEx_Markup),2)</f>
        <v>15.38</v>
      </c>
      <c r="C52" s="275">
        <f>ROUND((IF('Ground Base'!C$154&gt;ROUND(((1-GroundCommDiscount31Up-GroundCommIncentive)*'Ground Base'!C47),2),ROUND('Ground Base'!C$154*(1+GroundFuelSurcharge),2),ROUND(((1-GroundCommDiscount31Up-GroundCommIncentive)*'Ground Base'!C47)*(1+GroundFuelSurcharge),2)))*(1+FedEx_Markup),2)</f>
        <v>19.11</v>
      </c>
      <c r="D52" s="275">
        <f>ROUND((IF('Ground Base'!D$154&gt;ROUND(((1-GroundCommDiscount31Up-GroundCommIncentive)*'Ground Base'!D47),2),ROUND('Ground Base'!D$154*(1+GroundFuelSurcharge),2),ROUND(((1-GroundCommDiscount31Up-GroundCommIncentive)*'Ground Base'!D47)*(1+GroundFuelSurcharge),2)))*(1+FedEx_Markup),2)</f>
        <v>22.29</v>
      </c>
      <c r="E52" s="275">
        <f>ROUND((IF('Ground Base'!E$154&gt;ROUND(((1-GroundCommDiscount31Up-GroundCommIncentive)*'Ground Base'!E47),2),ROUND('Ground Base'!E$154*(1+GroundFuelSurcharge),2),ROUND(((1-GroundCommDiscount31Up-GroundCommIncentive)*'Ground Base'!E47)*(1+GroundFuelSurcharge),2)))*(1+FedEx_Markup),2)</f>
        <v>26.96</v>
      </c>
      <c r="F52" s="275">
        <f>ROUND((IF('Ground Base'!F$154&gt;ROUND(((1-GroundCommDiscount31Up-GroundCommIncentive)*'Ground Base'!F47),2),ROUND('Ground Base'!F$154*(1+GroundFuelSurcharge),2),ROUND(((1-GroundCommDiscount31Up-GroundCommIncentive)*'Ground Base'!F47)*(1+GroundFuelSurcharge),2)))*(1+FedEx_Markup),2)</f>
        <v>33.7</v>
      </c>
      <c r="G52" s="275">
        <f>ROUND((IF('Ground Base'!G$154&gt;ROUND(((1-GroundCommDiscount31Up-GroundCommIncentive)*'Ground Base'!G47),2),ROUND('Ground Base'!G$154*(1+GroundFuelSurcharge),2),ROUND(((1-GroundCommDiscount31Up-GroundCommIncentive)*'Ground Base'!G47)*(1+GroundFuelSurcharge),2)))*(1+FedEx_Markup),2)</f>
        <v>40.83</v>
      </c>
      <c r="H52" s="275">
        <f>ROUND((IF('Ground Base'!H$154&gt;ROUND(((1-GroundCommDiscount31Up-GroundCommIncentive)*'Ground Base'!H47),2),ROUND('Ground Base'!H$154*(1+GroundFuelSurcharge),2),ROUND(((1-GroundCommDiscount31Up-GroundCommIncentive)*'Ground Base'!H47)*(1+GroundFuelSurcharge),2)))*(1+FedEx_Markup),2)</f>
        <v>44.91</v>
      </c>
      <c r="I52" s="275">
        <f>ROUND((IF('Ground Base'!I$154&gt;ROUND(((1-GroundAKHIDiscount)*'Ground Base'!I47),2),ROUND('Ground Base'!I$154*(1+GroundFuelSurcharge),2),ROUND(((1-GroundAKHIDiscount)*'Ground Base'!I47)*(1+GroundFuelSurcharge),2)))*(1+FedEx_Markup),2)</f>
        <v>214.22</v>
      </c>
      <c r="J52" s="275">
        <f>ROUND((IF('Ground Base'!J$154&gt;ROUND(((1-GroundAKHIDiscount)*'Ground Base'!J47),2),ROUND('Ground Base'!J$154*(1+GroundFuelSurcharge),2),ROUND(((1-GroundAKHIDiscount)*'Ground Base'!J47)*(1+GroundFuelSurcharge),2)))*(1+FedEx_Markup),2)</f>
        <v>214.22</v>
      </c>
      <c r="K52" s="275">
        <f>ROUND((IF('Ground Base'!K$154&gt;ROUND(((1-GroundZone51Discount)*'Ground Base'!K47),2),ROUND('Ground Base'!K$154*(1+GroundFuelSurcharge),2),ROUND(((1-GroundZone51Discount)*'Ground Base'!K47)*(1+GroundFuelSurcharge),2)))*(1+FedEx_Markup),2)</f>
        <v>66.67</v>
      </c>
      <c r="L52" s="275">
        <f>ROUND((IF('Ground Base'!L$154&gt;ROUND(((1-GroundZone54Discount)*'Ground Base'!L47),2),ROUND('Ground Base'!L$154*(1+GroundFuelSurcharge),2),ROUND(((1-GroundZone54Discount)*'Ground Base'!L47)*(1+GroundFuelSurcharge),2)))*(1+FedEx_Markup),2)</f>
        <v>78.51</v>
      </c>
    </row>
    <row r="53" ht="12.75" customHeight="1">
      <c r="A53" s="274">
        <v>46.0</v>
      </c>
      <c r="B53" s="275">
        <f>ROUND((IF('Ground Base'!B$154&gt;ROUND(((1-GroundCommDiscount31Up-GroundCommIncentive)*'Ground Base'!B48),2),ROUND('Ground Base'!B$154*(1+GroundFuelSurcharge),2),ROUND(((1-GroundCommDiscount31Up-GroundCommIncentive)*'Ground Base'!B48)*(1+GroundFuelSurcharge),2)))*(1+FedEx_Markup),2)</f>
        <v>15.78</v>
      </c>
      <c r="C53" s="275">
        <f>ROUND((IF('Ground Base'!C$154&gt;ROUND(((1-GroundCommDiscount31Up-GroundCommIncentive)*'Ground Base'!C48),2),ROUND('Ground Base'!C$154*(1+GroundFuelSurcharge),2),ROUND(((1-GroundCommDiscount31Up-GroundCommIncentive)*'Ground Base'!C48)*(1+GroundFuelSurcharge),2)))*(1+FedEx_Markup),2)</f>
        <v>19.32</v>
      </c>
      <c r="D53" s="275">
        <f>ROUND((IF('Ground Base'!D$154&gt;ROUND(((1-GroundCommDiscount31Up-GroundCommIncentive)*'Ground Base'!D48),2),ROUND('Ground Base'!D$154*(1+GroundFuelSurcharge),2),ROUND(((1-GroundCommDiscount31Up-GroundCommIncentive)*'Ground Base'!D48)*(1+GroundFuelSurcharge),2)))*(1+FedEx_Markup),2)</f>
        <v>23</v>
      </c>
      <c r="E53" s="275">
        <f>ROUND((IF('Ground Base'!E$154&gt;ROUND(((1-GroundCommDiscount31Up-GroundCommIncentive)*'Ground Base'!E48),2),ROUND('Ground Base'!E$154*(1+GroundFuelSurcharge),2),ROUND(((1-GroundCommDiscount31Up-GroundCommIncentive)*'Ground Base'!E48)*(1+GroundFuelSurcharge),2)))*(1+FedEx_Markup),2)</f>
        <v>27.47</v>
      </c>
      <c r="F53" s="275">
        <f>ROUND((IF('Ground Base'!F$154&gt;ROUND(((1-GroundCommDiscount31Up-GroundCommIncentive)*'Ground Base'!F48),2),ROUND('Ground Base'!F$154*(1+GroundFuelSurcharge),2),ROUND(((1-GroundCommDiscount31Up-GroundCommIncentive)*'Ground Base'!F48)*(1+GroundFuelSurcharge),2)))*(1+FedEx_Markup),2)</f>
        <v>34.59</v>
      </c>
      <c r="G53" s="275">
        <f>ROUND((IF('Ground Base'!G$154&gt;ROUND(((1-GroundCommDiscount31Up-GroundCommIncentive)*'Ground Base'!G48),2),ROUND('Ground Base'!G$154*(1+GroundFuelSurcharge),2),ROUND(((1-GroundCommDiscount31Up-GroundCommIncentive)*'Ground Base'!G48)*(1+GroundFuelSurcharge),2)))*(1+FedEx_Markup),2)</f>
        <v>41.26</v>
      </c>
      <c r="H53" s="275">
        <f>ROUND((IF('Ground Base'!H$154&gt;ROUND(((1-GroundCommDiscount31Up-GroundCommIncentive)*'Ground Base'!H48),2),ROUND('Ground Base'!H$154*(1+GroundFuelSurcharge),2),ROUND(((1-GroundCommDiscount31Up-GroundCommIncentive)*'Ground Base'!H48)*(1+GroundFuelSurcharge),2)))*(1+FedEx_Markup),2)</f>
        <v>46.1</v>
      </c>
      <c r="I53" s="275">
        <f>ROUND((IF('Ground Base'!I$154&gt;ROUND(((1-GroundAKHIDiscount)*'Ground Base'!I48),2),ROUND('Ground Base'!I$154*(1+GroundFuelSurcharge),2),ROUND(((1-GroundAKHIDiscount)*'Ground Base'!I48)*(1+GroundFuelSurcharge),2)))*(1+FedEx_Markup),2)</f>
        <v>218.34</v>
      </c>
      <c r="J53" s="275">
        <f>ROUND((IF('Ground Base'!J$154&gt;ROUND(((1-GroundAKHIDiscount)*'Ground Base'!J48),2),ROUND('Ground Base'!J$154*(1+GroundFuelSurcharge),2),ROUND(((1-GroundAKHIDiscount)*'Ground Base'!J48)*(1+GroundFuelSurcharge),2)))*(1+FedEx_Markup),2)</f>
        <v>218.34</v>
      </c>
      <c r="K53" s="275">
        <f>ROUND((IF('Ground Base'!K$154&gt;ROUND(((1-GroundZone51Discount)*'Ground Base'!K48),2),ROUND('Ground Base'!K$154*(1+GroundFuelSurcharge),2),ROUND(((1-GroundZone51Discount)*'Ground Base'!K48)*(1+GroundFuelSurcharge),2)))*(1+FedEx_Markup),2)</f>
        <v>67.75</v>
      </c>
      <c r="L53" s="275">
        <f>ROUND((IF('Ground Base'!L$154&gt;ROUND(((1-GroundZone54Discount)*'Ground Base'!L48),2),ROUND('Ground Base'!L$154*(1+GroundFuelSurcharge),2),ROUND(((1-GroundZone54Discount)*'Ground Base'!L48)*(1+GroundFuelSurcharge),2)))*(1+FedEx_Markup),2)</f>
        <v>79.63</v>
      </c>
    </row>
    <row r="54" ht="12.75" customHeight="1">
      <c r="A54" s="274">
        <v>47.0</v>
      </c>
      <c r="B54" s="275">
        <f>ROUND((IF('Ground Base'!B$154&gt;ROUND(((1-GroundCommDiscount31Up-GroundCommIncentive)*'Ground Base'!B49),2),ROUND('Ground Base'!B$154*(1+GroundFuelSurcharge),2),ROUND(((1-GroundCommDiscount31Up-GroundCommIncentive)*'Ground Base'!B49)*(1+GroundFuelSurcharge),2)))*(1+FedEx_Markup),2)</f>
        <v>15.79</v>
      </c>
      <c r="C54" s="275">
        <f>ROUND((IF('Ground Base'!C$154&gt;ROUND(((1-GroundCommDiscount31Up-GroundCommIncentive)*'Ground Base'!C49),2),ROUND('Ground Base'!C$154*(1+GroundFuelSurcharge),2),ROUND(((1-GroundCommDiscount31Up-GroundCommIncentive)*'Ground Base'!C49)*(1+GroundFuelSurcharge),2)))*(1+FedEx_Markup),2)</f>
        <v>19.75</v>
      </c>
      <c r="D54" s="275">
        <f>ROUND((IF('Ground Base'!D$154&gt;ROUND(((1-GroundCommDiscount31Up-GroundCommIncentive)*'Ground Base'!D49),2),ROUND('Ground Base'!D$154*(1+GroundFuelSurcharge),2),ROUND(((1-GroundCommDiscount31Up-GroundCommIncentive)*'Ground Base'!D49)*(1+GroundFuelSurcharge),2)))*(1+FedEx_Markup),2)</f>
        <v>23.37</v>
      </c>
      <c r="E54" s="275">
        <f>ROUND((IF('Ground Base'!E$154&gt;ROUND(((1-GroundCommDiscount31Up-GroundCommIncentive)*'Ground Base'!E49),2),ROUND('Ground Base'!E$154*(1+GroundFuelSurcharge),2),ROUND(((1-GroundCommDiscount31Up-GroundCommIncentive)*'Ground Base'!E49)*(1+GroundFuelSurcharge),2)))*(1+FedEx_Markup),2)</f>
        <v>27.67</v>
      </c>
      <c r="F54" s="275">
        <f>ROUND((IF('Ground Base'!F$154&gt;ROUND(((1-GroundCommDiscount31Up-GroundCommIncentive)*'Ground Base'!F49),2),ROUND('Ground Base'!F$154*(1+GroundFuelSurcharge),2),ROUND(((1-GroundCommDiscount31Up-GroundCommIncentive)*'Ground Base'!F49)*(1+GroundFuelSurcharge),2)))*(1+FedEx_Markup),2)</f>
        <v>35.05</v>
      </c>
      <c r="G54" s="275">
        <f>ROUND((IF('Ground Base'!G$154&gt;ROUND(((1-GroundCommDiscount31Up-GroundCommIncentive)*'Ground Base'!G49),2),ROUND('Ground Base'!G$154*(1+GroundFuelSurcharge),2),ROUND(((1-GroundCommDiscount31Up-GroundCommIncentive)*'Ground Base'!G49)*(1+GroundFuelSurcharge),2)))*(1+FedEx_Markup),2)</f>
        <v>42.06</v>
      </c>
      <c r="H54" s="275">
        <f>ROUND((IF('Ground Base'!H$154&gt;ROUND(((1-GroundCommDiscount31Up-GroundCommIncentive)*'Ground Base'!H49),2),ROUND('Ground Base'!H$154*(1+GroundFuelSurcharge),2),ROUND(((1-GroundCommDiscount31Up-GroundCommIncentive)*'Ground Base'!H49)*(1+GroundFuelSurcharge),2)))*(1+FedEx_Markup),2)</f>
        <v>46.85</v>
      </c>
      <c r="I54" s="275">
        <f>ROUND((IF('Ground Base'!I$154&gt;ROUND(((1-GroundAKHIDiscount)*'Ground Base'!I49),2),ROUND('Ground Base'!I$154*(1+GroundFuelSurcharge),2),ROUND(((1-GroundAKHIDiscount)*'Ground Base'!I49)*(1+GroundFuelSurcharge),2)))*(1+FedEx_Markup),2)</f>
        <v>222.53</v>
      </c>
      <c r="J54" s="275">
        <f>ROUND((IF('Ground Base'!J$154&gt;ROUND(((1-GroundAKHIDiscount)*'Ground Base'!J49),2),ROUND('Ground Base'!J$154*(1+GroundFuelSurcharge),2),ROUND(((1-GroundAKHIDiscount)*'Ground Base'!J49)*(1+GroundFuelSurcharge),2)))*(1+FedEx_Markup),2)</f>
        <v>222.53</v>
      </c>
      <c r="K54" s="275">
        <f>ROUND((IF('Ground Base'!K$154&gt;ROUND(((1-GroundZone51Discount)*'Ground Base'!K49),2),ROUND('Ground Base'!K$154*(1+GroundFuelSurcharge),2),ROUND(((1-GroundZone51Discount)*'Ground Base'!K49)*(1+GroundFuelSurcharge),2)))*(1+FedEx_Markup),2)</f>
        <v>68.79</v>
      </c>
      <c r="L54" s="275">
        <f>ROUND((IF('Ground Base'!L$154&gt;ROUND(((1-GroundZone54Discount)*'Ground Base'!L49),2),ROUND('Ground Base'!L$154*(1+GroundFuelSurcharge),2),ROUND(((1-GroundZone54Discount)*'Ground Base'!L49)*(1+GroundFuelSurcharge),2)))*(1+FedEx_Markup),2)</f>
        <v>80.87</v>
      </c>
    </row>
    <row r="55" ht="12.75" customHeight="1">
      <c r="A55" s="274">
        <v>48.0</v>
      </c>
      <c r="B55" s="275">
        <f>ROUND((IF('Ground Base'!B$154&gt;ROUND(((1-GroundCommDiscount31Up-GroundCommIncentive)*'Ground Base'!B50),2),ROUND('Ground Base'!B$154*(1+GroundFuelSurcharge),2),ROUND(((1-GroundCommDiscount31Up-GroundCommIncentive)*'Ground Base'!B50)*(1+GroundFuelSurcharge),2)))*(1+FedEx_Markup),2)</f>
        <v>15.79</v>
      </c>
      <c r="C55" s="275">
        <f>ROUND((IF('Ground Base'!C$154&gt;ROUND(((1-GroundCommDiscount31Up-GroundCommIncentive)*'Ground Base'!C50),2),ROUND('Ground Base'!C$154*(1+GroundFuelSurcharge),2),ROUND(((1-GroundCommDiscount31Up-GroundCommIncentive)*'Ground Base'!C50)*(1+GroundFuelSurcharge),2)))*(1+FedEx_Markup),2)</f>
        <v>19.76</v>
      </c>
      <c r="D55" s="275">
        <f>ROUND((IF('Ground Base'!D$154&gt;ROUND(((1-GroundCommDiscount31Up-GroundCommIncentive)*'Ground Base'!D50),2),ROUND('Ground Base'!D$154*(1+GroundFuelSurcharge),2),ROUND(((1-GroundCommDiscount31Up-GroundCommIncentive)*'Ground Base'!D50)*(1+GroundFuelSurcharge),2)))*(1+FedEx_Markup),2)</f>
        <v>23.64</v>
      </c>
      <c r="E55" s="275">
        <f>ROUND((IF('Ground Base'!E$154&gt;ROUND(((1-GroundCommDiscount31Up-GroundCommIncentive)*'Ground Base'!E50),2),ROUND('Ground Base'!E$154*(1+GroundFuelSurcharge),2),ROUND(((1-GroundCommDiscount31Up-GroundCommIncentive)*'Ground Base'!E50)*(1+GroundFuelSurcharge),2)))*(1+FedEx_Markup),2)</f>
        <v>28.67</v>
      </c>
      <c r="F55" s="275">
        <f>ROUND((IF('Ground Base'!F$154&gt;ROUND(((1-GroundCommDiscount31Up-GroundCommIncentive)*'Ground Base'!F50),2),ROUND('Ground Base'!F$154*(1+GroundFuelSurcharge),2),ROUND(((1-GroundCommDiscount31Up-GroundCommIncentive)*'Ground Base'!F50)*(1+GroundFuelSurcharge),2)))*(1+FedEx_Markup),2)</f>
        <v>35.58</v>
      </c>
      <c r="G55" s="275">
        <f>ROUND((IF('Ground Base'!G$154&gt;ROUND(((1-GroundCommDiscount31Up-GroundCommIncentive)*'Ground Base'!G50),2),ROUND('Ground Base'!G$154*(1+GroundFuelSurcharge),2),ROUND(((1-GroundCommDiscount31Up-GroundCommIncentive)*'Ground Base'!G50)*(1+GroundFuelSurcharge),2)))*(1+FedEx_Markup),2)</f>
        <v>42.45</v>
      </c>
      <c r="H55" s="275">
        <f>ROUND((IF('Ground Base'!H$154&gt;ROUND(((1-GroundCommDiscount31Up-GroundCommIncentive)*'Ground Base'!H50),2),ROUND('Ground Base'!H$154*(1+GroundFuelSurcharge),2),ROUND(((1-GroundCommDiscount31Up-GroundCommIncentive)*'Ground Base'!H50)*(1+GroundFuelSurcharge),2)))*(1+FedEx_Markup),2)</f>
        <v>47.59</v>
      </c>
      <c r="I55" s="275">
        <f>ROUND((IF('Ground Base'!I$154&gt;ROUND(((1-GroundAKHIDiscount)*'Ground Base'!I50),2),ROUND('Ground Base'!I$154*(1+GroundFuelSurcharge),2),ROUND(((1-GroundAKHIDiscount)*'Ground Base'!I50)*(1+GroundFuelSurcharge),2)))*(1+FedEx_Markup),2)</f>
        <v>226.34</v>
      </c>
      <c r="J55" s="275">
        <f>ROUND((IF('Ground Base'!J$154&gt;ROUND(((1-GroundAKHIDiscount)*'Ground Base'!J50),2),ROUND('Ground Base'!J$154*(1+GroundFuelSurcharge),2),ROUND(((1-GroundAKHIDiscount)*'Ground Base'!J50)*(1+GroundFuelSurcharge),2)))*(1+FedEx_Markup),2)</f>
        <v>226.34</v>
      </c>
      <c r="K55" s="275">
        <f>ROUND((IF('Ground Base'!K$154&gt;ROUND(((1-GroundZone51Discount)*'Ground Base'!K50),2),ROUND('Ground Base'!K$154*(1+GroundFuelSurcharge),2),ROUND(((1-GroundZone51Discount)*'Ground Base'!K50)*(1+GroundFuelSurcharge),2)))*(1+FedEx_Markup),2)</f>
        <v>69.69</v>
      </c>
      <c r="L55" s="275">
        <f>ROUND((IF('Ground Base'!L$154&gt;ROUND(((1-GroundZone54Discount)*'Ground Base'!L50),2),ROUND('Ground Base'!L$154*(1+GroundFuelSurcharge),2),ROUND(((1-GroundZone54Discount)*'Ground Base'!L50)*(1+GroundFuelSurcharge),2)))*(1+FedEx_Markup),2)</f>
        <v>82.08</v>
      </c>
    </row>
    <row r="56" ht="12.75" customHeight="1">
      <c r="A56" s="274">
        <v>49.0</v>
      </c>
      <c r="B56" s="275">
        <f>ROUND((IF('Ground Base'!B$154&gt;ROUND(((1-GroundCommDiscount31Up-GroundCommIncentive)*'Ground Base'!B51),2),ROUND('Ground Base'!B$154*(1+GroundFuelSurcharge),2),ROUND(((1-GroundCommDiscount31Up-GroundCommIncentive)*'Ground Base'!B51)*(1+GroundFuelSurcharge),2)))*(1+FedEx_Markup),2)</f>
        <v>15.8</v>
      </c>
      <c r="C56" s="275">
        <f>ROUND((IF('Ground Base'!C$154&gt;ROUND(((1-GroundCommDiscount31Up-GroundCommIncentive)*'Ground Base'!C51),2),ROUND('Ground Base'!C$154*(1+GroundFuelSurcharge),2),ROUND(((1-GroundCommDiscount31Up-GroundCommIncentive)*'Ground Base'!C51)*(1+GroundFuelSurcharge),2)))*(1+FedEx_Markup),2)</f>
        <v>19.76</v>
      </c>
      <c r="D56" s="275">
        <f>ROUND((IF('Ground Base'!D$154&gt;ROUND(((1-GroundCommDiscount31Up-GroundCommIncentive)*'Ground Base'!D51),2),ROUND('Ground Base'!D$154*(1+GroundFuelSurcharge),2),ROUND(((1-GroundCommDiscount31Up-GroundCommIncentive)*'Ground Base'!D51)*(1+GroundFuelSurcharge),2)))*(1+FedEx_Markup),2)</f>
        <v>23.64</v>
      </c>
      <c r="E56" s="275">
        <f>ROUND((IF('Ground Base'!E$154&gt;ROUND(((1-GroundCommDiscount31Up-GroundCommIncentive)*'Ground Base'!E51),2),ROUND('Ground Base'!E$154*(1+GroundFuelSurcharge),2),ROUND(((1-GroundCommDiscount31Up-GroundCommIncentive)*'Ground Base'!E51)*(1+GroundFuelSurcharge),2)))*(1+FedEx_Markup),2)</f>
        <v>28.67</v>
      </c>
      <c r="F56" s="275">
        <f>ROUND((IF('Ground Base'!F$154&gt;ROUND(((1-GroundCommDiscount31Up-GroundCommIncentive)*'Ground Base'!F51),2),ROUND('Ground Base'!F$154*(1+GroundFuelSurcharge),2),ROUND(((1-GroundCommDiscount31Up-GroundCommIncentive)*'Ground Base'!F51)*(1+GroundFuelSurcharge),2)))*(1+FedEx_Markup),2)</f>
        <v>35.85</v>
      </c>
      <c r="G56" s="275">
        <f>ROUND((IF('Ground Base'!G$154&gt;ROUND(((1-GroundCommDiscount31Up-GroundCommIncentive)*'Ground Base'!G51),2),ROUND('Ground Base'!G$154*(1+GroundFuelSurcharge),2),ROUND(((1-GroundCommDiscount31Up-GroundCommIncentive)*'Ground Base'!G51)*(1+GroundFuelSurcharge),2)))*(1+FedEx_Markup),2)</f>
        <v>43.3</v>
      </c>
      <c r="H56" s="275">
        <f>ROUND((IF('Ground Base'!H$154&gt;ROUND(((1-GroundCommDiscount31Up-GroundCommIncentive)*'Ground Base'!H51),2),ROUND('Ground Base'!H$154*(1+GroundFuelSurcharge),2),ROUND(((1-GroundCommDiscount31Up-GroundCommIncentive)*'Ground Base'!H51)*(1+GroundFuelSurcharge),2)))*(1+FedEx_Markup),2)</f>
        <v>47.86</v>
      </c>
      <c r="I56" s="275">
        <f>ROUND((IF('Ground Base'!I$154&gt;ROUND(((1-GroundAKHIDiscount)*'Ground Base'!I51),2),ROUND('Ground Base'!I$154*(1+GroundFuelSurcharge),2),ROUND(((1-GroundAKHIDiscount)*'Ground Base'!I51)*(1+GroundFuelSurcharge),2)))*(1+FedEx_Markup),2)</f>
        <v>230.22</v>
      </c>
      <c r="J56" s="275">
        <f>ROUND((IF('Ground Base'!J$154&gt;ROUND(((1-GroundAKHIDiscount)*'Ground Base'!J51),2),ROUND('Ground Base'!J$154*(1+GroundFuelSurcharge),2),ROUND(((1-GroundAKHIDiscount)*'Ground Base'!J51)*(1+GroundFuelSurcharge),2)))*(1+FedEx_Markup),2)</f>
        <v>230.22</v>
      </c>
      <c r="K56" s="275">
        <f>ROUND((IF('Ground Base'!K$154&gt;ROUND(((1-GroundZone51Discount)*'Ground Base'!K51),2),ROUND('Ground Base'!K$154*(1+GroundFuelSurcharge),2),ROUND(((1-GroundZone51Discount)*'Ground Base'!K51)*(1+GroundFuelSurcharge),2)))*(1+FedEx_Markup),2)</f>
        <v>70.85</v>
      </c>
      <c r="L56" s="275">
        <f>ROUND((IF('Ground Base'!L$154&gt;ROUND(((1-GroundZone54Discount)*'Ground Base'!L51),2),ROUND('Ground Base'!L$154*(1+GroundFuelSurcharge),2),ROUND(((1-GroundZone54Discount)*'Ground Base'!L51)*(1+GroundFuelSurcharge),2)))*(1+FedEx_Markup),2)</f>
        <v>83.21</v>
      </c>
    </row>
    <row r="57" ht="12.75" customHeight="1">
      <c r="A57" s="274">
        <v>50.0</v>
      </c>
      <c r="B57" s="275">
        <f>ROUND((IF('Ground Base'!B$154&gt;ROUND(((1-GroundCommDiscount31Up-GroundCommIncentive)*'Ground Base'!B52),2),ROUND('Ground Base'!B$154*(1+GroundFuelSurcharge),2),ROUND(((1-GroundCommDiscount31Up-GroundCommIncentive)*'Ground Base'!B52)*(1+GroundFuelSurcharge),2)))*(1+FedEx_Markup),2)</f>
        <v>15.8</v>
      </c>
      <c r="C57" s="275">
        <f>ROUND((IF('Ground Base'!C$154&gt;ROUND(((1-GroundCommDiscount31Up-GroundCommIncentive)*'Ground Base'!C52),2),ROUND('Ground Base'!C$154*(1+GroundFuelSurcharge),2),ROUND(((1-GroundCommDiscount31Up-GroundCommIncentive)*'Ground Base'!C52)*(1+GroundFuelSurcharge),2)))*(1+FedEx_Markup),2)</f>
        <v>19.77</v>
      </c>
      <c r="D57" s="275">
        <f>ROUND((IF('Ground Base'!D$154&gt;ROUND(((1-GroundCommDiscount31Up-GroundCommIncentive)*'Ground Base'!D52),2),ROUND('Ground Base'!D$154*(1+GroundFuelSurcharge),2),ROUND(((1-GroundCommDiscount31Up-GroundCommIncentive)*'Ground Base'!D52)*(1+GroundFuelSurcharge),2)))*(1+FedEx_Markup),2)</f>
        <v>23.66</v>
      </c>
      <c r="E57" s="275">
        <f>ROUND((IF('Ground Base'!E$154&gt;ROUND(((1-GroundCommDiscount31Up-GroundCommIncentive)*'Ground Base'!E52),2),ROUND('Ground Base'!E$154*(1+GroundFuelSurcharge),2),ROUND(((1-GroundCommDiscount31Up-GroundCommIncentive)*'Ground Base'!E52)*(1+GroundFuelSurcharge),2)))*(1+FedEx_Markup),2)</f>
        <v>28.69</v>
      </c>
      <c r="F57" s="275">
        <f>ROUND((IF('Ground Base'!F$154&gt;ROUND(((1-GroundCommDiscount31Up-GroundCommIncentive)*'Ground Base'!F52),2),ROUND('Ground Base'!F$154*(1+GroundFuelSurcharge),2),ROUND(((1-GroundCommDiscount31Up-GroundCommIncentive)*'Ground Base'!F52)*(1+GroundFuelSurcharge),2)))*(1+FedEx_Markup),2)</f>
        <v>36.16</v>
      </c>
      <c r="G57" s="275">
        <f>ROUND((IF('Ground Base'!G$154&gt;ROUND(((1-GroundCommDiscount31Up-GroundCommIncentive)*'Ground Base'!G52),2),ROUND('Ground Base'!G$154*(1+GroundFuelSurcharge),2),ROUND(((1-GroundCommDiscount31Up-GroundCommIncentive)*'Ground Base'!G52)*(1+GroundFuelSurcharge),2)))*(1+FedEx_Markup),2)</f>
        <v>43.68</v>
      </c>
      <c r="H57" s="275">
        <f>ROUND((IF('Ground Base'!H$154&gt;ROUND(((1-GroundCommDiscount31Up-GroundCommIncentive)*'Ground Base'!H52),2),ROUND('Ground Base'!H$154*(1+GroundFuelSurcharge),2),ROUND(((1-GroundCommDiscount31Up-GroundCommIncentive)*'Ground Base'!H52)*(1+GroundFuelSurcharge),2)))*(1+FedEx_Markup),2)</f>
        <v>48.54</v>
      </c>
      <c r="I57" s="275">
        <f>ROUND((IF('Ground Base'!I$154&gt;ROUND(((1-GroundAKHIDiscount)*'Ground Base'!I52),2),ROUND('Ground Base'!I$154*(1+GroundFuelSurcharge),2),ROUND(((1-GroundAKHIDiscount)*'Ground Base'!I52)*(1+GroundFuelSurcharge),2)))*(1+FedEx_Markup),2)</f>
        <v>234.08</v>
      </c>
      <c r="J57" s="275">
        <f>ROUND((IF('Ground Base'!J$154&gt;ROUND(((1-GroundAKHIDiscount)*'Ground Base'!J52),2),ROUND('Ground Base'!J$154*(1+GroundFuelSurcharge),2),ROUND(((1-GroundAKHIDiscount)*'Ground Base'!J52)*(1+GroundFuelSurcharge),2)))*(1+FedEx_Markup),2)</f>
        <v>234.08</v>
      </c>
      <c r="K57" s="275">
        <f>ROUND((IF('Ground Base'!K$154&gt;ROUND(((1-GroundZone51Discount)*'Ground Base'!K52),2),ROUND('Ground Base'!K$154*(1+GroundFuelSurcharge),2),ROUND(((1-GroundZone51Discount)*'Ground Base'!K52)*(1+GroundFuelSurcharge),2)))*(1+FedEx_Markup),2)</f>
        <v>72.02</v>
      </c>
      <c r="L57" s="275">
        <f>ROUND((IF('Ground Base'!L$154&gt;ROUND(((1-GroundZone54Discount)*'Ground Base'!L52),2),ROUND('Ground Base'!L$154*(1+GroundFuelSurcharge),2),ROUND(((1-GroundZone54Discount)*'Ground Base'!L52)*(1+GroundFuelSurcharge),2)))*(1+FedEx_Markup),2)</f>
        <v>84.54</v>
      </c>
    </row>
    <row r="58" ht="12.75" customHeight="1">
      <c r="A58" s="274">
        <v>51.0</v>
      </c>
      <c r="B58" s="275">
        <f>ROUND((IF('Ground Base'!B$154&gt;ROUND(((1-GroundCommDiscount31Up-GroundCommIncentive)*'Ground Base'!B53),2),ROUND('Ground Base'!B$154*(1+GroundFuelSurcharge),2),ROUND(((1-GroundCommDiscount31Up-GroundCommIncentive)*'Ground Base'!B53)*(1+GroundFuelSurcharge),2)))*(1+FedEx_Markup),2)</f>
        <v>15.81</v>
      </c>
      <c r="C58" s="275">
        <f>ROUND((IF('Ground Base'!C$154&gt;ROUND(((1-GroundCommDiscount31Up-GroundCommIncentive)*'Ground Base'!C53),2),ROUND('Ground Base'!C$154*(1+GroundFuelSurcharge),2),ROUND(((1-GroundCommDiscount31Up-GroundCommIncentive)*'Ground Base'!C53)*(1+GroundFuelSurcharge),2)))*(1+FedEx_Markup),2)</f>
        <v>19.77</v>
      </c>
      <c r="D58" s="275">
        <f>ROUND((IF('Ground Base'!D$154&gt;ROUND(((1-GroundCommDiscount31Up-GroundCommIncentive)*'Ground Base'!D53),2),ROUND('Ground Base'!D$154*(1+GroundFuelSurcharge),2),ROUND(((1-GroundCommDiscount31Up-GroundCommIncentive)*'Ground Base'!D53)*(1+GroundFuelSurcharge),2)))*(1+FedEx_Markup),2)</f>
        <v>23.77</v>
      </c>
      <c r="E58" s="275">
        <f>ROUND((IF('Ground Base'!E$154&gt;ROUND(((1-GroundCommDiscount31Up-GroundCommIncentive)*'Ground Base'!E53),2),ROUND('Ground Base'!E$154*(1+GroundFuelSurcharge),2),ROUND(((1-GroundCommDiscount31Up-GroundCommIncentive)*'Ground Base'!E53)*(1+GroundFuelSurcharge),2)))*(1+FedEx_Markup),2)</f>
        <v>28.83</v>
      </c>
      <c r="F58" s="275">
        <f>ROUND((IF('Ground Base'!F$154&gt;ROUND(((1-GroundCommDiscount31Up-GroundCommIncentive)*'Ground Base'!F53),2),ROUND('Ground Base'!F$154*(1+GroundFuelSurcharge),2),ROUND(((1-GroundCommDiscount31Up-GroundCommIncentive)*'Ground Base'!F53)*(1+GroundFuelSurcharge),2)))*(1+FedEx_Markup),2)</f>
        <v>36.6</v>
      </c>
      <c r="G58" s="275">
        <f>ROUND((IF('Ground Base'!G$154&gt;ROUND(((1-GroundCommDiscount31Up-GroundCommIncentive)*'Ground Base'!G53),2),ROUND('Ground Base'!G$154*(1+GroundFuelSurcharge),2),ROUND(((1-GroundCommDiscount31Up-GroundCommIncentive)*'Ground Base'!G53)*(1+GroundFuelSurcharge),2)))*(1+FedEx_Markup),2)</f>
        <v>44.22</v>
      </c>
      <c r="H58" s="275">
        <f>ROUND((IF('Ground Base'!H$154&gt;ROUND(((1-GroundCommDiscount31Up-GroundCommIncentive)*'Ground Base'!H53),2),ROUND('Ground Base'!H$154*(1+GroundFuelSurcharge),2),ROUND(((1-GroundCommDiscount31Up-GroundCommIncentive)*'Ground Base'!H53)*(1+GroundFuelSurcharge),2)))*(1+FedEx_Markup),2)</f>
        <v>49.66</v>
      </c>
      <c r="I58" s="275">
        <f>ROUND((IF('Ground Base'!I$154&gt;ROUND(((1-GroundAKHIDiscount)*'Ground Base'!I53),2),ROUND('Ground Base'!I$154*(1+GroundFuelSurcharge),2),ROUND(((1-GroundAKHIDiscount)*'Ground Base'!I53)*(1+GroundFuelSurcharge),2)))*(1+FedEx_Markup),2)</f>
        <v>240.19</v>
      </c>
      <c r="J58" s="275">
        <f>ROUND((IF('Ground Base'!J$154&gt;ROUND(((1-GroundAKHIDiscount)*'Ground Base'!J53),2),ROUND('Ground Base'!J$154*(1+GroundFuelSurcharge),2),ROUND(((1-GroundAKHIDiscount)*'Ground Base'!J53)*(1+GroundFuelSurcharge),2)))*(1+FedEx_Markup),2)</f>
        <v>240.19</v>
      </c>
      <c r="K58" s="275">
        <f>ROUND((IF('Ground Base'!K$154&gt;ROUND(((1-GroundZone51Discount)*'Ground Base'!K53),2),ROUND('Ground Base'!K$154*(1+GroundFuelSurcharge),2),ROUND(((1-GroundZone51Discount)*'Ground Base'!K53)*(1+GroundFuelSurcharge),2)))*(1+FedEx_Markup),2)</f>
        <v>74.21</v>
      </c>
      <c r="L58" s="275">
        <f>ROUND((IF('Ground Base'!L$154&gt;ROUND(((1-GroundZone54Discount)*'Ground Base'!L53),2),ROUND('Ground Base'!L$154*(1+GroundFuelSurcharge),2),ROUND(((1-GroundZone54Discount)*'Ground Base'!L53)*(1+GroundFuelSurcharge),2)))*(1+FedEx_Markup),2)</f>
        <v>86.31</v>
      </c>
    </row>
    <row r="59" ht="12.75" customHeight="1">
      <c r="A59" s="274">
        <v>52.0</v>
      </c>
      <c r="B59" s="275">
        <f>ROUND((IF('Ground Base'!B$154&gt;ROUND(((1-GroundCommDiscount31Up-GroundCommIncentive)*'Ground Base'!B54),2),ROUND('Ground Base'!B$154*(1+GroundFuelSurcharge),2),ROUND(((1-GroundCommDiscount31Up-GroundCommIncentive)*'Ground Base'!B54)*(1+GroundFuelSurcharge),2)))*(1+FedEx_Markup),2)</f>
        <v>15.81</v>
      </c>
      <c r="C59" s="275">
        <f>ROUND((IF('Ground Base'!C$154&gt;ROUND(((1-GroundCommDiscount31Up-GroundCommIncentive)*'Ground Base'!C54),2),ROUND('Ground Base'!C$154*(1+GroundFuelSurcharge),2),ROUND(((1-GroundCommDiscount31Up-GroundCommIncentive)*'Ground Base'!C54)*(1+GroundFuelSurcharge),2)))*(1+FedEx_Markup),2)</f>
        <v>19.78</v>
      </c>
      <c r="D59" s="275">
        <f>ROUND((IF('Ground Base'!D$154&gt;ROUND(((1-GroundCommDiscount31Up-GroundCommIncentive)*'Ground Base'!D54),2),ROUND('Ground Base'!D$154*(1+GroundFuelSurcharge),2),ROUND(((1-GroundCommDiscount31Up-GroundCommIncentive)*'Ground Base'!D54)*(1+GroundFuelSurcharge),2)))*(1+FedEx_Markup),2)</f>
        <v>23.78</v>
      </c>
      <c r="E59" s="275">
        <f>ROUND((IF('Ground Base'!E$154&gt;ROUND(((1-GroundCommDiscount31Up-GroundCommIncentive)*'Ground Base'!E54),2),ROUND('Ground Base'!E$154*(1+GroundFuelSurcharge),2),ROUND(((1-GroundCommDiscount31Up-GroundCommIncentive)*'Ground Base'!E54)*(1+GroundFuelSurcharge),2)))*(1+FedEx_Markup),2)</f>
        <v>28.85</v>
      </c>
      <c r="F59" s="275">
        <f>ROUND((IF('Ground Base'!F$154&gt;ROUND(((1-GroundCommDiscount31Up-GroundCommIncentive)*'Ground Base'!F54),2),ROUND('Ground Base'!F$154*(1+GroundFuelSurcharge),2),ROUND(((1-GroundCommDiscount31Up-GroundCommIncentive)*'Ground Base'!F54)*(1+GroundFuelSurcharge),2)))*(1+FedEx_Markup),2)</f>
        <v>36.62</v>
      </c>
      <c r="G59" s="275">
        <f>ROUND((IF('Ground Base'!G$154&gt;ROUND(((1-GroundCommDiscount31Up-GroundCommIncentive)*'Ground Base'!G54),2),ROUND('Ground Base'!G$154*(1+GroundFuelSurcharge),2),ROUND(((1-GroundCommDiscount31Up-GroundCommIncentive)*'Ground Base'!G54)*(1+GroundFuelSurcharge),2)))*(1+FedEx_Markup),2)</f>
        <v>44.23</v>
      </c>
      <c r="H59" s="275">
        <f>ROUND((IF('Ground Base'!H$154&gt;ROUND(((1-GroundCommDiscount31Up-GroundCommIncentive)*'Ground Base'!H54),2),ROUND('Ground Base'!H$154*(1+GroundFuelSurcharge),2),ROUND(((1-GroundCommDiscount31Up-GroundCommIncentive)*'Ground Base'!H54)*(1+GroundFuelSurcharge),2)))*(1+FedEx_Markup),2)</f>
        <v>49.67</v>
      </c>
      <c r="I59" s="275">
        <f>ROUND((IF('Ground Base'!I$154&gt;ROUND(((1-GroundAKHIDiscount)*'Ground Base'!I54),2),ROUND('Ground Base'!I$154*(1+GroundFuelSurcharge),2),ROUND(((1-GroundAKHIDiscount)*'Ground Base'!I54)*(1+GroundFuelSurcharge),2)))*(1+FedEx_Markup),2)</f>
        <v>240.67</v>
      </c>
      <c r="J59" s="275">
        <f>ROUND((IF('Ground Base'!J$154&gt;ROUND(((1-GroundAKHIDiscount)*'Ground Base'!J54),2),ROUND('Ground Base'!J$154*(1+GroundFuelSurcharge),2),ROUND(((1-GroundAKHIDiscount)*'Ground Base'!J54)*(1+GroundFuelSurcharge),2)))*(1+FedEx_Markup),2)</f>
        <v>240.67</v>
      </c>
      <c r="K59" s="275">
        <f>ROUND((IF('Ground Base'!K$154&gt;ROUND(((1-GroundZone51Discount)*'Ground Base'!K54),2),ROUND('Ground Base'!K$154*(1+GroundFuelSurcharge),2),ROUND(((1-GroundZone51Discount)*'Ground Base'!K54)*(1+GroundFuelSurcharge),2)))*(1+FedEx_Markup),2)</f>
        <v>74.22</v>
      </c>
      <c r="L59" s="275">
        <f>ROUND((IF('Ground Base'!L$154&gt;ROUND(((1-GroundZone54Discount)*'Ground Base'!L54),2),ROUND('Ground Base'!L$154*(1+GroundFuelSurcharge),2),ROUND(((1-GroundZone54Discount)*'Ground Base'!L54)*(1+GroundFuelSurcharge),2)))*(1+FedEx_Markup),2)</f>
        <v>86.32</v>
      </c>
    </row>
    <row r="60" ht="12.75" customHeight="1">
      <c r="A60" s="274">
        <v>53.0</v>
      </c>
      <c r="B60" s="275">
        <f>ROUND((IF('Ground Base'!B$154&gt;ROUND(((1-GroundCommDiscount31Up-GroundCommIncentive)*'Ground Base'!B55),2),ROUND('Ground Base'!B$154*(1+GroundFuelSurcharge),2),ROUND(((1-GroundCommDiscount31Up-GroundCommIncentive)*'Ground Base'!B55)*(1+GroundFuelSurcharge),2)))*(1+FedEx_Markup),2)</f>
        <v>15.82</v>
      </c>
      <c r="C60" s="275">
        <f>ROUND((IF('Ground Base'!C$154&gt;ROUND(((1-GroundCommDiscount31Up-GroundCommIncentive)*'Ground Base'!C55),2),ROUND('Ground Base'!C$154*(1+GroundFuelSurcharge),2),ROUND(((1-GroundCommDiscount31Up-GroundCommIncentive)*'Ground Base'!C55)*(1+GroundFuelSurcharge),2)))*(1+FedEx_Markup),2)</f>
        <v>19.78</v>
      </c>
      <c r="D60" s="275">
        <f>ROUND((IF('Ground Base'!D$154&gt;ROUND(((1-GroundCommDiscount31Up-GroundCommIncentive)*'Ground Base'!D55),2),ROUND('Ground Base'!D$154*(1+GroundFuelSurcharge),2),ROUND(((1-GroundCommDiscount31Up-GroundCommIncentive)*'Ground Base'!D55)*(1+GroundFuelSurcharge),2)))*(1+FedEx_Markup),2)</f>
        <v>23.79</v>
      </c>
      <c r="E60" s="275">
        <f>ROUND((IF('Ground Base'!E$154&gt;ROUND(((1-GroundCommDiscount31Up-GroundCommIncentive)*'Ground Base'!E55),2),ROUND('Ground Base'!E$154*(1+GroundFuelSurcharge),2),ROUND(((1-GroundCommDiscount31Up-GroundCommIncentive)*'Ground Base'!E55)*(1+GroundFuelSurcharge),2)))*(1+FedEx_Markup),2)</f>
        <v>29.13</v>
      </c>
      <c r="F60" s="275">
        <f>ROUND((IF('Ground Base'!F$154&gt;ROUND(((1-GroundCommDiscount31Up-GroundCommIncentive)*'Ground Base'!F55),2),ROUND('Ground Base'!F$154*(1+GroundFuelSurcharge),2),ROUND(((1-GroundCommDiscount31Up-GroundCommIncentive)*'Ground Base'!F55)*(1+GroundFuelSurcharge),2)))*(1+FedEx_Markup),2)</f>
        <v>36.62</v>
      </c>
      <c r="G60" s="275">
        <f>ROUND((IF('Ground Base'!G$154&gt;ROUND(((1-GroundCommDiscount31Up-GroundCommIncentive)*'Ground Base'!G55),2),ROUND('Ground Base'!G$154*(1+GroundFuelSurcharge),2),ROUND(((1-GroundCommDiscount31Up-GroundCommIncentive)*'Ground Base'!G55)*(1+GroundFuelSurcharge),2)))*(1+FedEx_Markup),2)</f>
        <v>44.24</v>
      </c>
      <c r="H60" s="275">
        <f>ROUND((IF('Ground Base'!H$154&gt;ROUND(((1-GroundCommDiscount31Up-GroundCommIncentive)*'Ground Base'!H55),2),ROUND('Ground Base'!H$154*(1+GroundFuelSurcharge),2),ROUND(((1-GroundCommDiscount31Up-GroundCommIncentive)*'Ground Base'!H55)*(1+GroundFuelSurcharge),2)))*(1+FedEx_Markup),2)</f>
        <v>50.15</v>
      </c>
      <c r="I60" s="275">
        <f>ROUND((IF('Ground Base'!I$154&gt;ROUND(((1-GroundAKHIDiscount)*'Ground Base'!I55),2),ROUND('Ground Base'!I$154*(1+GroundFuelSurcharge),2),ROUND(((1-GroundAKHIDiscount)*'Ground Base'!I55)*(1+GroundFuelSurcharge),2)))*(1+FedEx_Markup),2)</f>
        <v>244.32</v>
      </c>
      <c r="J60" s="275">
        <f>ROUND((IF('Ground Base'!J$154&gt;ROUND(((1-GroundAKHIDiscount)*'Ground Base'!J55),2),ROUND('Ground Base'!J$154*(1+GroundFuelSurcharge),2),ROUND(((1-GroundAKHIDiscount)*'Ground Base'!J55)*(1+GroundFuelSurcharge),2)))*(1+FedEx_Markup),2)</f>
        <v>244.32</v>
      </c>
      <c r="K60" s="275">
        <f>ROUND((IF('Ground Base'!K$154&gt;ROUND(((1-GroundZone51Discount)*'Ground Base'!K55),2),ROUND('Ground Base'!K$154*(1+GroundFuelSurcharge),2),ROUND(((1-GroundZone51Discount)*'Ground Base'!K55)*(1+GroundFuelSurcharge),2)))*(1+FedEx_Markup),2)</f>
        <v>76.28</v>
      </c>
      <c r="L60" s="275">
        <f>ROUND((IF('Ground Base'!L$154&gt;ROUND(((1-GroundZone54Discount)*'Ground Base'!L55),2),ROUND('Ground Base'!L$154*(1+GroundFuelSurcharge),2),ROUND(((1-GroundZone54Discount)*'Ground Base'!L55)*(1+GroundFuelSurcharge),2)))*(1+FedEx_Markup),2)</f>
        <v>87.96</v>
      </c>
    </row>
    <row r="61" ht="12.75" customHeight="1">
      <c r="A61" s="274">
        <v>54.0</v>
      </c>
      <c r="B61" s="275">
        <f>ROUND((IF('Ground Base'!B$154&gt;ROUND(((1-GroundCommDiscount31Up-GroundCommIncentive)*'Ground Base'!B56),2),ROUND('Ground Base'!B$154*(1+GroundFuelSurcharge),2),ROUND(((1-GroundCommDiscount31Up-GroundCommIncentive)*'Ground Base'!B56)*(1+GroundFuelSurcharge),2)))*(1+FedEx_Markup),2)</f>
        <v>15.82</v>
      </c>
      <c r="C61" s="275">
        <f>ROUND((IF('Ground Base'!C$154&gt;ROUND(((1-GroundCommDiscount31Up-GroundCommIncentive)*'Ground Base'!C56),2),ROUND('Ground Base'!C$154*(1+GroundFuelSurcharge),2),ROUND(((1-GroundCommDiscount31Up-GroundCommIncentive)*'Ground Base'!C56)*(1+GroundFuelSurcharge),2)))*(1+FedEx_Markup),2)</f>
        <v>19.79</v>
      </c>
      <c r="D61" s="275">
        <f>ROUND((IF('Ground Base'!D$154&gt;ROUND(((1-GroundCommDiscount31Up-GroundCommIncentive)*'Ground Base'!D56),2),ROUND('Ground Base'!D$154*(1+GroundFuelSurcharge),2),ROUND(((1-GroundCommDiscount31Up-GroundCommIncentive)*'Ground Base'!D56)*(1+GroundFuelSurcharge),2)))*(1+FedEx_Markup),2)</f>
        <v>23.83</v>
      </c>
      <c r="E61" s="275">
        <f>ROUND((IF('Ground Base'!E$154&gt;ROUND(((1-GroundCommDiscount31Up-GroundCommIncentive)*'Ground Base'!E56),2),ROUND('Ground Base'!E$154*(1+GroundFuelSurcharge),2),ROUND(((1-GroundCommDiscount31Up-GroundCommIncentive)*'Ground Base'!E56)*(1+GroundFuelSurcharge),2)))*(1+FedEx_Markup),2)</f>
        <v>29.19</v>
      </c>
      <c r="F61" s="275">
        <f>ROUND((IF('Ground Base'!F$154&gt;ROUND(((1-GroundCommDiscount31Up-GroundCommIncentive)*'Ground Base'!F56),2),ROUND('Ground Base'!F$154*(1+GroundFuelSurcharge),2),ROUND(((1-GroundCommDiscount31Up-GroundCommIncentive)*'Ground Base'!F56)*(1+GroundFuelSurcharge),2)))*(1+FedEx_Markup),2)</f>
        <v>36.63</v>
      </c>
      <c r="G61" s="275">
        <f>ROUND((IF('Ground Base'!G$154&gt;ROUND(((1-GroundCommDiscount31Up-GroundCommIncentive)*'Ground Base'!G56),2),ROUND('Ground Base'!G$154*(1+GroundFuelSurcharge),2),ROUND(((1-GroundCommDiscount31Up-GroundCommIncentive)*'Ground Base'!G56)*(1+GroundFuelSurcharge),2)))*(1+FedEx_Markup),2)</f>
        <v>44.24</v>
      </c>
      <c r="H61" s="275">
        <f>ROUND((IF('Ground Base'!H$154&gt;ROUND(((1-GroundCommDiscount31Up-GroundCommIncentive)*'Ground Base'!H56),2),ROUND('Ground Base'!H$154*(1+GroundFuelSurcharge),2),ROUND(((1-GroundCommDiscount31Up-GroundCommIncentive)*'Ground Base'!H56)*(1+GroundFuelSurcharge),2)))*(1+FedEx_Markup),2)</f>
        <v>50.16</v>
      </c>
      <c r="I61" s="275">
        <f>ROUND((IF('Ground Base'!I$154&gt;ROUND(((1-GroundAKHIDiscount)*'Ground Base'!I56),2),ROUND('Ground Base'!I$154*(1+GroundFuelSurcharge),2),ROUND(((1-GroundAKHIDiscount)*'Ground Base'!I56)*(1+GroundFuelSurcharge),2)))*(1+FedEx_Markup),2)</f>
        <v>247.78</v>
      </c>
      <c r="J61" s="275">
        <f>ROUND((IF('Ground Base'!J$154&gt;ROUND(((1-GroundAKHIDiscount)*'Ground Base'!J56),2),ROUND('Ground Base'!J$154*(1+GroundFuelSurcharge),2),ROUND(((1-GroundAKHIDiscount)*'Ground Base'!J56)*(1+GroundFuelSurcharge),2)))*(1+FedEx_Markup),2)</f>
        <v>247.78</v>
      </c>
      <c r="K61" s="275">
        <f>ROUND((IF('Ground Base'!K$154&gt;ROUND(((1-GroundZone51Discount)*'Ground Base'!K56),2),ROUND('Ground Base'!K$154*(1+GroundFuelSurcharge),2),ROUND(((1-GroundZone51Discount)*'Ground Base'!K56)*(1+GroundFuelSurcharge),2)))*(1+FedEx_Markup),2)</f>
        <v>76.29</v>
      </c>
      <c r="L61" s="275">
        <f>ROUND((IF('Ground Base'!L$154&gt;ROUND(((1-GroundZone54Discount)*'Ground Base'!L56),2),ROUND('Ground Base'!L$154*(1+GroundFuelSurcharge),2),ROUND(((1-GroundZone54Discount)*'Ground Base'!L56)*(1+GroundFuelSurcharge),2)))*(1+FedEx_Markup),2)</f>
        <v>87.99</v>
      </c>
    </row>
    <row r="62" ht="12.75" customHeight="1">
      <c r="A62" s="274">
        <v>55.0</v>
      </c>
      <c r="B62" s="275">
        <f>ROUND((IF('Ground Base'!B$154&gt;ROUND(((1-GroundCommDiscount31Up-GroundCommIncentive)*'Ground Base'!B57),2),ROUND('Ground Base'!B$154*(1+GroundFuelSurcharge),2),ROUND(((1-GroundCommDiscount31Up-GroundCommIncentive)*'Ground Base'!B57)*(1+GroundFuelSurcharge),2)))*(1+FedEx_Markup),2)</f>
        <v>15.84</v>
      </c>
      <c r="C62" s="275">
        <f>ROUND((IF('Ground Base'!C$154&gt;ROUND(((1-GroundCommDiscount31Up-GroundCommIncentive)*'Ground Base'!C57),2),ROUND('Ground Base'!C$154*(1+GroundFuelSurcharge),2),ROUND(((1-GroundCommDiscount31Up-GroundCommIncentive)*'Ground Base'!C57)*(1+GroundFuelSurcharge),2)))*(1+FedEx_Markup),2)</f>
        <v>19.79</v>
      </c>
      <c r="D62" s="275">
        <f>ROUND((IF('Ground Base'!D$154&gt;ROUND(((1-GroundCommDiscount31Up-GroundCommIncentive)*'Ground Base'!D57),2),ROUND('Ground Base'!D$154*(1+GroundFuelSurcharge),2),ROUND(((1-GroundCommDiscount31Up-GroundCommIncentive)*'Ground Base'!D57)*(1+GroundFuelSurcharge),2)))*(1+FedEx_Markup),2)</f>
        <v>23.84</v>
      </c>
      <c r="E62" s="275">
        <f>ROUND((IF('Ground Base'!E$154&gt;ROUND(((1-GroundCommDiscount31Up-GroundCommIncentive)*'Ground Base'!E57),2),ROUND('Ground Base'!E$154*(1+GroundFuelSurcharge),2),ROUND(((1-GroundCommDiscount31Up-GroundCommIncentive)*'Ground Base'!E57)*(1+GroundFuelSurcharge),2)))*(1+FedEx_Markup),2)</f>
        <v>29.19</v>
      </c>
      <c r="F62" s="275">
        <f>ROUND((IF('Ground Base'!F$154&gt;ROUND(((1-GroundCommDiscount31Up-GroundCommIncentive)*'Ground Base'!F57),2),ROUND('Ground Base'!F$154*(1+GroundFuelSurcharge),2),ROUND(((1-GroundCommDiscount31Up-GroundCommIncentive)*'Ground Base'!F57)*(1+GroundFuelSurcharge),2)))*(1+FedEx_Markup),2)</f>
        <v>36.64</v>
      </c>
      <c r="G62" s="275">
        <f>ROUND((IF('Ground Base'!G$154&gt;ROUND(((1-GroundCommDiscount31Up-GroundCommIncentive)*'Ground Base'!G57),2),ROUND('Ground Base'!G$154*(1+GroundFuelSurcharge),2),ROUND(((1-GroundCommDiscount31Up-GroundCommIncentive)*'Ground Base'!G57)*(1+GroundFuelSurcharge),2)))*(1+FedEx_Markup),2)</f>
        <v>44.25</v>
      </c>
      <c r="H62" s="275">
        <f>ROUND((IF('Ground Base'!H$154&gt;ROUND(((1-GroundCommDiscount31Up-GroundCommIncentive)*'Ground Base'!H57),2),ROUND('Ground Base'!H$154*(1+GroundFuelSurcharge),2),ROUND(((1-GroundCommDiscount31Up-GroundCommIncentive)*'Ground Base'!H57)*(1+GroundFuelSurcharge),2)))*(1+FedEx_Markup),2)</f>
        <v>50.16</v>
      </c>
      <c r="I62" s="275">
        <f>ROUND((IF('Ground Base'!I$154&gt;ROUND(((1-GroundAKHIDiscount)*'Ground Base'!I57),2),ROUND('Ground Base'!I$154*(1+GroundFuelSurcharge),2),ROUND(((1-GroundAKHIDiscount)*'Ground Base'!I57)*(1+GroundFuelSurcharge),2)))*(1+FedEx_Markup),2)</f>
        <v>251.11</v>
      </c>
      <c r="J62" s="275">
        <f>ROUND((IF('Ground Base'!J$154&gt;ROUND(((1-GroundAKHIDiscount)*'Ground Base'!J57),2),ROUND('Ground Base'!J$154*(1+GroundFuelSurcharge),2),ROUND(((1-GroundAKHIDiscount)*'Ground Base'!J57)*(1+GroundFuelSurcharge),2)))*(1+FedEx_Markup),2)</f>
        <v>251.11</v>
      </c>
      <c r="K62" s="275">
        <f>ROUND((IF('Ground Base'!K$154&gt;ROUND(((1-GroundZone51Discount)*'Ground Base'!K57),2),ROUND('Ground Base'!K$154*(1+GroundFuelSurcharge),2),ROUND(((1-GroundZone51Discount)*'Ground Base'!K57)*(1+GroundFuelSurcharge),2)))*(1+FedEx_Markup),2)</f>
        <v>78.06</v>
      </c>
      <c r="L62" s="275">
        <f>ROUND((IF('Ground Base'!L$154&gt;ROUND(((1-GroundZone54Discount)*'Ground Base'!L57),2),ROUND('Ground Base'!L$154*(1+GroundFuelSurcharge),2),ROUND(((1-GroundZone54Discount)*'Ground Base'!L57)*(1+GroundFuelSurcharge),2)))*(1+FedEx_Markup),2)</f>
        <v>89.79</v>
      </c>
    </row>
    <row r="63" ht="12.75" customHeight="1">
      <c r="A63" s="274">
        <v>56.0</v>
      </c>
      <c r="B63" s="275">
        <f>ROUND((IF('Ground Base'!B$154&gt;ROUND(((1-GroundCommDiscount31Up-GroundCommIncentive)*'Ground Base'!B58),2),ROUND('Ground Base'!B$154*(1+GroundFuelSurcharge),2),ROUND(((1-GroundCommDiscount31Up-GroundCommIncentive)*'Ground Base'!B58)*(1+GroundFuelSurcharge),2)))*(1+FedEx_Markup),2)</f>
        <v>15.85</v>
      </c>
      <c r="C63" s="275">
        <f>ROUND((IF('Ground Base'!C$154&gt;ROUND(((1-GroundCommDiscount31Up-GroundCommIncentive)*'Ground Base'!C58),2),ROUND('Ground Base'!C$154*(1+GroundFuelSurcharge),2),ROUND(((1-GroundCommDiscount31Up-GroundCommIncentive)*'Ground Base'!C58)*(1+GroundFuelSurcharge),2)))*(1+FedEx_Markup),2)</f>
        <v>19.8</v>
      </c>
      <c r="D63" s="275">
        <f>ROUND((IF('Ground Base'!D$154&gt;ROUND(((1-GroundCommDiscount31Up-GroundCommIncentive)*'Ground Base'!D58),2),ROUND('Ground Base'!D$154*(1+GroundFuelSurcharge),2),ROUND(((1-GroundCommDiscount31Up-GroundCommIncentive)*'Ground Base'!D58)*(1+GroundFuelSurcharge),2)))*(1+FedEx_Markup),2)</f>
        <v>23.84</v>
      </c>
      <c r="E63" s="275">
        <f>ROUND((IF('Ground Base'!E$154&gt;ROUND(((1-GroundCommDiscount31Up-GroundCommIncentive)*'Ground Base'!E58),2),ROUND('Ground Base'!E$154*(1+GroundFuelSurcharge),2),ROUND(((1-GroundCommDiscount31Up-GroundCommIncentive)*'Ground Base'!E58)*(1+GroundFuelSurcharge),2)))*(1+FedEx_Markup),2)</f>
        <v>29.2</v>
      </c>
      <c r="F63" s="275">
        <f>ROUND((IF('Ground Base'!F$154&gt;ROUND(((1-GroundCommDiscount31Up-GroundCommIncentive)*'Ground Base'!F58),2),ROUND('Ground Base'!F$154*(1+GroundFuelSurcharge),2),ROUND(((1-GroundCommDiscount31Up-GroundCommIncentive)*'Ground Base'!F58)*(1+GroundFuelSurcharge),2)))*(1+FedEx_Markup),2)</f>
        <v>36.65</v>
      </c>
      <c r="G63" s="275">
        <f>ROUND((IF('Ground Base'!G$154&gt;ROUND(((1-GroundCommDiscount31Up-GroundCommIncentive)*'Ground Base'!G58),2),ROUND('Ground Base'!G$154*(1+GroundFuelSurcharge),2),ROUND(((1-GroundCommDiscount31Up-GroundCommIncentive)*'Ground Base'!G58)*(1+GroundFuelSurcharge),2)))*(1+FedEx_Markup),2)</f>
        <v>44.26</v>
      </c>
      <c r="H63" s="275">
        <f>ROUND((IF('Ground Base'!H$154&gt;ROUND(((1-GroundCommDiscount31Up-GroundCommIncentive)*'Ground Base'!H58),2),ROUND('Ground Base'!H$154*(1+GroundFuelSurcharge),2),ROUND(((1-GroundCommDiscount31Up-GroundCommIncentive)*'Ground Base'!H58)*(1+GroundFuelSurcharge),2)))*(1+FedEx_Markup),2)</f>
        <v>50.8</v>
      </c>
      <c r="I63" s="275">
        <f>ROUND((IF('Ground Base'!I$154&gt;ROUND(((1-GroundAKHIDiscount)*'Ground Base'!I58),2),ROUND('Ground Base'!I$154*(1+GroundFuelSurcharge),2),ROUND(((1-GroundAKHIDiscount)*'Ground Base'!I58)*(1+GroundFuelSurcharge),2)))*(1+FedEx_Markup),2)</f>
        <v>254.5</v>
      </c>
      <c r="J63" s="275">
        <f>ROUND((IF('Ground Base'!J$154&gt;ROUND(((1-GroundAKHIDiscount)*'Ground Base'!J58),2),ROUND('Ground Base'!J$154*(1+GroundFuelSurcharge),2),ROUND(((1-GroundAKHIDiscount)*'Ground Base'!J58)*(1+GroundFuelSurcharge),2)))*(1+FedEx_Markup),2)</f>
        <v>254.5</v>
      </c>
      <c r="K63" s="275">
        <f>ROUND((IF('Ground Base'!K$154&gt;ROUND(((1-GroundZone51Discount)*'Ground Base'!K58),2),ROUND('Ground Base'!K$154*(1+GroundFuelSurcharge),2),ROUND(((1-GroundZone51Discount)*'Ground Base'!K58)*(1+GroundFuelSurcharge),2)))*(1+FedEx_Markup),2)</f>
        <v>78.07</v>
      </c>
      <c r="L63" s="275">
        <f>ROUND((IF('Ground Base'!L$154&gt;ROUND(((1-GroundZone54Discount)*'Ground Base'!L58),2),ROUND('Ground Base'!L$154*(1+GroundFuelSurcharge),2),ROUND(((1-GroundZone54Discount)*'Ground Base'!L58)*(1+GroundFuelSurcharge),2)))*(1+FedEx_Markup),2)</f>
        <v>89.79</v>
      </c>
    </row>
    <row r="64" ht="12.75" customHeight="1">
      <c r="A64" s="274">
        <v>57.0</v>
      </c>
      <c r="B64" s="275">
        <f>ROUND((IF('Ground Base'!B$154&gt;ROUND(((1-GroundCommDiscount31Up-GroundCommIncentive)*'Ground Base'!B59),2),ROUND('Ground Base'!B$154*(1+GroundFuelSurcharge),2),ROUND(((1-GroundCommDiscount31Up-GroundCommIncentive)*'Ground Base'!B59)*(1+GroundFuelSurcharge),2)))*(1+FedEx_Markup),2)</f>
        <v>16.13</v>
      </c>
      <c r="C64" s="275">
        <f>ROUND((IF('Ground Base'!C$154&gt;ROUND(((1-GroundCommDiscount31Up-GroundCommIncentive)*'Ground Base'!C59),2),ROUND('Ground Base'!C$154*(1+GroundFuelSurcharge),2),ROUND(((1-GroundCommDiscount31Up-GroundCommIncentive)*'Ground Base'!C59)*(1+GroundFuelSurcharge),2)))*(1+FedEx_Markup),2)</f>
        <v>19.91</v>
      </c>
      <c r="D64" s="275">
        <f>ROUND((IF('Ground Base'!D$154&gt;ROUND(((1-GroundCommDiscount31Up-GroundCommIncentive)*'Ground Base'!D59),2),ROUND('Ground Base'!D$154*(1+GroundFuelSurcharge),2),ROUND(((1-GroundCommDiscount31Up-GroundCommIncentive)*'Ground Base'!D59)*(1+GroundFuelSurcharge),2)))*(1+FedEx_Markup),2)</f>
        <v>23.85</v>
      </c>
      <c r="E64" s="275">
        <f>ROUND((IF('Ground Base'!E$154&gt;ROUND(((1-GroundCommDiscount31Up-GroundCommIncentive)*'Ground Base'!E59),2),ROUND('Ground Base'!E$154*(1+GroundFuelSurcharge),2),ROUND(((1-GroundCommDiscount31Up-GroundCommIncentive)*'Ground Base'!E59)*(1+GroundFuelSurcharge),2)))*(1+FedEx_Markup),2)</f>
        <v>30.07</v>
      </c>
      <c r="F64" s="275">
        <f>ROUND((IF('Ground Base'!F$154&gt;ROUND(((1-GroundCommDiscount31Up-GroundCommIncentive)*'Ground Base'!F59),2),ROUND('Ground Base'!F$154*(1+GroundFuelSurcharge),2),ROUND(((1-GroundCommDiscount31Up-GroundCommIncentive)*'Ground Base'!F59)*(1+GroundFuelSurcharge),2)))*(1+FedEx_Markup),2)</f>
        <v>36.65</v>
      </c>
      <c r="G64" s="275">
        <f>ROUND((IF('Ground Base'!G$154&gt;ROUND(((1-GroundCommDiscount31Up-GroundCommIncentive)*'Ground Base'!G59),2),ROUND('Ground Base'!G$154*(1+GroundFuelSurcharge),2),ROUND(((1-GroundCommDiscount31Up-GroundCommIncentive)*'Ground Base'!G59)*(1+GroundFuelSurcharge),2)))*(1+FedEx_Markup),2)</f>
        <v>44.28</v>
      </c>
      <c r="H64" s="275">
        <f>ROUND((IF('Ground Base'!H$154&gt;ROUND(((1-GroundCommDiscount31Up-GroundCommIncentive)*'Ground Base'!H59),2),ROUND('Ground Base'!H$154*(1+GroundFuelSurcharge),2),ROUND(((1-GroundCommDiscount31Up-GroundCommIncentive)*'Ground Base'!H59)*(1+GroundFuelSurcharge),2)))*(1+FedEx_Markup),2)</f>
        <v>51.3</v>
      </c>
      <c r="I64" s="275">
        <f>ROUND((IF('Ground Base'!I$154&gt;ROUND(((1-GroundAKHIDiscount)*'Ground Base'!I59),2),ROUND('Ground Base'!I$154*(1+GroundFuelSurcharge),2),ROUND(((1-GroundAKHIDiscount)*'Ground Base'!I59)*(1+GroundFuelSurcharge),2)))*(1+FedEx_Markup),2)</f>
        <v>258</v>
      </c>
      <c r="J64" s="275">
        <f>ROUND((IF('Ground Base'!J$154&gt;ROUND(((1-GroundAKHIDiscount)*'Ground Base'!J59),2),ROUND('Ground Base'!J$154*(1+GroundFuelSurcharge),2),ROUND(((1-GroundAKHIDiscount)*'Ground Base'!J59)*(1+GroundFuelSurcharge),2)))*(1+FedEx_Markup),2)</f>
        <v>258</v>
      </c>
      <c r="K64" s="275">
        <f>ROUND((IF('Ground Base'!K$154&gt;ROUND(((1-GroundZone51Discount)*'Ground Base'!K59),2),ROUND('Ground Base'!K$154*(1+GroundFuelSurcharge),2),ROUND(((1-GroundZone51Discount)*'Ground Base'!K59)*(1+GroundFuelSurcharge),2)))*(1+FedEx_Markup),2)</f>
        <v>79.51</v>
      </c>
      <c r="L64" s="275">
        <f>ROUND((IF('Ground Base'!L$154&gt;ROUND(((1-GroundZone54Discount)*'Ground Base'!L59),2),ROUND('Ground Base'!L$154*(1+GroundFuelSurcharge),2),ROUND(((1-GroundZone54Discount)*'Ground Base'!L59)*(1+GroundFuelSurcharge),2)))*(1+FedEx_Markup),2)</f>
        <v>91.61</v>
      </c>
    </row>
    <row r="65" ht="12.75" customHeight="1">
      <c r="A65" s="274">
        <v>58.0</v>
      </c>
      <c r="B65" s="275">
        <f>ROUND((IF('Ground Base'!B$154&gt;ROUND(((1-GroundCommDiscount31Up-GroundCommIncentive)*'Ground Base'!B60),2),ROUND('Ground Base'!B$154*(1+GroundFuelSurcharge),2),ROUND(((1-GroundCommDiscount31Up-GroundCommIncentive)*'Ground Base'!B60)*(1+GroundFuelSurcharge),2)))*(1+FedEx_Markup),2)</f>
        <v>16.13</v>
      </c>
      <c r="C65" s="275">
        <f>ROUND((IF('Ground Base'!C$154&gt;ROUND(((1-GroundCommDiscount31Up-GroundCommIncentive)*'Ground Base'!C60),2),ROUND('Ground Base'!C$154*(1+GroundFuelSurcharge),2),ROUND(((1-GroundCommDiscount31Up-GroundCommIncentive)*'Ground Base'!C60)*(1+GroundFuelSurcharge),2)))*(1+FedEx_Markup),2)</f>
        <v>19.92</v>
      </c>
      <c r="D65" s="275">
        <f>ROUND((IF('Ground Base'!D$154&gt;ROUND(((1-GroundCommDiscount31Up-GroundCommIncentive)*'Ground Base'!D60),2),ROUND('Ground Base'!D$154*(1+GroundFuelSurcharge),2),ROUND(((1-GroundCommDiscount31Up-GroundCommIncentive)*'Ground Base'!D60)*(1+GroundFuelSurcharge),2)))*(1+FedEx_Markup),2)</f>
        <v>23.86</v>
      </c>
      <c r="E65" s="275">
        <f>ROUND((IF('Ground Base'!E$154&gt;ROUND(((1-GroundCommDiscount31Up-GroundCommIncentive)*'Ground Base'!E60),2),ROUND('Ground Base'!E$154*(1+GroundFuelSurcharge),2),ROUND(((1-GroundCommDiscount31Up-GroundCommIncentive)*'Ground Base'!E60)*(1+GroundFuelSurcharge),2)))*(1+FedEx_Markup),2)</f>
        <v>30.08</v>
      </c>
      <c r="F65" s="275">
        <f>ROUND((IF('Ground Base'!F$154&gt;ROUND(((1-GroundCommDiscount31Up-GroundCommIncentive)*'Ground Base'!F60),2),ROUND('Ground Base'!F$154*(1+GroundFuelSurcharge),2),ROUND(((1-GroundCommDiscount31Up-GroundCommIncentive)*'Ground Base'!F60)*(1+GroundFuelSurcharge),2)))*(1+FedEx_Markup),2)</f>
        <v>36.66</v>
      </c>
      <c r="G65" s="275">
        <f>ROUND((IF('Ground Base'!G$154&gt;ROUND(((1-GroundCommDiscount31Up-GroundCommIncentive)*'Ground Base'!G60),2),ROUND('Ground Base'!G$154*(1+GroundFuelSurcharge),2),ROUND(((1-GroundCommDiscount31Up-GroundCommIncentive)*'Ground Base'!G60)*(1+GroundFuelSurcharge),2)))*(1+FedEx_Markup),2)</f>
        <v>44.28</v>
      </c>
      <c r="H65" s="275">
        <f>ROUND((IF('Ground Base'!H$154&gt;ROUND(((1-GroundCommDiscount31Up-GroundCommIncentive)*'Ground Base'!H60),2),ROUND('Ground Base'!H$154*(1+GroundFuelSurcharge),2),ROUND(((1-GroundCommDiscount31Up-GroundCommIncentive)*'Ground Base'!H60)*(1+GroundFuelSurcharge),2)))*(1+FedEx_Markup),2)</f>
        <v>51.76</v>
      </c>
      <c r="I65" s="275">
        <f>ROUND((IF('Ground Base'!I$154&gt;ROUND(((1-GroundAKHIDiscount)*'Ground Base'!I60),2),ROUND('Ground Base'!I$154*(1+GroundFuelSurcharge),2),ROUND(((1-GroundAKHIDiscount)*'Ground Base'!I60)*(1+GroundFuelSurcharge),2)))*(1+FedEx_Markup),2)</f>
        <v>261.38</v>
      </c>
      <c r="J65" s="275">
        <f>ROUND((IF('Ground Base'!J$154&gt;ROUND(((1-GroundAKHIDiscount)*'Ground Base'!J60),2),ROUND('Ground Base'!J$154*(1+GroundFuelSurcharge),2),ROUND(((1-GroundAKHIDiscount)*'Ground Base'!J60)*(1+GroundFuelSurcharge),2)))*(1+FedEx_Markup),2)</f>
        <v>261.38</v>
      </c>
      <c r="K65" s="275">
        <f>ROUND((IF('Ground Base'!K$154&gt;ROUND(((1-GroundZone51Discount)*'Ground Base'!K60),2),ROUND('Ground Base'!K$154*(1+GroundFuelSurcharge),2),ROUND(((1-GroundZone51Discount)*'Ground Base'!K60)*(1+GroundFuelSurcharge),2)))*(1+FedEx_Markup),2)</f>
        <v>86.05</v>
      </c>
      <c r="L65" s="275">
        <f>ROUND((IF('Ground Base'!L$154&gt;ROUND(((1-GroundZone54Discount)*'Ground Base'!L60),2),ROUND('Ground Base'!L$154*(1+GroundFuelSurcharge),2),ROUND(((1-GroundZone54Discount)*'Ground Base'!L60)*(1+GroundFuelSurcharge),2)))*(1+FedEx_Markup),2)</f>
        <v>91.62</v>
      </c>
    </row>
    <row r="66" ht="12.75" customHeight="1">
      <c r="A66" s="274">
        <v>59.0</v>
      </c>
      <c r="B66" s="275">
        <f>ROUND((IF('Ground Base'!B$154&gt;ROUND(((1-GroundCommDiscount31Up-GroundCommIncentive)*'Ground Base'!B61),2),ROUND('Ground Base'!B$154*(1+GroundFuelSurcharge),2),ROUND(((1-GroundCommDiscount31Up-GroundCommIncentive)*'Ground Base'!B61)*(1+GroundFuelSurcharge),2)))*(1+FedEx_Markup),2)</f>
        <v>16.15</v>
      </c>
      <c r="C66" s="275">
        <f>ROUND((IF('Ground Base'!C$154&gt;ROUND(((1-GroundCommDiscount31Up-GroundCommIncentive)*'Ground Base'!C61),2),ROUND('Ground Base'!C$154*(1+GroundFuelSurcharge),2),ROUND(((1-GroundCommDiscount31Up-GroundCommIncentive)*'Ground Base'!C61)*(1+GroundFuelSurcharge),2)))*(1+FedEx_Markup),2)</f>
        <v>19.93</v>
      </c>
      <c r="D66" s="275">
        <f>ROUND((IF('Ground Base'!D$154&gt;ROUND(((1-GroundCommDiscount31Up-GroundCommIncentive)*'Ground Base'!D61),2),ROUND('Ground Base'!D$154*(1+GroundFuelSurcharge),2),ROUND(((1-GroundCommDiscount31Up-GroundCommIncentive)*'Ground Base'!D61)*(1+GroundFuelSurcharge),2)))*(1+FedEx_Markup),2)</f>
        <v>24.02</v>
      </c>
      <c r="E66" s="275">
        <f>ROUND((IF('Ground Base'!E$154&gt;ROUND(((1-GroundCommDiscount31Up-GroundCommIncentive)*'Ground Base'!E61),2),ROUND('Ground Base'!E$154*(1+GroundFuelSurcharge),2),ROUND(((1-GroundCommDiscount31Up-GroundCommIncentive)*'Ground Base'!E61)*(1+GroundFuelSurcharge),2)))*(1+FedEx_Markup),2)</f>
        <v>30.1</v>
      </c>
      <c r="F66" s="275">
        <f>ROUND((IF('Ground Base'!F$154&gt;ROUND(((1-GroundCommDiscount31Up-GroundCommIncentive)*'Ground Base'!F61),2),ROUND('Ground Base'!F$154*(1+GroundFuelSurcharge),2),ROUND(((1-GroundCommDiscount31Up-GroundCommIncentive)*'Ground Base'!F61)*(1+GroundFuelSurcharge),2)))*(1+FedEx_Markup),2)</f>
        <v>36.92</v>
      </c>
      <c r="G66" s="275">
        <f>ROUND((IF('Ground Base'!G$154&gt;ROUND(((1-GroundCommDiscount31Up-GroundCommIncentive)*'Ground Base'!G61),2),ROUND('Ground Base'!G$154*(1+GroundFuelSurcharge),2),ROUND(((1-GroundCommDiscount31Up-GroundCommIncentive)*'Ground Base'!G61)*(1+GroundFuelSurcharge),2)))*(1+FedEx_Markup),2)</f>
        <v>44.29</v>
      </c>
      <c r="H66" s="275">
        <f>ROUND((IF('Ground Base'!H$154&gt;ROUND(((1-GroundCommDiscount31Up-GroundCommIncentive)*'Ground Base'!H61),2),ROUND('Ground Base'!H$154*(1+GroundFuelSurcharge),2),ROUND(((1-GroundCommDiscount31Up-GroundCommIncentive)*'Ground Base'!H61)*(1+GroundFuelSurcharge),2)))*(1+FedEx_Markup),2)</f>
        <v>52.62</v>
      </c>
      <c r="I66" s="275">
        <f>ROUND((IF('Ground Base'!I$154&gt;ROUND(((1-GroundAKHIDiscount)*'Ground Base'!I61),2),ROUND('Ground Base'!I$154*(1+GroundFuelSurcharge),2),ROUND(((1-GroundAKHIDiscount)*'Ground Base'!I61)*(1+GroundFuelSurcharge),2)))*(1+FedEx_Markup),2)</f>
        <v>265.35</v>
      </c>
      <c r="J66" s="275">
        <f>ROUND((IF('Ground Base'!J$154&gt;ROUND(((1-GroundAKHIDiscount)*'Ground Base'!J61),2),ROUND('Ground Base'!J$154*(1+GroundFuelSurcharge),2),ROUND(((1-GroundAKHIDiscount)*'Ground Base'!J61)*(1+GroundFuelSurcharge),2)))*(1+FedEx_Markup),2)</f>
        <v>265.35</v>
      </c>
      <c r="K66" s="275">
        <f>ROUND((IF('Ground Base'!K$154&gt;ROUND(((1-GroundZone51Discount)*'Ground Base'!K61),2),ROUND('Ground Base'!K$154*(1+GroundFuelSurcharge),2),ROUND(((1-GroundZone51Discount)*'Ground Base'!K61)*(1+GroundFuelSurcharge),2)))*(1+FedEx_Markup),2)</f>
        <v>86.07</v>
      </c>
      <c r="L66" s="275">
        <f>ROUND((IF('Ground Base'!L$154&gt;ROUND(((1-GroundZone54Discount)*'Ground Base'!L61),2),ROUND('Ground Base'!L$154*(1+GroundFuelSurcharge),2),ROUND(((1-GroundZone54Discount)*'Ground Base'!L61)*(1+GroundFuelSurcharge),2)))*(1+FedEx_Markup),2)</f>
        <v>93.23</v>
      </c>
    </row>
    <row r="67" ht="12.75" customHeight="1">
      <c r="A67" s="274">
        <v>60.0</v>
      </c>
      <c r="B67" s="275">
        <f>ROUND((IF('Ground Base'!B$154&gt;ROUND(((1-GroundCommDiscount31Up-GroundCommIncentive)*'Ground Base'!B62),2),ROUND('Ground Base'!B$154*(1+GroundFuelSurcharge),2),ROUND(((1-GroundCommDiscount31Up-GroundCommIncentive)*'Ground Base'!B62)*(1+GroundFuelSurcharge),2)))*(1+FedEx_Markup),2)</f>
        <v>16.59</v>
      </c>
      <c r="C67" s="275">
        <f>ROUND((IF('Ground Base'!C$154&gt;ROUND(((1-GroundCommDiscount31Up-GroundCommIncentive)*'Ground Base'!C62),2),ROUND('Ground Base'!C$154*(1+GroundFuelSurcharge),2),ROUND(((1-GroundCommDiscount31Up-GroundCommIncentive)*'Ground Base'!C62)*(1+GroundFuelSurcharge),2)))*(1+FedEx_Markup),2)</f>
        <v>20.7</v>
      </c>
      <c r="D67" s="275">
        <f>ROUND((IF('Ground Base'!D$154&gt;ROUND(((1-GroundCommDiscount31Up-GroundCommIncentive)*'Ground Base'!D62),2),ROUND('Ground Base'!D$154*(1+GroundFuelSurcharge),2),ROUND(((1-GroundCommDiscount31Up-GroundCommIncentive)*'Ground Base'!D62)*(1+GroundFuelSurcharge),2)))*(1+FedEx_Markup),2)</f>
        <v>24.44</v>
      </c>
      <c r="E67" s="275">
        <f>ROUND((IF('Ground Base'!E$154&gt;ROUND(((1-GroundCommDiscount31Up-GroundCommIncentive)*'Ground Base'!E62),2),ROUND('Ground Base'!E$154*(1+GroundFuelSurcharge),2),ROUND(((1-GroundCommDiscount31Up-GroundCommIncentive)*'Ground Base'!E62)*(1+GroundFuelSurcharge),2)))*(1+FedEx_Markup),2)</f>
        <v>31.17</v>
      </c>
      <c r="F67" s="275">
        <f>ROUND((IF('Ground Base'!F$154&gt;ROUND(((1-GroundCommDiscount31Up-GroundCommIncentive)*'Ground Base'!F62),2),ROUND('Ground Base'!F$154*(1+GroundFuelSurcharge),2),ROUND(((1-GroundCommDiscount31Up-GroundCommIncentive)*'Ground Base'!F62)*(1+GroundFuelSurcharge),2)))*(1+FedEx_Markup),2)</f>
        <v>37.61</v>
      </c>
      <c r="G67" s="275">
        <f>ROUND((IF('Ground Base'!G$154&gt;ROUND(((1-GroundCommDiscount31Up-GroundCommIncentive)*'Ground Base'!G62),2),ROUND('Ground Base'!G$154*(1+GroundFuelSurcharge),2),ROUND(((1-GroundCommDiscount31Up-GroundCommIncentive)*'Ground Base'!G62)*(1+GroundFuelSurcharge),2)))*(1+FedEx_Markup),2)</f>
        <v>44.44</v>
      </c>
      <c r="H67" s="275">
        <f>ROUND((IF('Ground Base'!H$154&gt;ROUND(((1-GroundCommDiscount31Up-GroundCommIncentive)*'Ground Base'!H62),2),ROUND('Ground Base'!H$154*(1+GroundFuelSurcharge),2),ROUND(((1-GroundCommDiscount31Up-GroundCommIncentive)*'Ground Base'!H62)*(1+GroundFuelSurcharge),2)))*(1+FedEx_Markup),2)</f>
        <v>52.93</v>
      </c>
      <c r="I67" s="275">
        <f>ROUND((IF('Ground Base'!I$154&gt;ROUND(((1-GroundAKHIDiscount)*'Ground Base'!I62),2),ROUND('Ground Base'!I$154*(1+GroundFuelSurcharge),2),ROUND(((1-GroundAKHIDiscount)*'Ground Base'!I62)*(1+GroundFuelSurcharge),2)))*(1+FedEx_Markup),2)</f>
        <v>269.49</v>
      </c>
      <c r="J67" s="275">
        <f>ROUND((IF('Ground Base'!J$154&gt;ROUND(((1-GroundAKHIDiscount)*'Ground Base'!J62),2),ROUND('Ground Base'!J$154*(1+GroundFuelSurcharge),2),ROUND(((1-GroundAKHIDiscount)*'Ground Base'!J62)*(1+GroundFuelSurcharge),2)))*(1+FedEx_Markup),2)</f>
        <v>269.49</v>
      </c>
      <c r="K67" s="275">
        <f>ROUND((IF('Ground Base'!K$154&gt;ROUND(((1-GroundZone51Discount)*'Ground Base'!K62),2),ROUND('Ground Base'!K$154*(1+GroundFuelSurcharge),2),ROUND(((1-GroundZone51Discount)*'Ground Base'!K62)*(1+GroundFuelSurcharge),2)))*(1+FedEx_Markup),2)</f>
        <v>86.08</v>
      </c>
      <c r="L67" s="275">
        <f>ROUND((IF('Ground Base'!L$154&gt;ROUND(((1-GroundZone54Discount)*'Ground Base'!L62),2),ROUND('Ground Base'!L$154*(1+GroundFuelSurcharge),2),ROUND(((1-GroundZone54Discount)*'Ground Base'!L62)*(1+GroundFuelSurcharge),2)))*(1+FedEx_Markup),2)</f>
        <v>93.24</v>
      </c>
    </row>
    <row r="68" ht="12.75" customHeight="1">
      <c r="A68" s="274">
        <v>61.0</v>
      </c>
      <c r="B68" s="275">
        <f>ROUND((IF('Ground Base'!B$154&gt;ROUND(((1-GroundCommDiscount31Up-GroundCommIncentive)*'Ground Base'!B63),2),ROUND('Ground Base'!B$154*(1+GroundFuelSurcharge),2),ROUND(((1-GroundCommDiscount31Up-GroundCommIncentive)*'Ground Base'!B63)*(1+GroundFuelSurcharge),2)))*(1+FedEx_Markup),2)</f>
        <v>16.59</v>
      </c>
      <c r="C68" s="275">
        <f>ROUND((IF('Ground Base'!C$154&gt;ROUND(((1-GroundCommDiscount31Up-GroundCommIncentive)*'Ground Base'!C63),2),ROUND('Ground Base'!C$154*(1+GroundFuelSurcharge),2),ROUND(((1-GroundCommDiscount31Up-GroundCommIncentive)*'Ground Base'!C63)*(1+GroundFuelSurcharge),2)))*(1+FedEx_Markup),2)</f>
        <v>20.76</v>
      </c>
      <c r="D68" s="275">
        <f>ROUND((IF('Ground Base'!D$154&gt;ROUND(((1-GroundCommDiscount31Up-GroundCommIncentive)*'Ground Base'!D63),2),ROUND('Ground Base'!D$154*(1+GroundFuelSurcharge),2),ROUND(((1-GroundCommDiscount31Up-GroundCommIncentive)*'Ground Base'!D63)*(1+GroundFuelSurcharge),2)))*(1+FedEx_Markup),2)</f>
        <v>24.68</v>
      </c>
      <c r="E68" s="275">
        <f>ROUND((IF('Ground Base'!E$154&gt;ROUND(((1-GroundCommDiscount31Up-GroundCommIncentive)*'Ground Base'!E63),2),ROUND('Ground Base'!E$154*(1+GroundFuelSurcharge),2),ROUND(((1-GroundCommDiscount31Up-GroundCommIncentive)*'Ground Base'!E63)*(1+GroundFuelSurcharge),2)))*(1+FedEx_Markup),2)</f>
        <v>31.23</v>
      </c>
      <c r="F68" s="275">
        <f>ROUND((IF('Ground Base'!F$154&gt;ROUND(((1-GroundCommDiscount31Up-GroundCommIncentive)*'Ground Base'!F63),2),ROUND('Ground Base'!F$154*(1+GroundFuelSurcharge),2),ROUND(((1-GroundCommDiscount31Up-GroundCommIncentive)*'Ground Base'!F63)*(1+GroundFuelSurcharge),2)))*(1+FedEx_Markup),2)</f>
        <v>37.61</v>
      </c>
      <c r="G68" s="275">
        <f>ROUND((IF('Ground Base'!G$154&gt;ROUND(((1-GroundCommDiscount31Up-GroundCommIncentive)*'Ground Base'!G63),2),ROUND('Ground Base'!G$154*(1+GroundFuelSurcharge),2),ROUND(((1-GroundCommDiscount31Up-GroundCommIncentive)*'Ground Base'!G63)*(1+GroundFuelSurcharge),2)))*(1+FedEx_Markup),2)</f>
        <v>44.45</v>
      </c>
      <c r="H68" s="275">
        <f>ROUND((IF('Ground Base'!H$154&gt;ROUND(((1-GroundCommDiscount31Up-GroundCommIncentive)*'Ground Base'!H63),2),ROUND('Ground Base'!H$154*(1+GroundFuelSurcharge),2),ROUND(((1-GroundCommDiscount31Up-GroundCommIncentive)*'Ground Base'!H63)*(1+GroundFuelSurcharge),2)))*(1+FedEx_Markup),2)</f>
        <v>52.95</v>
      </c>
      <c r="I68" s="275">
        <f>ROUND((IF('Ground Base'!I$154&gt;ROUND(((1-GroundAKHIDiscount)*'Ground Base'!I63),2),ROUND('Ground Base'!I$154*(1+GroundFuelSurcharge),2),ROUND(((1-GroundAKHIDiscount)*'Ground Base'!I63)*(1+GroundFuelSurcharge),2)))*(1+FedEx_Markup),2)</f>
        <v>272.81</v>
      </c>
      <c r="J68" s="275">
        <f>ROUND((IF('Ground Base'!J$154&gt;ROUND(((1-GroundAKHIDiscount)*'Ground Base'!J63),2),ROUND('Ground Base'!J$154*(1+GroundFuelSurcharge),2),ROUND(((1-GroundAKHIDiscount)*'Ground Base'!J63)*(1+GroundFuelSurcharge),2)))*(1+FedEx_Markup),2)</f>
        <v>272.81</v>
      </c>
      <c r="K68" s="275">
        <f>ROUND((IF('Ground Base'!K$154&gt;ROUND(((1-GroundZone51Discount)*'Ground Base'!K63),2),ROUND('Ground Base'!K$154*(1+GroundFuelSurcharge),2),ROUND(((1-GroundZone51Discount)*'Ground Base'!K63)*(1+GroundFuelSurcharge),2)))*(1+FedEx_Markup),2)</f>
        <v>86.08</v>
      </c>
      <c r="L68" s="275">
        <f>ROUND((IF('Ground Base'!L$154&gt;ROUND(((1-GroundZone54Discount)*'Ground Base'!L63),2),ROUND('Ground Base'!L$154*(1+GroundFuelSurcharge),2),ROUND(((1-GroundZone54Discount)*'Ground Base'!L63)*(1+GroundFuelSurcharge),2)))*(1+FedEx_Markup),2)</f>
        <v>95.24</v>
      </c>
    </row>
    <row r="69" ht="12.75" customHeight="1">
      <c r="A69" s="274">
        <v>62.0</v>
      </c>
      <c r="B69" s="275">
        <f>ROUND((IF('Ground Base'!B$154&gt;ROUND(((1-GroundCommDiscount31Up-GroundCommIncentive)*'Ground Base'!B64),2),ROUND('Ground Base'!B$154*(1+GroundFuelSurcharge),2),ROUND(((1-GroundCommDiscount31Up-GroundCommIncentive)*'Ground Base'!B64)*(1+GroundFuelSurcharge),2)))*(1+FedEx_Markup),2)</f>
        <v>17.27</v>
      </c>
      <c r="C69" s="275">
        <f>ROUND((IF('Ground Base'!C$154&gt;ROUND(((1-GroundCommDiscount31Up-GroundCommIncentive)*'Ground Base'!C64),2),ROUND('Ground Base'!C$154*(1+GroundFuelSurcharge),2),ROUND(((1-GroundCommDiscount31Up-GroundCommIncentive)*'Ground Base'!C64)*(1+GroundFuelSurcharge),2)))*(1+FedEx_Markup),2)</f>
        <v>22.24</v>
      </c>
      <c r="D69" s="275">
        <f>ROUND((IF('Ground Base'!D$154&gt;ROUND(((1-GroundCommDiscount31Up-GroundCommIncentive)*'Ground Base'!D64),2),ROUND('Ground Base'!D$154*(1+GroundFuelSurcharge),2),ROUND(((1-GroundCommDiscount31Up-GroundCommIncentive)*'Ground Base'!D64)*(1+GroundFuelSurcharge),2)))*(1+FedEx_Markup),2)</f>
        <v>25.07</v>
      </c>
      <c r="E69" s="275">
        <f>ROUND((IF('Ground Base'!E$154&gt;ROUND(((1-GroundCommDiscount31Up-GroundCommIncentive)*'Ground Base'!E64),2),ROUND('Ground Base'!E$154*(1+GroundFuelSurcharge),2),ROUND(((1-GroundCommDiscount31Up-GroundCommIncentive)*'Ground Base'!E64)*(1+GroundFuelSurcharge),2)))*(1+FedEx_Markup),2)</f>
        <v>32.12</v>
      </c>
      <c r="F69" s="275">
        <f>ROUND((IF('Ground Base'!F$154&gt;ROUND(((1-GroundCommDiscount31Up-GroundCommIncentive)*'Ground Base'!F64),2),ROUND('Ground Base'!F$154*(1+GroundFuelSurcharge),2),ROUND(((1-GroundCommDiscount31Up-GroundCommIncentive)*'Ground Base'!F64)*(1+GroundFuelSurcharge),2)))*(1+FedEx_Markup),2)</f>
        <v>38.19</v>
      </c>
      <c r="G69" s="275">
        <f>ROUND((IF('Ground Base'!G$154&gt;ROUND(((1-GroundCommDiscount31Up-GroundCommIncentive)*'Ground Base'!G64),2),ROUND('Ground Base'!G$154*(1+GroundFuelSurcharge),2),ROUND(((1-GroundCommDiscount31Up-GroundCommIncentive)*'Ground Base'!G64)*(1+GroundFuelSurcharge),2)))*(1+FedEx_Markup),2)</f>
        <v>45.13</v>
      </c>
      <c r="H69" s="275">
        <f>ROUND((IF('Ground Base'!H$154&gt;ROUND(((1-GroundCommDiscount31Up-GroundCommIncentive)*'Ground Base'!H64),2),ROUND('Ground Base'!H$154*(1+GroundFuelSurcharge),2),ROUND(((1-GroundCommDiscount31Up-GroundCommIncentive)*'Ground Base'!H64)*(1+GroundFuelSurcharge),2)))*(1+FedEx_Markup),2)</f>
        <v>53.59</v>
      </c>
      <c r="I69" s="275">
        <f>ROUND((IF('Ground Base'!I$154&gt;ROUND(((1-GroundAKHIDiscount)*'Ground Base'!I64),2),ROUND('Ground Base'!I$154*(1+GroundFuelSurcharge),2),ROUND(((1-GroundAKHIDiscount)*'Ground Base'!I64)*(1+GroundFuelSurcharge),2)))*(1+FedEx_Markup),2)</f>
        <v>277.29</v>
      </c>
      <c r="J69" s="275">
        <f>ROUND((IF('Ground Base'!J$154&gt;ROUND(((1-GroundAKHIDiscount)*'Ground Base'!J64),2),ROUND('Ground Base'!J$154*(1+GroundFuelSurcharge),2),ROUND(((1-GroundAKHIDiscount)*'Ground Base'!J64)*(1+GroundFuelSurcharge),2)))*(1+FedEx_Markup),2)</f>
        <v>277.29</v>
      </c>
      <c r="K69" s="275">
        <f>ROUND((IF('Ground Base'!K$154&gt;ROUND(((1-GroundZone51Discount)*'Ground Base'!K64),2),ROUND('Ground Base'!K$154*(1+GroundFuelSurcharge),2),ROUND(((1-GroundZone51Discount)*'Ground Base'!K64)*(1+GroundFuelSurcharge),2)))*(1+FedEx_Markup),2)</f>
        <v>86.09</v>
      </c>
      <c r="L69" s="275">
        <f>ROUND((IF('Ground Base'!L$154&gt;ROUND(((1-GroundZone54Discount)*'Ground Base'!L64),2),ROUND('Ground Base'!L$154*(1+GroundFuelSurcharge),2),ROUND(((1-GroundZone54Discount)*'Ground Base'!L64)*(1+GroundFuelSurcharge),2)))*(1+FedEx_Markup),2)</f>
        <v>95.24</v>
      </c>
    </row>
    <row r="70" ht="12.75" customHeight="1">
      <c r="A70" s="274">
        <v>63.0</v>
      </c>
      <c r="B70" s="275">
        <f>ROUND((IF('Ground Base'!B$154&gt;ROUND(((1-GroundCommDiscount31Up-GroundCommIncentive)*'Ground Base'!B65),2),ROUND('Ground Base'!B$154*(1+GroundFuelSurcharge),2),ROUND(((1-GroundCommDiscount31Up-GroundCommIncentive)*'Ground Base'!B65)*(1+GroundFuelSurcharge),2)))*(1+FedEx_Markup),2)</f>
        <v>17.28</v>
      </c>
      <c r="C70" s="275">
        <f>ROUND((IF('Ground Base'!C$154&gt;ROUND(((1-GroundCommDiscount31Up-GroundCommIncentive)*'Ground Base'!C65),2),ROUND('Ground Base'!C$154*(1+GroundFuelSurcharge),2),ROUND(((1-GroundCommDiscount31Up-GroundCommIncentive)*'Ground Base'!C65)*(1+GroundFuelSurcharge),2)))*(1+FedEx_Markup),2)</f>
        <v>22.24</v>
      </c>
      <c r="D70" s="275">
        <f>ROUND((IF('Ground Base'!D$154&gt;ROUND(((1-GroundCommDiscount31Up-GroundCommIncentive)*'Ground Base'!D65),2),ROUND('Ground Base'!D$154*(1+GroundFuelSurcharge),2),ROUND(((1-GroundCommDiscount31Up-GroundCommIncentive)*'Ground Base'!D65)*(1+GroundFuelSurcharge),2)))*(1+FedEx_Markup),2)</f>
        <v>25.31</v>
      </c>
      <c r="E70" s="275">
        <f>ROUND((IF('Ground Base'!E$154&gt;ROUND(((1-GroundCommDiscount31Up-GroundCommIncentive)*'Ground Base'!E65),2),ROUND('Ground Base'!E$154*(1+GroundFuelSurcharge),2),ROUND(((1-GroundCommDiscount31Up-GroundCommIncentive)*'Ground Base'!E65)*(1+GroundFuelSurcharge),2)))*(1+FedEx_Markup),2)</f>
        <v>32.13</v>
      </c>
      <c r="F70" s="275">
        <f>ROUND((IF('Ground Base'!F$154&gt;ROUND(((1-GroundCommDiscount31Up-GroundCommIncentive)*'Ground Base'!F65),2),ROUND('Ground Base'!F$154*(1+GroundFuelSurcharge),2),ROUND(((1-GroundCommDiscount31Up-GroundCommIncentive)*'Ground Base'!F65)*(1+GroundFuelSurcharge),2)))*(1+FedEx_Markup),2)</f>
        <v>38.44</v>
      </c>
      <c r="G70" s="275">
        <f>ROUND((IF('Ground Base'!G$154&gt;ROUND(((1-GroundCommDiscount31Up-GroundCommIncentive)*'Ground Base'!G65),2),ROUND('Ground Base'!G$154*(1+GroundFuelSurcharge),2),ROUND(((1-GroundCommDiscount31Up-GroundCommIncentive)*'Ground Base'!G65)*(1+GroundFuelSurcharge),2)))*(1+FedEx_Markup),2)</f>
        <v>45.49</v>
      </c>
      <c r="H70" s="275">
        <f>ROUND((IF('Ground Base'!H$154&gt;ROUND(((1-GroundCommDiscount31Up-GroundCommIncentive)*'Ground Base'!H65),2),ROUND('Ground Base'!H$154*(1+GroundFuelSurcharge),2),ROUND(((1-GroundCommDiscount31Up-GroundCommIncentive)*'Ground Base'!H65)*(1+GroundFuelSurcharge),2)))*(1+FedEx_Markup),2)</f>
        <v>53.91</v>
      </c>
      <c r="I70" s="275">
        <f>ROUND((IF('Ground Base'!I$154&gt;ROUND(((1-GroundAKHIDiscount)*'Ground Base'!I65),2),ROUND('Ground Base'!I$154*(1+GroundFuelSurcharge),2),ROUND(((1-GroundAKHIDiscount)*'Ground Base'!I65)*(1+GroundFuelSurcharge),2)))*(1+FedEx_Markup),2)</f>
        <v>281.84</v>
      </c>
      <c r="J70" s="275">
        <f>ROUND((IF('Ground Base'!J$154&gt;ROUND(((1-GroundAKHIDiscount)*'Ground Base'!J65),2),ROUND('Ground Base'!J$154*(1+GroundFuelSurcharge),2),ROUND(((1-GroundAKHIDiscount)*'Ground Base'!J65)*(1+GroundFuelSurcharge),2)))*(1+FedEx_Markup),2)</f>
        <v>281.84</v>
      </c>
      <c r="K70" s="275">
        <f>ROUND((IF('Ground Base'!K$154&gt;ROUND(((1-GroundZone51Discount)*'Ground Base'!K65),2),ROUND('Ground Base'!K$154*(1+GroundFuelSurcharge),2),ROUND(((1-GroundZone51Discount)*'Ground Base'!K65)*(1+GroundFuelSurcharge),2)))*(1+FedEx_Markup),2)</f>
        <v>86.11</v>
      </c>
      <c r="L70" s="275">
        <f>ROUND((IF('Ground Base'!L$154&gt;ROUND(((1-GroundZone54Discount)*'Ground Base'!L65),2),ROUND('Ground Base'!L$154*(1+GroundFuelSurcharge),2),ROUND(((1-GroundZone54Discount)*'Ground Base'!L65)*(1+GroundFuelSurcharge),2)))*(1+FedEx_Markup),2)</f>
        <v>97.01</v>
      </c>
    </row>
    <row r="71" ht="12.75" customHeight="1">
      <c r="A71" s="274">
        <v>64.0</v>
      </c>
      <c r="B71" s="275">
        <f>ROUND((IF('Ground Base'!B$154&gt;ROUND(((1-GroundCommDiscount31Up-GroundCommIncentive)*'Ground Base'!B66),2),ROUND('Ground Base'!B$154*(1+GroundFuelSurcharge),2),ROUND(((1-GroundCommDiscount31Up-GroundCommIncentive)*'Ground Base'!B66)*(1+GroundFuelSurcharge),2)))*(1+FedEx_Markup),2)</f>
        <v>17.74</v>
      </c>
      <c r="C71" s="275">
        <f>ROUND((IF('Ground Base'!C$154&gt;ROUND(((1-GroundCommDiscount31Up-GroundCommIncentive)*'Ground Base'!C66),2),ROUND('Ground Base'!C$154*(1+GroundFuelSurcharge),2),ROUND(((1-GroundCommDiscount31Up-GroundCommIncentive)*'Ground Base'!C66)*(1+GroundFuelSurcharge),2)))*(1+FedEx_Markup),2)</f>
        <v>22.25</v>
      </c>
      <c r="D71" s="275">
        <f>ROUND((IF('Ground Base'!D$154&gt;ROUND(((1-GroundCommDiscount31Up-GroundCommIncentive)*'Ground Base'!D66),2),ROUND('Ground Base'!D$154*(1+GroundFuelSurcharge),2),ROUND(((1-GroundCommDiscount31Up-GroundCommIncentive)*'Ground Base'!D66)*(1+GroundFuelSurcharge),2)))*(1+FedEx_Markup),2)</f>
        <v>25.73</v>
      </c>
      <c r="E71" s="275">
        <f>ROUND((IF('Ground Base'!E$154&gt;ROUND(((1-GroundCommDiscount31Up-GroundCommIncentive)*'Ground Base'!E66),2),ROUND('Ground Base'!E$154*(1+GroundFuelSurcharge),2),ROUND(((1-GroundCommDiscount31Up-GroundCommIncentive)*'Ground Base'!E66)*(1+GroundFuelSurcharge),2)))*(1+FedEx_Markup),2)</f>
        <v>32.14</v>
      </c>
      <c r="F71" s="275">
        <f>ROUND((IF('Ground Base'!F$154&gt;ROUND(((1-GroundCommDiscount31Up-GroundCommIncentive)*'Ground Base'!F66),2),ROUND('Ground Base'!F$154*(1+GroundFuelSurcharge),2),ROUND(((1-GroundCommDiscount31Up-GroundCommIncentive)*'Ground Base'!F66)*(1+GroundFuelSurcharge),2)))*(1+FedEx_Markup),2)</f>
        <v>38.72</v>
      </c>
      <c r="G71" s="275">
        <f>ROUND((IF('Ground Base'!G$154&gt;ROUND(((1-GroundCommDiscount31Up-GroundCommIncentive)*'Ground Base'!G66),2),ROUND('Ground Base'!G$154*(1+GroundFuelSurcharge),2),ROUND(((1-GroundCommDiscount31Up-GroundCommIncentive)*'Ground Base'!G66)*(1+GroundFuelSurcharge),2)))*(1+FedEx_Markup),2)</f>
        <v>45.51</v>
      </c>
      <c r="H71" s="275">
        <f>ROUND((IF('Ground Base'!H$154&gt;ROUND(((1-GroundCommDiscount31Up-GroundCommIncentive)*'Ground Base'!H66),2),ROUND('Ground Base'!H$154*(1+GroundFuelSurcharge),2),ROUND(((1-GroundCommDiscount31Up-GroundCommIncentive)*'Ground Base'!H66)*(1+GroundFuelSurcharge),2)))*(1+FedEx_Markup),2)</f>
        <v>54.25</v>
      </c>
      <c r="I71" s="275">
        <f>ROUND((IF('Ground Base'!I$154&gt;ROUND(((1-GroundAKHIDiscount)*'Ground Base'!I66),2),ROUND('Ground Base'!I$154*(1+GroundFuelSurcharge),2),ROUND(((1-GroundAKHIDiscount)*'Ground Base'!I66)*(1+GroundFuelSurcharge),2)))*(1+FedEx_Markup),2)</f>
        <v>286.53</v>
      </c>
      <c r="J71" s="275">
        <f>ROUND((IF('Ground Base'!J$154&gt;ROUND(((1-GroundAKHIDiscount)*'Ground Base'!J66),2),ROUND('Ground Base'!J$154*(1+GroundFuelSurcharge),2),ROUND(((1-GroundAKHIDiscount)*'Ground Base'!J66)*(1+GroundFuelSurcharge),2)))*(1+FedEx_Markup),2)</f>
        <v>286.53</v>
      </c>
      <c r="K71" s="275">
        <f>ROUND((IF('Ground Base'!K$154&gt;ROUND(((1-GroundZone51Discount)*'Ground Base'!K66),2),ROUND('Ground Base'!K$154*(1+GroundFuelSurcharge),2),ROUND(((1-GroundZone51Discount)*'Ground Base'!K66)*(1+GroundFuelSurcharge),2)))*(1+FedEx_Markup),2)</f>
        <v>86.11</v>
      </c>
      <c r="L71" s="275">
        <f>ROUND((IF('Ground Base'!L$154&gt;ROUND(((1-GroundZone54Discount)*'Ground Base'!L66),2),ROUND('Ground Base'!L$154*(1+GroundFuelSurcharge),2),ROUND(((1-GroundZone54Discount)*'Ground Base'!L66)*(1+GroundFuelSurcharge),2)))*(1+FedEx_Markup),2)</f>
        <v>97.03</v>
      </c>
    </row>
    <row r="72" ht="12.75" customHeight="1">
      <c r="A72" s="274">
        <v>65.0</v>
      </c>
      <c r="B72" s="275">
        <f>ROUND((IF('Ground Base'!B$154&gt;ROUND(((1-GroundCommDiscount31Up-GroundCommIncentive)*'Ground Base'!B67),2),ROUND('Ground Base'!B$154*(1+GroundFuelSurcharge),2),ROUND(((1-GroundCommDiscount31Up-GroundCommIncentive)*'Ground Base'!B67)*(1+GroundFuelSurcharge),2)))*(1+FedEx_Markup),2)</f>
        <v>17.94</v>
      </c>
      <c r="C72" s="275">
        <f>ROUND((IF('Ground Base'!C$154&gt;ROUND(((1-GroundCommDiscount31Up-GroundCommIncentive)*'Ground Base'!C67),2),ROUND('Ground Base'!C$154*(1+GroundFuelSurcharge),2),ROUND(((1-GroundCommDiscount31Up-GroundCommIncentive)*'Ground Base'!C67)*(1+GroundFuelSurcharge),2)))*(1+FedEx_Markup),2)</f>
        <v>22.85</v>
      </c>
      <c r="D72" s="275">
        <f>ROUND((IF('Ground Base'!D$154&gt;ROUND(((1-GroundCommDiscount31Up-GroundCommIncentive)*'Ground Base'!D67),2),ROUND('Ground Base'!D$154*(1+GroundFuelSurcharge),2),ROUND(((1-GroundCommDiscount31Up-GroundCommIncentive)*'Ground Base'!D67)*(1+GroundFuelSurcharge),2)))*(1+FedEx_Markup),2)</f>
        <v>25.74</v>
      </c>
      <c r="E72" s="275">
        <f>ROUND((IF('Ground Base'!E$154&gt;ROUND(((1-GroundCommDiscount31Up-GroundCommIncentive)*'Ground Base'!E67),2),ROUND('Ground Base'!E$154*(1+GroundFuelSurcharge),2),ROUND(((1-GroundCommDiscount31Up-GroundCommIncentive)*'Ground Base'!E67)*(1+GroundFuelSurcharge),2)))*(1+FedEx_Markup),2)</f>
        <v>32.14</v>
      </c>
      <c r="F72" s="275">
        <f>ROUND((IF('Ground Base'!F$154&gt;ROUND(((1-GroundCommDiscount31Up-GroundCommIncentive)*'Ground Base'!F67),2),ROUND('Ground Base'!F$154*(1+GroundFuelSurcharge),2),ROUND(((1-GroundCommDiscount31Up-GroundCommIncentive)*'Ground Base'!F67)*(1+GroundFuelSurcharge),2)))*(1+FedEx_Markup),2)</f>
        <v>39.07</v>
      </c>
      <c r="G72" s="275">
        <f>ROUND((IF('Ground Base'!G$154&gt;ROUND(((1-GroundCommDiscount31Up-GroundCommIncentive)*'Ground Base'!G67),2),ROUND('Ground Base'!G$154*(1+GroundFuelSurcharge),2),ROUND(((1-GroundCommDiscount31Up-GroundCommIncentive)*'Ground Base'!G67)*(1+GroundFuelSurcharge),2)))*(1+FedEx_Markup),2)</f>
        <v>45.61</v>
      </c>
      <c r="H72" s="275">
        <f>ROUND((IF('Ground Base'!H$154&gt;ROUND(((1-GroundCommDiscount31Up-GroundCommIncentive)*'Ground Base'!H67),2),ROUND('Ground Base'!H$154*(1+GroundFuelSurcharge),2),ROUND(((1-GroundCommDiscount31Up-GroundCommIncentive)*'Ground Base'!H67)*(1+GroundFuelSurcharge),2)))*(1+FedEx_Markup),2)</f>
        <v>54.34</v>
      </c>
      <c r="I72" s="275">
        <f>ROUND((IF('Ground Base'!I$154&gt;ROUND(((1-GroundAKHIDiscount)*'Ground Base'!I67),2),ROUND('Ground Base'!I$154*(1+GroundFuelSurcharge),2),ROUND(((1-GroundAKHIDiscount)*'Ground Base'!I67)*(1+GroundFuelSurcharge),2)))*(1+FedEx_Markup),2)</f>
        <v>291.21</v>
      </c>
      <c r="J72" s="275">
        <f>ROUND((IF('Ground Base'!J$154&gt;ROUND(((1-GroundAKHIDiscount)*'Ground Base'!J67),2),ROUND('Ground Base'!J$154*(1+GroundFuelSurcharge),2),ROUND(((1-GroundAKHIDiscount)*'Ground Base'!J67)*(1+GroundFuelSurcharge),2)))*(1+FedEx_Markup),2)</f>
        <v>291.21</v>
      </c>
      <c r="K72" s="275">
        <f>ROUND((IF('Ground Base'!K$154&gt;ROUND(((1-GroundZone51Discount)*'Ground Base'!K67),2),ROUND('Ground Base'!K$154*(1+GroundFuelSurcharge),2),ROUND(((1-GroundZone51Discount)*'Ground Base'!K67)*(1+GroundFuelSurcharge),2)))*(1+FedEx_Markup),2)</f>
        <v>86.12</v>
      </c>
      <c r="L72" s="275">
        <f>ROUND((IF('Ground Base'!L$154&gt;ROUND(((1-GroundZone54Discount)*'Ground Base'!L67),2),ROUND('Ground Base'!L$154*(1+GroundFuelSurcharge),2),ROUND(((1-GroundZone54Discount)*'Ground Base'!L67)*(1+GroundFuelSurcharge),2)))*(1+FedEx_Markup),2)</f>
        <v>98.59</v>
      </c>
    </row>
    <row r="73" ht="12.75" customHeight="1">
      <c r="A73" s="274">
        <v>66.0</v>
      </c>
      <c r="B73" s="275">
        <f>ROUND((IF('Ground Base'!B$154&gt;ROUND(((1-GroundCommDiscount31Up-GroundCommIncentive)*'Ground Base'!B68),2),ROUND('Ground Base'!B$154*(1+GroundFuelSurcharge),2),ROUND(((1-GroundCommDiscount31Up-GroundCommIncentive)*'Ground Base'!B68)*(1+GroundFuelSurcharge),2)))*(1+FedEx_Markup),2)</f>
        <v>18.03</v>
      </c>
      <c r="C73" s="275">
        <f>ROUND((IF('Ground Base'!C$154&gt;ROUND(((1-GroundCommDiscount31Up-GroundCommIncentive)*'Ground Base'!C68),2),ROUND('Ground Base'!C$154*(1+GroundFuelSurcharge),2),ROUND(((1-GroundCommDiscount31Up-GroundCommIncentive)*'Ground Base'!C68)*(1+GroundFuelSurcharge),2)))*(1+FedEx_Markup),2)</f>
        <v>23.07</v>
      </c>
      <c r="D73" s="275">
        <f>ROUND((IF('Ground Base'!D$154&gt;ROUND(((1-GroundCommDiscount31Up-GroundCommIncentive)*'Ground Base'!D68),2),ROUND('Ground Base'!D$154*(1+GroundFuelSurcharge),2),ROUND(((1-GroundCommDiscount31Up-GroundCommIncentive)*'Ground Base'!D68)*(1+GroundFuelSurcharge),2)))*(1+FedEx_Markup),2)</f>
        <v>25.74</v>
      </c>
      <c r="E73" s="275">
        <f>ROUND((IF('Ground Base'!E$154&gt;ROUND(((1-GroundCommDiscount31Up-GroundCommIncentive)*'Ground Base'!E68),2),ROUND('Ground Base'!E$154*(1+GroundFuelSurcharge),2),ROUND(((1-GroundCommDiscount31Up-GroundCommIncentive)*'Ground Base'!E68)*(1+GroundFuelSurcharge),2)))*(1+FedEx_Markup),2)</f>
        <v>32.15</v>
      </c>
      <c r="F73" s="275">
        <f>ROUND((IF('Ground Base'!F$154&gt;ROUND(((1-GroundCommDiscount31Up-GroundCommIncentive)*'Ground Base'!F68),2),ROUND('Ground Base'!F$154*(1+GroundFuelSurcharge),2),ROUND(((1-GroundCommDiscount31Up-GroundCommIncentive)*'Ground Base'!F68)*(1+GroundFuelSurcharge),2)))*(1+FedEx_Markup),2)</f>
        <v>39.09</v>
      </c>
      <c r="G73" s="275">
        <f>ROUND((IF('Ground Base'!G$154&gt;ROUND(((1-GroundCommDiscount31Up-GroundCommIncentive)*'Ground Base'!G68),2),ROUND('Ground Base'!G$154*(1+GroundFuelSurcharge),2),ROUND(((1-GroundCommDiscount31Up-GroundCommIncentive)*'Ground Base'!G68)*(1+GroundFuelSurcharge),2)))*(1+FedEx_Markup),2)</f>
        <v>45.76</v>
      </c>
      <c r="H73" s="275">
        <f>ROUND((IF('Ground Base'!H$154&gt;ROUND(((1-GroundCommDiscount31Up-GroundCommIncentive)*'Ground Base'!H68),2),ROUND('Ground Base'!H$154*(1+GroundFuelSurcharge),2),ROUND(((1-GroundCommDiscount31Up-GroundCommIncentive)*'Ground Base'!H68)*(1+GroundFuelSurcharge),2)))*(1+FedEx_Markup),2)</f>
        <v>54.57</v>
      </c>
      <c r="I73" s="275">
        <f>ROUND((IF('Ground Base'!I$154&gt;ROUND(((1-GroundAKHIDiscount)*'Ground Base'!I68),2),ROUND('Ground Base'!I$154*(1+GroundFuelSurcharge),2),ROUND(((1-GroundAKHIDiscount)*'Ground Base'!I68)*(1+GroundFuelSurcharge),2)))*(1+FedEx_Markup),2)</f>
        <v>295.71</v>
      </c>
      <c r="J73" s="275">
        <f>ROUND((IF('Ground Base'!J$154&gt;ROUND(((1-GroundAKHIDiscount)*'Ground Base'!J68),2),ROUND('Ground Base'!J$154*(1+GroundFuelSurcharge),2),ROUND(((1-GroundAKHIDiscount)*'Ground Base'!J68)*(1+GroundFuelSurcharge),2)))*(1+FedEx_Markup),2)</f>
        <v>295.71</v>
      </c>
      <c r="K73" s="275">
        <f>ROUND((IF('Ground Base'!K$154&gt;ROUND(((1-GroundZone51Discount)*'Ground Base'!K68),2),ROUND('Ground Base'!K$154*(1+GroundFuelSurcharge),2),ROUND(((1-GroundZone51Discount)*'Ground Base'!K68)*(1+GroundFuelSurcharge),2)))*(1+FedEx_Markup),2)</f>
        <v>86.14</v>
      </c>
      <c r="L73" s="275">
        <f>ROUND((IF('Ground Base'!L$154&gt;ROUND(((1-GroundZone54Discount)*'Ground Base'!L68),2),ROUND('Ground Base'!L$154*(1+GroundFuelSurcharge),2),ROUND(((1-GroundZone54Discount)*'Ground Base'!L68)*(1+GroundFuelSurcharge),2)))*(1+FedEx_Markup),2)</f>
        <v>98.59</v>
      </c>
    </row>
    <row r="74" ht="12.75" customHeight="1">
      <c r="A74" s="274">
        <v>67.0</v>
      </c>
      <c r="B74" s="275">
        <f>ROUND((IF('Ground Base'!B$154&gt;ROUND(((1-GroundCommDiscount31Up-GroundCommIncentive)*'Ground Base'!B69),2),ROUND('Ground Base'!B$154*(1+GroundFuelSurcharge),2),ROUND(((1-GroundCommDiscount31Up-GroundCommIncentive)*'Ground Base'!B69)*(1+GroundFuelSurcharge),2)))*(1+FedEx_Markup),2)</f>
        <v>18.03</v>
      </c>
      <c r="C74" s="275">
        <f>ROUND((IF('Ground Base'!C$154&gt;ROUND(((1-GroundCommDiscount31Up-GroundCommIncentive)*'Ground Base'!C69),2),ROUND('Ground Base'!C$154*(1+GroundFuelSurcharge),2),ROUND(((1-GroundCommDiscount31Up-GroundCommIncentive)*'Ground Base'!C69)*(1+GroundFuelSurcharge),2)))*(1+FedEx_Markup),2)</f>
        <v>23.08</v>
      </c>
      <c r="D74" s="275">
        <f>ROUND((IF('Ground Base'!D$154&gt;ROUND(((1-GroundCommDiscount31Up-GroundCommIncentive)*'Ground Base'!D69),2),ROUND('Ground Base'!D$154*(1+GroundFuelSurcharge),2),ROUND(((1-GroundCommDiscount31Up-GroundCommIncentive)*'Ground Base'!D69)*(1+GroundFuelSurcharge),2)))*(1+FedEx_Markup),2)</f>
        <v>25.75</v>
      </c>
      <c r="E74" s="275">
        <f>ROUND((IF('Ground Base'!E$154&gt;ROUND(((1-GroundCommDiscount31Up-GroundCommIncentive)*'Ground Base'!E69),2),ROUND('Ground Base'!E$154*(1+GroundFuelSurcharge),2),ROUND(((1-GroundCommDiscount31Up-GroundCommIncentive)*'Ground Base'!E69)*(1+GroundFuelSurcharge),2)))*(1+FedEx_Markup),2)</f>
        <v>32.21</v>
      </c>
      <c r="F74" s="275">
        <f>ROUND((IF('Ground Base'!F$154&gt;ROUND(((1-GroundCommDiscount31Up-GroundCommIncentive)*'Ground Base'!F69),2),ROUND('Ground Base'!F$154*(1+GroundFuelSurcharge),2),ROUND(((1-GroundCommDiscount31Up-GroundCommIncentive)*'Ground Base'!F69)*(1+GroundFuelSurcharge),2)))*(1+FedEx_Markup),2)</f>
        <v>39.39</v>
      </c>
      <c r="G74" s="275">
        <f>ROUND((IF('Ground Base'!G$154&gt;ROUND(((1-GroundCommDiscount31Up-GroundCommIncentive)*'Ground Base'!G69),2),ROUND('Ground Base'!G$154*(1+GroundFuelSurcharge),2),ROUND(((1-GroundCommDiscount31Up-GroundCommIncentive)*'Ground Base'!G69)*(1+GroundFuelSurcharge),2)))*(1+FedEx_Markup),2)</f>
        <v>45.98</v>
      </c>
      <c r="H74" s="275">
        <f>ROUND((IF('Ground Base'!H$154&gt;ROUND(((1-GroundCommDiscount31Up-GroundCommIncentive)*'Ground Base'!H69),2),ROUND('Ground Base'!H$154*(1+GroundFuelSurcharge),2),ROUND(((1-GroundCommDiscount31Up-GroundCommIncentive)*'Ground Base'!H69)*(1+GroundFuelSurcharge),2)))*(1+FedEx_Markup),2)</f>
        <v>55.09</v>
      </c>
      <c r="I74" s="275">
        <f>ROUND((IF('Ground Base'!I$154&gt;ROUND(((1-GroundAKHIDiscount)*'Ground Base'!I69),2),ROUND('Ground Base'!I$154*(1+GroundFuelSurcharge),2),ROUND(((1-GroundAKHIDiscount)*'Ground Base'!I69)*(1+GroundFuelSurcharge),2)))*(1+FedEx_Markup),2)</f>
        <v>300.21</v>
      </c>
      <c r="J74" s="275">
        <f>ROUND((IF('Ground Base'!J$154&gt;ROUND(((1-GroundAKHIDiscount)*'Ground Base'!J69),2),ROUND('Ground Base'!J$154*(1+GroundFuelSurcharge),2),ROUND(((1-GroundAKHIDiscount)*'Ground Base'!J69)*(1+GroundFuelSurcharge),2)))*(1+FedEx_Markup),2)</f>
        <v>300.21</v>
      </c>
      <c r="K74" s="275">
        <f>ROUND((IF('Ground Base'!K$154&gt;ROUND(((1-GroundZone51Discount)*'Ground Base'!K69),2),ROUND('Ground Base'!K$154*(1+GroundFuelSurcharge),2),ROUND(((1-GroundZone51Discount)*'Ground Base'!K69)*(1+GroundFuelSurcharge),2)))*(1+FedEx_Markup),2)</f>
        <v>86.15</v>
      </c>
      <c r="L74" s="275">
        <f>ROUND((IF('Ground Base'!L$154&gt;ROUND(((1-GroundZone54Discount)*'Ground Base'!L69),2),ROUND('Ground Base'!L$154*(1+GroundFuelSurcharge),2),ROUND(((1-GroundZone54Discount)*'Ground Base'!L69)*(1+GroundFuelSurcharge),2)))*(1+FedEx_Markup),2)</f>
        <v>100.36</v>
      </c>
    </row>
    <row r="75" ht="12.75" customHeight="1">
      <c r="A75" s="274">
        <v>68.0</v>
      </c>
      <c r="B75" s="275">
        <f>ROUND((IF('Ground Base'!B$154&gt;ROUND(((1-GroundCommDiscount31Up-GroundCommIncentive)*'Ground Base'!B70),2),ROUND('Ground Base'!B$154*(1+GroundFuelSurcharge),2),ROUND(((1-GroundCommDiscount31Up-GroundCommIncentive)*'Ground Base'!B70)*(1+GroundFuelSurcharge),2)))*(1+FedEx_Markup),2)</f>
        <v>18.24</v>
      </c>
      <c r="C75" s="275">
        <f>ROUND((IF('Ground Base'!C$154&gt;ROUND(((1-GroundCommDiscount31Up-GroundCommIncentive)*'Ground Base'!C70),2),ROUND('Ground Base'!C$154*(1+GroundFuelSurcharge),2),ROUND(((1-GroundCommDiscount31Up-GroundCommIncentive)*'Ground Base'!C70)*(1+GroundFuelSurcharge),2)))*(1+FedEx_Markup),2)</f>
        <v>23.51</v>
      </c>
      <c r="D75" s="275">
        <f>ROUND((IF('Ground Base'!D$154&gt;ROUND(((1-GroundCommDiscount31Up-GroundCommIncentive)*'Ground Base'!D70),2),ROUND('Ground Base'!D$154*(1+GroundFuelSurcharge),2),ROUND(((1-GroundCommDiscount31Up-GroundCommIncentive)*'Ground Base'!D70)*(1+GroundFuelSurcharge),2)))*(1+FedEx_Markup),2)</f>
        <v>27.3</v>
      </c>
      <c r="E75" s="275">
        <f>ROUND((IF('Ground Base'!E$154&gt;ROUND(((1-GroundCommDiscount31Up-GroundCommIncentive)*'Ground Base'!E70),2),ROUND('Ground Base'!E$154*(1+GroundFuelSurcharge),2),ROUND(((1-GroundCommDiscount31Up-GroundCommIncentive)*'Ground Base'!E70)*(1+GroundFuelSurcharge),2)))*(1+FedEx_Markup),2)</f>
        <v>32.95</v>
      </c>
      <c r="F75" s="275">
        <f>ROUND((IF('Ground Base'!F$154&gt;ROUND(((1-GroundCommDiscount31Up-GroundCommIncentive)*'Ground Base'!F70),2),ROUND('Ground Base'!F$154*(1+GroundFuelSurcharge),2),ROUND(((1-GroundCommDiscount31Up-GroundCommIncentive)*'Ground Base'!F70)*(1+GroundFuelSurcharge),2)))*(1+FedEx_Markup),2)</f>
        <v>39.97</v>
      </c>
      <c r="G75" s="275">
        <f>ROUND((IF('Ground Base'!G$154&gt;ROUND(((1-GroundCommDiscount31Up-GroundCommIncentive)*'Ground Base'!G70),2),ROUND('Ground Base'!G$154*(1+GroundFuelSurcharge),2),ROUND(((1-GroundCommDiscount31Up-GroundCommIncentive)*'Ground Base'!G70)*(1+GroundFuelSurcharge),2)))*(1+FedEx_Markup),2)</f>
        <v>46.68</v>
      </c>
      <c r="H75" s="275">
        <f>ROUND((IF('Ground Base'!H$154&gt;ROUND(((1-GroundCommDiscount31Up-GroundCommIncentive)*'Ground Base'!H70),2),ROUND('Ground Base'!H$154*(1+GroundFuelSurcharge),2),ROUND(((1-GroundCommDiscount31Up-GroundCommIncentive)*'Ground Base'!H70)*(1+GroundFuelSurcharge),2)))*(1+FedEx_Markup),2)</f>
        <v>55.09</v>
      </c>
      <c r="I75" s="275">
        <f>ROUND((IF('Ground Base'!I$154&gt;ROUND(((1-GroundAKHIDiscount)*'Ground Base'!I70),2),ROUND('Ground Base'!I$154*(1+GroundFuelSurcharge),2),ROUND(((1-GroundAKHIDiscount)*'Ground Base'!I70)*(1+GroundFuelSurcharge),2)))*(1+FedEx_Markup),2)</f>
        <v>304.52</v>
      </c>
      <c r="J75" s="275">
        <f>ROUND((IF('Ground Base'!J$154&gt;ROUND(((1-GroundAKHIDiscount)*'Ground Base'!J70),2),ROUND('Ground Base'!J$154*(1+GroundFuelSurcharge),2),ROUND(((1-GroundAKHIDiscount)*'Ground Base'!J70)*(1+GroundFuelSurcharge),2)))*(1+FedEx_Markup),2)</f>
        <v>304.52</v>
      </c>
      <c r="K75" s="275">
        <f>ROUND((IF('Ground Base'!K$154&gt;ROUND(((1-GroundZone51Discount)*'Ground Base'!K70),2),ROUND('Ground Base'!K$154*(1+GroundFuelSurcharge),2),ROUND(((1-GroundZone51Discount)*'Ground Base'!K70)*(1+GroundFuelSurcharge),2)))*(1+FedEx_Markup),2)</f>
        <v>86.16</v>
      </c>
      <c r="L75" s="275">
        <f>ROUND((IF('Ground Base'!L$154&gt;ROUND(((1-GroundZone54Discount)*'Ground Base'!L70),2),ROUND('Ground Base'!L$154*(1+GroundFuelSurcharge),2),ROUND(((1-GroundZone54Discount)*'Ground Base'!L70)*(1+GroundFuelSurcharge),2)))*(1+FedEx_Markup),2)</f>
        <v>100.36</v>
      </c>
    </row>
    <row r="76" ht="12.75" customHeight="1">
      <c r="A76" s="274">
        <v>69.0</v>
      </c>
      <c r="B76" s="275">
        <f>ROUND((IF('Ground Base'!B$154&gt;ROUND(((1-GroundCommDiscount31Up-GroundCommIncentive)*'Ground Base'!B71),2),ROUND('Ground Base'!B$154*(1+GroundFuelSurcharge),2),ROUND(((1-GroundCommDiscount31Up-GroundCommIncentive)*'Ground Base'!B71)*(1+GroundFuelSurcharge),2)))*(1+FedEx_Markup),2)</f>
        <v>18.62</v>
      </c>
      <c r="C76" s="275">
        <f>ROUND((IF('Ground Base'!C$154&gt;ROUND(((1-GroundCommDiscount31Up-GroundCommIncentive)*'Ground Base'!C71),2),ROUND('Ground Base'!C$154*(1+GroundFuelSurcharge),2),ROUND(((1-GroundCommDiscount31Up-GroundCommIncentive)*'Ground Base'!C71)*(1+GroundFuelSurcharge),2)))*(1+FedEx_Markup),2)</f>
        <v>23.74</v>
      </c>
      <c r="D76" s="275">
        <f>ROUND((IF('Ground Base'!D$154&gt;ROUND(((1-GroundCommDiscount31Up-GroundCommIncentive)*'Ground Base'!D71),2),ROUND('Ground Base'!D$154*(1+GroundFuelSurcharge),2),ROUND(((1-GroundCommDiscount31Up-GroundCommIncentive)*'Ground Base'!D71)*(1+GroundFuelSurcharge),2)))*(1+FedEx_Markup),2)</f>
        <v>27.58</v>
      </c>
      <c r="E76" s="275">
        <f>ROUND((IF('Ground Base'!E$154&gt;ROUND(((1-GroundCommDiscount31Up-GroundCommIncentive)*'Ground Base'!E71),2),ROUND('Ground Base'!E$154*(1+GroundFuelSurcharge),2),ROUND(((1-GroundCommDiscount31Up-GroundCommIncentive)*'Ground Base'!E71)*(1+GroundFuelSurcharge),2)))*(1+FedEx_Markup),2)</f>
        <v>33.18</v>
      </c>
      <c r="F76" s="275">
        <f>ROUND((IF('Ground Base'!F$154&gt;ROUND(((1-GroundCommDiscount31Up-GroundCommIncentive)*'Ground Base'!F71),2),ROUND('Ground Base'!F$154*(1+GroundFuelSurcharge),2),ROUND(((1-GroundCommDiscount31Up-GroundCommIncentive)*'Ground Base'!F71)*(1+GroundFuelSurcharge),2)))*(1+FedEx_Markup),2)</f>
        <v>40.18</v>
      </c>
      <c r="G76" s="275">
        <f>ROUND((IF('Ground Base'!G$154&gt;ROUND(((1-GroundCommDiscount31Up-GroundCommIncentive)*'Ground Base'!G71),2),ROUND('Ground Base'!G$154*(1+GroundFuelSurcharge),2),ROUND(((1-GroundCommDiscount31Up-GroundCommIncentive)*'Ground Base'!G71)*(1+GroundFuelSurcharge),2)))*(1+FedEx_Markup),2)</f>
        <v>46.68</v>
      </c>
      <c r="H76" s="275">
        <f>ROUND((IF('Ground Base'!H$154&gt;ROUND(((1-GroundCommDiscount31Up-GroundCommIncentive)*'Ground Base'!H71),2),ROUND('Ground Base'!H$154*(1+GroundFuelSurcharge),2),ROUND(((1-GroundCommDiscount31Up-GroundCommIncentive)*'Ground Base'!H71)*(1+GroundFuelSurcharge),2)))*(1+FedEx_Markup),2)</f>
        <v>55.38</v>
      </c>
      <c r="I76" s="275">
        <f>ROUND((IF('Ground Base'!I$154&gt;ROUND(((1-GroundAKHIDiscount)*'Ground Base'!I71),2),ROUND('Ground Base'!I$154*(1+GroundFuelSurcharge),2),ROUND(((1-GroundAKHIDiscount)*'Ground Base'!I71)*(1+GroundFuelSurcharge),2)))*(1+FedEx_Markup),2)</f>
        <v>308.95</v>
      </c>
      <c r="J76" s="275">
        <f>ROUND((IF('Ground Base'!J$154&gt;ROUND(((1-GroundAKHIDiscount)*'Ground Base'!J71),2),ROUND('Ground Base'!J$154*(1+GroundFuelSurcharge),2),ROUND(((1-GroundAKHIDiscount)*'Ground Base'!J71)*(1+GroundFuelSurcharge),2)))*(1+FedEx_Markup),2)</f>
        <v>308.95</v>
      </c>
      <c r="K76" s="275">
        <f>ROUND((IF('Ground Base'!K$154&gt;ROUND(((1-GroundZone51Discount)*'Ground Base'!K71),2),ROUND('Ground Base'!K$154*(1+GroundFuelSurcharge),2),ROUND(((1-GroundZone51Discount)*'Ground Base'!K71)*(1+GroundFuelSurcharge),2)))*(1+FedEx_Markup),2)</f>
        <v>87.42</v>
      </c>
      <c r="L76" s="275">
        <f>ROUND((IF('Ground Base'!L$154&gt;ROUND(((1-GroundZone54Discount)*'Ground Base'!L71),2),ROUND('Ground Base'!L$154*(1+GroundFuelSurcharge),2),ROUND(((1-GroundZone54Discount)*'Ground Base'!L71)*(1+GroundFuelSurcharge),2)))*(1+FedEx_Markup),2)</f>
        <v>102.37</v>
      </c>
    </row>
    <row r="77" ht="12.75" customHeight="1">
      <c r="A77" s="274">
        <v>70.0</v>
      </c>
      <c r="B77" s="275">
        <f>ROUND((IF('Ground Base'!B$154&gt;ROUND(((1-GroundCommDiscount31Up-GroundCommIncentive)*'Ground Base'!B72),2),ROUND('Ground Base'!B$154*(1+GroundFuelSurcharge),2),ROUND(((1-GroundCommDiscount31Up-GroundCommIncentive)*'Ground Base'!B72)*(1+GroundFuelSurcharge),2)))*(1+FedEx_Markup),2)</f>
        <v>18.71</v>
      </c>
      <c r="C77" s="275">
        <f>ROUND((IF('Ground Base'!C$154&gt;ROUND(((1-GroundCommDiscount31Up-GroundCommIncentive)*'Ground Base'!C72),2),ROUND('Ground Base'!C$154*(1+GroundFuelSurcharge),2),ROUND(((1-GroundCommDiscount31Up-GroundCommIncentive)*'Ground Base'!C72)*(1+GroundFuelSurcharge),2)))*(1+FedEx_Markup),2)</f>
        <v>24.07</v>
      </c>
      <c r="D77" s="275">
        <f>ROUND((IF('Ground Base'!D$154&gt;ROUND(((1-GroundCommDiscount31Up-GroundCommIncentive)*'Ground Base'!D72),2),ROUND('Ground Base'!D$154*(1+GroundFuelSurcharge),2),ROUND(((1-GroundCommDiscount31Up-GroundCommIncentive)*'Ground Base'!D72)*(1+GroundFuelSurcharge),2)))*(1+FedEx_Markup),2)</f>
        <v>28.18</v>
      </c>
      <c r="E77" s="275">
        <f>ROUND((IF('Ground Base'!E$154&gt;ROUND(((1-GroundCommDiscount31Up-GroundCommIncentive)*'Ground Base'!E72),2),ROUND('Ground Base'!E$154*(1+GroundFuelSurcharge),2),ROUND(((1-GroundCommDiscount31Up-GroundCommIncentive)*'Ground Base'!E72)*(1+GroundFuelSurcharge),2)))*(1+FedEx_Markup),2)</f>
        <v>34.78</v>
      </c>
      <c r="F77" s="275">
        <f>ROUND((IF('Ground Base'!F$154&gt;ROUND(((1-GroundCommDiscount31Up-GroundCommIncentive)*'Ground Base'!F72),2),ROUND('Ground Base'!F$154*(1+GroundFuelSurcharge),2),ROUND(((1-GroundCommDiscount31Up-GroundCommIncentive)*'Ground Base'!F72)*(1+GroundFuelSurcharge),2)))*(1+FedEx_Markup),2)</f>
        <v>40.99</v>
      </c>
      <c r="G77" s="275">
        <f>ROUND((IF('Ground Base'!G$154&gt;ROUND(((1-GroundCommDiscount31Up-GroundCommIncentive)*'Ground Base'!G72),2),ROUND('Ground Base'!G$154*(1+GroundFuelSurcharge),2),ROUND(((1-GroundCommDiscount31Up-GroundCommIncentive)*'Ground Base'!G72)*(1+GroundFuelSurcharge),2)))*(1+FedEx_Markup),2)</f>
        <v>46.69</v>
      </c>
      <c r="H77" s="275">
        <f>ROUND((IF('Ground Base'!H$154&gt;ROUND(((1-GroundCommDiscount31Up-GroundCommIncentive)*'Ground Base'!H72),2),ROUND('Ground Base'!H$154*(1+GroundFuelSurcharge),2),ROUND(((1-GroundCommDiscount31Up-GroundCommIncentive)*'Ground Base'!H72)*(1+GroundFuelSurcharge),2)))*(1+FedEx_Markup),2)</f>
        <v>55.86</v>
      </c>
      <c r="I77" s="275">
        <f>ROUND((IF('Ground Base'!I$154&gt;ROUND(((1-GroundAKHIDiscount)*'Ground Base'!I72),2),ROUND('Ground Base'!I$154*(1+GroundFuelSurcharge),2),ROUND(((1-GroundAKHIDiscount)*'Ground Base'!I72)*(1+GroundFuelSurcharge),2)))*(1+FedEx_Markup),2)</f>
        <v>315.45</v>
      </c>
      <c r="J77" s="275">
        <f>ROUND((IF('Ground Base'!J$154&gt;ROUND(((1-GroundAKHIDiscount)*'Ground Base'!J72),2),ROUND('Ground Base'!J$154*(1+GroundFuelSurcharge),2),ROUND(((1-GroundAKHIDiscount)*'Ground Base'!J72)*(1+GroundFuelSurcharge),2)))*(1+FedEx_Markup),2)</f>
        <v>315.45</v>
      </c>
      <c r="K77" s="275">
        <f>ROUND((IF('Ground Base'!K$154&gt;ROUND(((1-GroundZone51Discount)*'Ground Base'!K72),2),ROUND('Ground Base'!K$154*(1+GroundFuelSurcharge),2),ROUND(((1-GroundZone51Discount)*'Ground Base'!K72)*(1+GroundFuelSurcharge),2)))*(1+FedEx_Markup),2)</f>
        <v>87.43</v>
      </c>
      <c r="L77" s="275">
        <f>ROUND((IF('Ground Base'!L$154&gt;ROUND(((1-GroundZone54Discount)*'Ground Base'!L72),2),ROUND('Ground Base'!L$154*(1+GroundFuelSurcharge),2),ROUND(((1-GroundZone54Discount)*'Ground Base'!L72)*(1+GroundFuelSurcharge),2)))*(1+FedEx_Markup),2)</f>
        <v>102.38</v>
      </c>
    </row>
    <row r="78" ht="12.75" customHeight="1">
      <c r="A78" s="274">
        <v>71.0</v>
      </c>
      <c r="B78" s="275">
        <f>ROUND((IF('Ground Base'!B$154&gt;ROUND(((1-GroundCommDiscount31Up-GroundCommIncentive)*'Ground Base'!B73),2),ROUND('Ground Base'!B$154*(1+GroundFuelSurcharge),2),ROUND(((1-GroundCommDiscount31Up-GroundCommIncentive)*'Ground Base'!B73)*(1+GroundFuelSurcharge),2)))*(1+FedEx_Markup),2)</f>
        <v>18.72</v>
      </c>
      <c r="C78" s="275">
        <f>ROUND((IF('Ground Base'!C$154&gt;ROUND(((1-GroundCommDiscount31Up-GroundCommIncentive)*'Ground Base'!C73),2),ROUND('Ground Base'!C$154*(1+GroundFuelSurcharge),2),ROUND(((1-GroundCommDiscount31Up-GroundCommIncentive)*'Ground Base'!C73)*(1+GroundFuelSurcharge),2)))*(1+FedEx_Markup),2)</f>
        <v>24.07</v>
      </c>
      <c r="D78" s="275">
        <f>ROUND((IF('Ground Base'!D$154&gt;ROUND(((1-GroundCommDiscount31Up-GroundCommIncentive)*'Ground Base'!D73),2),ROUND('Ground Base'!D$154*(1+GroundFuelSurcharge),2),ROUND(((1-GroundCommDiscount31Up-GroundCommIncentive)*'Ground Base'!D73)*(1+GroundFuelSurcharge),2)))*(1+FedEx_Markup),2)</f>
        <v>28.61</v>
      </c>
      <c r="E78" s="275">
        <f>ROUND((IF('Ground Base'!E$154&gt;ROUND(((1-GroundCommDiscount31Up-GroundCommIncentive)*'Ground Base'!E73),2),ROUND('Ground Base'!E$154*(1+GroundFuelSurcharge),2),ROUND(((1-GroundCommDiscount31Up-GroundCommIncentive)*'Ground Base'!E73)*(1+GroundFuelSurcharge),2)))*(1+FedEx_Markup),2)</f>
        <v>34.79</v>
      </c>
      <c r="F78" s="275">
        <f>ROUND((IF('Ground Base'!F$154&gt;ROUND(((1-GroundCommDiscount31Up-GroundCommIncentive)*'Ground Base'!F73),2),ROUND('Ground Base'!F$154*(1+GroundFuelSurcharge),2),ROUND(((1-GroundCommDiscount31Up-GroundCommIncentive)*'Ground Base'!F73)*(1+GroundFuelSurcharge),2)))*(1+FedEx_Markup),2)</f>
        <v>41.26</v>
      </c>
      <c r="G78" s="275">
        <f>ROUND((IF('Ground Base'!G$154&gt;ROUND(((1-GroundCommDiscount31Up-GroundCommIncentive)*'Ground Base'!G73),2),ROUND('Ground Base'!G$154*(1+GroundFuelSurcharge),2),ROUND(((1-GroundCommDiscount31Up-GroundCommIncentive)*'Ground Base'!G73)*(1+GroundFuelSurcharge),2)))*(1+FedEx_Markup),2)</f>
        <v>47.45</v>
      </c>
      <c r="H78" s="275">
        <f>ROUND((IF('Ground Base'!H$154&gt;ROUND(((1-GroundCommDiscount31Up-GroundCommIncentive)*'Ground Base'!H73),2),ROUND('Ground Base'!H$154*(1+GroundFuelSurcharge),2),ROUND(((1-GroundCommDiscount31Up-GroundCommIncentive)*'Ground Base'!H73)*(1+GroundFuelSurcharge),2)))*(1+FedEx_Markup),2)</f>
        <v>55.87</v>
      </c>
      <c r="I78" s="275">
        <f>ROUND((IF('Ground Base'!I$154&gt;ROUND(((1-GroundAKHIDiscount)*'Ground Base'!I73),2),ROUND('Ground Base'!I$154*(1+GroundFuelSurcharge),2),ROUND(((1-GroundAKHIDiscount)*'Ground Base'!I73)*(1+GroundFuelSurcharge),2)))*(1+FedEx_Markup),2)</f>
        <v>320.3</v>
      </c>
      <c r="J78" s="275">
        <f>ROUND((IF('Ground Base'!J$154&gt;ROUND(((1-GroundAKHIDiscount)*'Ground Base'!J73),2),ROUND('Ground Base'!J$154*(1+GroundFuelSurcharge),2),ROUND(((1-GroundAKHIDiscount)*'Ground Base'!J73)*(1+GroundFuelSurcharge),2)))*(1+FedEx_Markup),2)</f>
        <v>320.3</v>
      </c>
      <c r="K78" s="275">
        <f>ROUND((IF('Ground Base'!K$154&gt;ROUND(((1-GroundZone51Discount)*'Ground Base'!K73),2),ROUND('Ground Base'!K$154*(1+GroundFuelSurcharge),2),ROUND(((1-GroundZone51Discount)*'Ground Base'!K73)*(1+GroundFuelSurcharge),2)))*(1+FedEx_Markup),2)</f>
        <v>89.52</v>
      </c>
      <c r="L78" s="275">
        <f>ROUND((IF('Ground Base'!L$154&gt;ROUND(((1-GroundZone54Discount)*'Ground Base'!L73),2),ROUND('Ground Base'!L$154*(1+GroundFuelSurcharge),2),ROUND(((1-GroundZone54Discount)*'Ground Base'!L73)*(1+GroundFuelSurcharge),2)))*(1+FedEx_Markup),2)</f>
        <v>104.04</v>
      </c>
    </row>
    <row r="79" ht="12.75" customHeight="1">
      <c r="A79" s="274">
        <v>72.0</v>
      </c>
      <c r="B79" s="275">
        <f>ROUND((IF('Ground Base'!B$154&gt;ROUND(((1-GroundCommDiscount31Up-GroundCommIncentive)*'Ground Base'!B74),2),ROUND('Ground Base'!B$154*(1+GroundFuelSurcharge),2),ROUND(((1-GroundCommDiscount31Up-GroundCommIncentive)*'Ground Base'!B74)*(1+GroundFuelSurcharge),2)))*(1+FedEx_Markup),2)</f>
        <v>19.25</v>
      </c>
      <c r="C79" s="275">
        <f>ROUND((IF('Ground Base'!C$154&gt;ROUND(((1-GroundCommDiscount31Up-GroundCommIncentive)*'Ground Base'!C74),2),ROUND('Ground Base'!C$154*(1+GroundFuelSurcharge),2),ROUND(((1-GroundCommDiscount31Up-GroundCommIncentive)*'Ground Base'!C74)*(1+GroundFuelSurcharge),2)))*(1+FedEx_Markup),2)</f>
        <v>24.08</v>
      </c>
      <c r="D79" s="275">
        <f>ROUND((IF('Ground Base'!D$154&gt;ROUND(((1-GroundCommDiscount31Up-GroundCommIncentive)*'Ground Base'!D74),2),ROUND('Ground Base'!D$154*(1+GroundFuelSurcharge),2),ROUND(((1-GroundCommDiscount31Up-GroundCommIncentive)*'Ground Base'!D74)*(1+GroundFuelSurcharge),2)))*(1+FedEx_Markup),2)</f>
        <v>29.21</v>
      </c>
      <c r="E79" s="275">
        <f>ROUND((IF('Ground Base'!E$154&gt;ROUND(((1-GroundCommDiscount31Up-GroundCommIncentive)*'Ground Base'!E74),2),ROUND('Ground Base'!E$154*(1+GroundFuelSurcharge),2),ROUND(((1-GroundCommDiscount31Up-GroundCommIncentive)*'Ground Base'!E74)*(1+GroundFuelSurcharge),2)))*(1+FedEx_Markup),2)</f>
        <v>34.8</v>
      </c>
      <c r="F79" s="275">
        <f>ROUND((IF('Ground Base'!F$154&gt;ROUND(((1-GroundCommDiscount31Up-GroundCommIncentive)*'Ground Base'!F74),2),ROUND('Ground Base'!F$154*(1+GroundFuelSurcharge),2),ROUND(((1-GroundCommDiscount31Up-GroundCommIncentive)*'Ground Base'!F74)*(1+GroundFuelSurcharge),2)))*(1+FedEx_Markup),2)</f>
        <v>41.94</v>
      </c>
      <c r="G79" s="275">
        <f>ROUND((IF('Ground Base'!G$154&gt;ROUND(((1-GroundCommDiscount31Up-GroundCommIncentive)*'Ground Base'!G74),2),ROUND('Ground Base'!G$154*(1+GroundFuelSurcharge),2),ROUND(((1-GroundCommDiscount31Up-GroundCommIncentive)*'Ground Base'!G74)*(1+GroundFuelSurcharge),2)))*(1+FedEx_Markup),2)</f>
        <v>49.46</v>
      </c>
      <c r="H79" s="275">
        <f>ROUND((IF('Ground Base'!H$154&gt;ROUND(((1-GroundCommDiscount31Up-GroundCommIncentive)*'Ground Base'!H74),2),ROUND('Ground Base'!H$154*(1+GroundFuelSurcharge),2),ROUND(((1-GroundCommDiscount31Up-GroundCommIncentive)*'Ground Base'!H74)*(1+GroundFuelSurcharge),2)))*(1+FedEx_Markup),2)</f>
        <v>55.96</v>
      </c>
      <c r="I79" s="275">
        <f>ROUND((IF('Ground Base'!I$154&gt;ROUND(((1-GroundAKHIDiscount)*'Ground Base'!I74),2),ROUND('Ground Base'!I$154*(1+GroundFuelSurcharge),2),ROUND(((1-GroundAKHIDiscount)*'Ground Base'!I74)*(1+GroundFuelSurcharge),2)))*(1+FedEx_Markup),2)</f>
        <v>325.06</v>
      </c>
      <c r="J79" s="275">
        <f>ROUND((IF('Ground Base'!J$154&gt;ROUND(((1-GroundAKHIDiscount)*'Ground Base'!J74),2),ROUND('Ground Base'!J$154*(1+GroundFuelSurcharge),2),ROUND(((1-GroundAKHIDiscount)*'Ground Base'!J74)*(1+GroundFuelSurcharge),2)))*(1+FedEx_Markup),2)</f>
        <v>325.06</v>
      </c>
      <c r="K79" s="275">
        <f>ROUND((IF('Ground Base'!K$154&gt;ROUND(((1-GroundZone51Discount)*'Ground Base'!K74),2),ROUND('Ground Base'!K$154*(1+GroundFuelSurcharge),2),ROUND(((1-GroundZone51Discount)*'Ground Base'!K74)*(1+GroundFuelSurcharge),2)))*(1+FedEx_Markup),2)</f>
        <v>89.52</v>
      </c>
      <c r="L79" s="275">
        <f>ROUND((IF('Ground Base'!L$154&gt;ROUND(((1-GroundZone54Discount)*'Ground Base'!L74),2),ROUND('Ground Base'!L$154*(1+GroundFuelSurcharge),2),ROUND(((1-GroundZone54Discount)*'Ground Base'!L74)*(1+GroundFuelSurcharge),2)))*(1+FedEx_Markup),2)</f>
        <v>104.05</v>
      </c>
    </row>
    <row r="80" ht="12.75" customHeight="1">
      <c r="A80" s="274">
        <v>73.0</v>
      </c>
      <c r="B80" s="275">
        <f>ROUND((IF('Ground Base'!B$154&gt;ROUND(((1-GroundCommDiscount31Up-GroundCommIncentive)*'Ground Base'!B75),2),ROUND('Ground Base'!B$154*(1+GroundFuelSurcharge),2),ROUND(((1-GroundCommDiscount31Up-GroundCommIncentive)*'Ground Base'!B75)*(1+GroundFuelSurcharge),2)))*(1+FedEx_Markup),2)</f>
        <v>19.38</v>
      </c>
      <c r="C80" s="275">
        <f>ROUND((IF('Ground Base'!C$154&gt;ROUND(((1-GroundCommDiscount31Up-GroundCommIncentive)*'Ground Base'!C75),2),ROUND('Ground Base'!C$154*(1+GroundFuelSurcharge),2),ROUND(((1-GroundCommDiscount31Up-GroundCommIncentive)*'Ground Base'!C75)*(1+GroundFuelSurcharge),2)))*(1+FedEx_Markup),2)</f>
        <v>24.31</v>
      </c>
      <c r="D80" s="275">
        <f>ROUND((IF('Ground Base'!D$154&gt;ROUND(((1-GroundCommDiscount31Up-GroundCommIncentive)*'Ground Base'!D75),2),ROUND('Ground Base'!D$154*(1+GroundFuelSurcharge),2),ROUND(((1-GroundCommDiscount31Up-GroundCommIncentive)*'Ground Base'!D75)*(1+GroundFuelSurcharge),2)))*(1+FedEx_Markup),2)</f>
        <v>29.22</v>
      </c>
      <c r="E80" s="275">
        <f>ROUND((IF('Ground Base'!E$154&gt;ROUND(((1-GroundCommDiscount31Up-GroundCommIncentive)*'Ground Base'!E75),2),ROUND('Ground Base'!E$154*(1+GroundFuelSurcharge),2),ROUND(((1-GroundCommDiscount31Up-GroundCommIncentive)*'Ground Base'!E75)*(1+GroundFuelSurcharge),2)))*(1+FedEx_Markup),2)</f>
        <v>35.31</v>
      </c>
      <c r="F80" s="275">
        <f>ROUND((IF('Ground Base'!F$154&gt;ROUND(((1-GroundCommDiscount31Up-GroundCommIncentive)*'Ground Base'!F75),2),ROUND('Ground Base'!F$154*(1+GroundFuelSurcharge),2),ROUND(((1-GroundCommDiscount31Up-GroundCommIncentive)*'Ground Base'!F75)*(1+GroundFuelSurcharge),2)))*(1+FedEx_Markup),2)</f>
        <v>42.39</v>
      </c>
      <c r="G80" s="275">
        <f>ROUND((IF('Ground Base'!G$154&gt;ROUND(((1-GroundCommDiscount31Up-GroundCommIncentive)*'Ground Base'!G75),2),ROUND('Ground Base'!G$154*(1+GroundFuelSurcharge),2),ROUND(((1-GroundCommDiscount31Up-GroundCommIncentive)*'Ground Base'!G75)*(1+GroundFuelSurcharge),2)))*(1+FedEx_Markup),2)</f>
        <v>49.55</v>
      </c>
      <c r="H80" s="275">
        <f>ROUND((IF('Ground Base'!H$154&gt;ROUND(((1-GroundCommDiscount31Up-GroundCommIncentive)*'Ground Base'!H75),2),ROUND('Ground Base'!H$154*(1+GroundFuelSurcharge),2),ROUND(((1-GroundCommDiscount31Up-GroundCommIncentive)*'Ground Base'!H75)*(1+GroundFuelSurcharge),2)))*(1+FedEx_Markup),2)</f>
        <v>55.96</v>
      </c>
      <c r="I80" s="275">
        <f>ROUND((IF('Ground Base'!I$154&gt;ROUND(((1-GroundAKHIDiscount)*'Ground Base'!I75),2),ROUND('Ground Base'!I$154*(1+GroundFuelSurcharge),2),ROUND(((1-GroundAKHIDiscount)*'Ground Base'!I75)*(1+GroundFuelSurcharge),2)))*(1+FedEx_Markup),2)</f>
        <v>329.83</v>
      </c>
      <c r="J80" s="275">
        <f>ROUND((IF('Ground Base'!J$154&gt;ROUND(((1-GroundAKHIDiscount)*'Ground Base'!J75),2),ROUND('Ground Base'!J$154*(1+GroundFuelSurcharge),2),ROUND(((1-GroundAKHIDiscount)*'Ground Base'!J75)*(1+GroundFuelSurcharge),2)))*(1+FedEx_Markup),2)</f>
        <v>329.83</v>
      </c>
      <c r="K80" s="275">
        <f>ROUND((IF('Ground Base'!K$154&gt;ROUND(((1-GroundZone51Discount)*'Ground Base'!K75),2),ROUND('Ground Base'!K$154*(1+GroundFuelSurcharge),2),ROUND(((1-GroundZone51Discount)*'Ground Base'!K75)*(1+GroundFuelSurcharge),2)))*(1+FedEx_Markup),2)</f>
        <v>90.91</v>
      </c>
      <c r="L80" s="275">
        <f>ROUND((IF('Ground Base'!L$154&gt;ROUND(((1-GroundZone54Discount)*'Ground Base'!L75),2),ROUND('Ground Base'!L$154*(1+GroundFuelSurcharge),2),ROUND(((1-GroundZone54Discount)*'Ground Base'!L75)*(1+GroundFuelSurcharge),2)))*(1+FedEx_Markup),2)</f>
        <v>106.01</v>
      </c>
    </row>
    <row r="81" ht="12.75" customHeight="1">
      <c r="A81" s="274">
        <v>74.0</v>
      </c>
      <c r="B81" s="275">
        <f>ROUND((IF('Ground Base'!B$154&gt;ROUND(((1-GroundCommDiscount31Up-GroundCommIncentive)*'Ground Base'!B76),2),ROUND('Ground Base'!B$154*(1+GroundFuelSurcharge),2),ROUND(((1-GroundCommDiscount31Up-GroundCommIncentive)*'Ground Base'!B76)*(1+GroundFuelSurcharge),2)))*(1+FedEx_Markup),2)</f>
        <v>19.88</v>
      </c>
      <c r="C81" s="275">
        <f>ROUND((IF('Ground Base'!C$154&gt;ROUND(((1-GroundCommDiscount31Up-GroundCommIncentive)*'Ground Base'!C76),2),ROUND('Ground Base'!C$154*(1+GroundFuelSurcharge),2),ROUND(((1-GroundCommDiscount31Up-GroundCommIncentive)*'Ground Base'!C76)*(1+GroundFuelSurcharge),2)))*(1+FedEx_Markup),2)</f>
        <v>24.31</v>
      </c>
      <c r="D81" s="275">
        <f>ROUND((IF('Ground Base'!D$154&gt;ROUND(((1-GroundCommDiscount31Up-GroundCommIncentive)*'Ground Base'!D76),2),ROUND('Ground Base'!D$154*(1+GroundFuelSurcharge),2),ROUND(((1-GroundCommDiscount31Up-GroundCommIncentive)*'Ground Base'!D76)*(1+GroundFuelSurcharge),2)))*(1+FedEx_Markup),2)</f>
        <v>29.22</v>
      </c>
      <c r="E81" s="275">
        <f>ROUND((IF('Ground Base'!E$154&gt;ROUND(((1-GroundCommDiscount31Up-GroundCommIncentive)*'Ground Base'!E76),2),ROUND('Ground Base'!E$154*(1+GroundFuelSurcharge),2),ROUND(((1-GroundCommDiscount31Up-GroundCommIncentive)*'Ground Base'!E76)*(1+GroundFuelSurcharge),2)))*(1+FedEx_Markup),2)</f>
        <v>35.32</v>
      </c>
      <c r="F81" s="275">
        <f>ROUND((IF('Ground Base'!F$154&gt;ROUND(((1-GroundCommDiscount31Up-GroundCommIncentive)*'Ground Base'!F76),2),ROUND('Ground Base'!F$154*(1+GroundFuelSurcharge),2),ROUND(((1-GroundCommDiscount31Up-GroundCommIncentive)*'Ground Base'!F76)*(1+GroundFuelSurcharge),2)))*(1+FedEx_Markup),2)</f>
        <v>43.04</v>
      </c>
      <c r="G81" s="275">
        <f>ROUND((IF('Ground Base'!G$154&gt;ROUND(((1-GroundCommDiscount31Up-GroundCommIncentive)*'Ground Base'!G76),2),ROUND('Ground Base'!G$154*(1+GroundFuelSurcharge),2),ROUND(((1-GroundCommDiscount31Up-GroundCommIncentive)*'Ground Base'!G76)*(1+GroundFuelSurcharge),2)))*(1+FedEx_Markup),2)</f>
        <v>49.55</v>
      </c>
      <c r="H81" s="275">
        <f>ROUND((IF('Ground Base'!H$154&gt;ROUND(((1-GroundCommDiscount31Up-GroundCommIncentive)*'Ground Base'!H76),2),ROUND('Ground Base'!H$154*(1+GroundFuelSurcharge),2),ROUND(((1-GroundCommDiscount31Up-GroundCommIncentive)*'Ground Base'!H76)*(1+GroundFuelSurcharge),2)))*(1+FedEx_Markup),2)</f>
        <v>55.97</v>
      </c>
      <c r="I81" s="275">
        <f>ROUND((IF('Ground Base'!I$154&gt;ROUND(((1-GroundAKHIDiscount)*'Ground Base'!I76),2),ROUND('Ground Base'!I$154*(1+GroundFuelSurcharge),2),ROUND(((1-GroundAKHIDiscount)*'Ground Base'!I76)*(1+GroundFuelSurcharge),2)))*(1+FedEx_Markup),2)</f>
        <v>333.01</v>
      </c>
      <c r="J81" s="275">
        <f>ROUND((IF('Ground Base'!J$154&gt;ROUND(((1-GroundAKHIDiscount)*'Ground Base'!J76),2),ROUND('Ground Base'!J$154*(1+GroundFuelSurcharge),2),ROUND(((1-GroundAKHIDiscount)*'Ground Base'!J76)*(1+GroundFuelSurcharge),2)))*(1+FedEx_Markup),2)</f>
        <v>333.01</v>
      </c>
      <c r="K81" s="275">
        <f>ROUND((IF('Ground Base'!K$154&gt;ROUND(((1-GroundZone51Discount)*'Ground Base'!K76),2),ROUND('Ground Base'!K$154*(1+GroundFuelSurcharge),2),ROUND(((1-GroundZone51Discount)*'Ground Base'!K76)*(1+GroundFuelSurcharge),2)))*(1+FedEx_Markup),2)</f>
        <v>90.92</v>
      </c>
      <c r="L81" s="275">
        <f>ROUND((IF('Ground Base'!L$154&gt;ROUND(((1-GroundZone54Discount)*'Ground Base'!L76),2),ROUND('Ground Base'!L$154*(1+GroundFuelSurcharge),2),ROUND(((1-GroundZone54Discount)*'Ground Base'!L76)*(1+GroundFuelSurcharge),2)))*(1+FedEx_Markup),2)</f>
        <v>106.02</v>
      </c>
    </row>
    <row r="82" ht="12.75" customHeight="1">
      <c r="A82" s="274">
        <v>75.0</v>
      </c>
      <c r="B82" s="275">
        <f>ROUND((IF('Ground Base'!B$154&gt;ROUND(((1-GroundCommDiscount31Up-GroundCommIncentive)*'Ground Base'!B77),2),ROUND('Ground Base'!B$154*(1+GroundFuelSurcharge),2),ROUND(((1-GroundCommDiscount31Up-GroundCommIncentive)*'Ground Base'!B77)*(1+GroundFuelSurcharge),2)))*(1+FedEx_Markup),2)</f>
        <v>20.62</v>
      </c>
      <c r="C82" s="275">
        <f>ROUND((IF('Ground Base'!C$154&gt;ROUND(((1-GroundCommDiscount31Up-GroundCommIncentive)*'Ground Base'!C77),2),ROUND('Ground Base'!C$154*(1+GroundFuelSurcharge),2),ROUND(((1-GroundCommDiscount31Up-GroundCommIncentive)*'Ground Base'!C77)*(1+GroundFuelSurcharge),2)))*(1+FedEx_Markup),2)</f>
        <v>24.32</v>
      </c>
      <c r="D82" s="275">
        <f>ROUND((IF('Ground Base'!D$154&gt;ROUND(((1-GroundCommDiscount31Up-GroundCommIncentive)*'Ground Base'!D77),2),ROUND('Ground Base'!D$154*(1+GroundFuelSurcharge),2),ROUND(((1-GroundCommDiscount31Up-GroundCommIncentive)*'Ground Base'!D77)*(1+GroundFuelSurcharge),2)))*(1+FedEx_Markup),2)</f>
        <v>29.23</v>
      </c>
      <c r="E82" s="275">
        <f>ROUND((IF('Ground Base'!E$154&gt;ROUND(((1-GroundCommDiscount31Up-GroundCommIncentive)*'Ground Base'!E77),2),ROUND('Ground Base'!E$154*(1+GroundFuelSurcharge),2),ROUND(((1-GroundCommDiscount31Up-GroundCommIncentive)*'Ground Base'!E77)*(1+GroundFuelSurcharge),2)))*(1+FedEx_Markup),2)</f>
        <v>35.59</v>
      </c>
      <c r="F82" s="275">
        <f>ROUND((IF('Ground Base'!F$154&gt;ROUND(((1-GroundCommDiscount31Up-GroundCommIncentive)*'Ground Base'!F77),2),ROUND('Ground Base'!F$154*(1+GroundFuelSurcharge),2),ROUND(((1-GroundCommDiscount31Up-GroundCommIncentive)*'Ground Base'!F77)*(1+GroundFuelSurcharge),2)))*(1+FedEx_Markup),2)</f>
        <v>43.04</v>
      </c>
      <c r="G82" s="275">
        <f>ROUND((IF('Ground Base'!G$154&gt;ROUND(((1-GroundCommDiscount31Up-GroundCommIncentive)*'Ground Base'!G77),2),ROUND('Ground Base'!G$154*(1+GroundFuelSurcharge),2),ROUND(((1-GroundCommDiscount31Up-GroundCommIncentive)*'Ground Base'!G77)*(1+GroundFuelSurcharge),2)))*(1+FedEx_Markup),2)</f>
        <v>50.06</v>
      </c>
      <c r="H82" s="275">
        <f>ROUND((IF('Ground Base'!H$154&gt;ROUND(((1-GroundCommDiscount31Up-GroundCommIncentive)*'Ground Base'!H77),2),ROUND('Ground Base'!H$154*(1+GroundFuelSurcharge),2),ROUND(((1-GroundCommDiscount31Up-GroundCommIncentive)*'Ground Base'!H77)*(1+GroundFuelSurcharge),2)))*(1+FedEx_Markup),2)</f>
        <v>55.97</v>
      </c>
      <c r="I82" s="275">
        <f>ROUND((IF('Ground Base'!I$154&gt;ROUND(((1-GroundAKHIDiscount)*'Ground Base'!I77),2),ROUND('Ground Base'!I$154*(1+GroundFuelSurcharge),2),ROUND(((1-GroundAKHIDiscount)*'Ground Base'!I77)*(1+GroundFuelSurcharge),2)))*(1+FedEx_Markup),2)</f>
        <v>336.78</v>
      </c>
      <c r="J82" s="275">
        <f>ROUND((IF('Ground Base'!J$154&gt;ROUND(((1-GroundAKHIDiscount)*'Ground Base'!J77),2),ROUND('Ground Base'!J$154*(1+GroundFuelSurcharge),2),ROUND(((1-GroundAKHIDiscount)*'Ground Base'!J77)*(1+GroundFuelSurcharge),2)))*(1+FedEx_Markup),2)</f>
        <v>336.78</v>
      </c>
      <c r="K82" s="275">
        <f>ROUND((IF('Ground Base'!K$154&gt;ROUND(((1-GroundZone51Discount)*'Ground Base'!K77),2),ROUND('Ground Base'!K$154*(1+GroundFuelSurcharge),2),ROUND(((1-GroundZone51Discount)*'Ground Base'!K77)*(1+GroundFuelSurcharge),2)))*(1+FedEx_Markup),2)</f>
        <v>92.2</v>
      </c>
      <c r="L82" s="275">
        <f>ROUND((IF('Ground Base'!L$154&gt;ROUND(((1-GroundZone54Discount)*'Ground Base'!L77),2),ROUND('Ground Base'!L$154*(1+GroundFuelSurcharge),2),ROUND(((1-GroundZone54Discount)*'Ground Base'!L77)*(1+GroundFuelSurcharge),2)))*(1+FedEx_Markup),2)</f>
        <v>108.46</v>
      </c>
    </row>
    <row r="83" ht="12.75" customHeight="1">
      <c r="A83" s="274">
        <v>76.0</v>
      </c>
      <c r="B83" s="275">
        <f>ROUND((IF('Ground Base'!B$154&gt;ROUND(((1-GroundCommDiscount31Up-GroundCommIncentive)*'Ground Base'!B78),2),ROUND('Ground Base'!B$154*(1+GroundFuelSurcharge),2),ROUND(((1-GroundCommDiscount31Up-GroundCommIncentive)*'Ground Base'!B78)*(1+GroundFuelSurcharge),2)))*(1+FedEx_Markup),2)</f>
        <v>22.22</v>
      </c>
      <c r="C83" s="275">
        <f>ROUND((IF('Ground Base'!C$154&gt;ROUND(((1-GroundCommDiscount31Up-GroundCommIncentive)*'Ground Base'!C78),2),ROUND('Ground Base'!C$154*(1+GroundFuelSurcharge),2),ROUND(((1-GroundCommDiscount31Up-GroundCommIncentive)*'Ground Base'!C78)*(1+GroundFuelSurcharge),2)))*(1+FedEx_Markup),2)</f>
        <v>25.69</v>
      </c>
      <c r="D83" s="275">
        <f>ROUND((IF('Ground Base'!D$154&gt;ROUND(((1-GroundCommDiscount31Up-GroundCommIncentive)*'Ground Base'!D78),2),ROUND('Ground Base'!D$154*(1+GroundFuelSurcharge),2),ROUND(((1-GroundCommDiscount31Up-GroundCommIncentive)*'Ground Base'!D78)*(1+GroundFuelSurcharge),2)))*(1+FedEx_Markup),2)</f>
        <v>29.42</v>
      </c>
      <c r="E83" s="275">
        <f>ROUND((IF('Ground Base'!E$154&gt;ROUND(((1-GroundCommDiscount31Up-GroundCommIncentive)*'Ground Base'!E78),2),ROUND('Ground Base'!E$154*(1+GroundFuelSurcharge),2),ROUND(((1-GroundCommDiscount31Up-GroundCommIncentive)*'Ground Base'!E78)*(1+GroundFuelSurcharge),2)))*(1+FedEx_Markup),2)</f>
        <v>36.13</v>
      </c>
      <c r="F83" s="275">
        <f>ROUND((IF('Ground Base'!F$154&gt;ROUND(((1-GroundCommDiscount31Up-GroundCommIncentive)*'Ground Base'!F78),2),ROUND('Ground Base'!F$154*(1+GroundFuelSurcharge),2),ROUND(((1-GroundCommDiscount31Up-GroundCommIncentive)*'Ground Base'!F78)*(1+GroundFuelSurcharge),2)))*(1+FedEx_Markup),2)</f>
        <v>44</v>
      </c>
      <c r="G83" s="275">
        <f>ROUND((IF('Ground Base'!G$154&gt;ROUND(((1-GroundCommDiscount31Up-GroundCommIncentive)*'Ground Base'!G78),2),ROUND('Ground Base'!G$154*(1+GroundFuelSurcharge),2),ROUND(((1-GroundCommDiscount31Up-GroundCommIncentive)*'Ground Base'!G78)*(1+GroundFuelSurcharge),2)))*(1+FedEx_Markup),2)</f>
        <v>50.88</v>
      </c>
      <c r="H83" s="275">
        <f>ROUND((IF('Ground Base'!H$154&gt;ROUND(((1-GroundCommDiscount31Up-GroundCommIncentive)*'Ground Base'!H78),2),ROUND('Ground Base'!H$154*(1+GroundFuelSurcharge),2),ROUND(((1-GroundCommDiscount31Up-GroundCommIncentive)*'Ground Base'!H78)*(1+GroundFuelSurcharge),2)))*(1+FedEx_Markup),2)</f>
        <v>56.5</v>
      </c>
      <c r="I83" s="275">
        <f>ROUND((IF('Ground Base'!I$154&gt;ROUND(((1-GroundAKHIDiscount)*'Ground Base'!I78),2),ROUND('Ground Base'!I$154*(1+GroundFuelSurcharge),2),ROUND(((1-GroundAKHIDiscount)*'Ground Base'!I78)*(1+GroundFuelSurcharge),2)))*(1+FedEx_Markup),2)</f>
        <v>340.93</v>
      </c>
      <c r="J83" s="275">
        <f>ROUND((IF('Ground Base'!J$154&gt;ROUND(((1-GroundAKHIDiscount)*'Ground Base'!J78),2),ROUND('Ground Base'!J$154*(1+GroundFuelSurcharge),2),ROUND(((1-GroundAKHIDiscount)*'Ground Base'!J78)*(1+GroundFuelSurcharge),2)))*(1+FedEx_Markup),2)</f>
        <v>340.93</v>
      </c>
      <c r="K83" s="275">
        <f>ROUND((IF('Ground Base'!K$154&gt;ROUND(((1-GroundZone51Discount)*'Ground Base'!K78),2),ROUND('Ground Base'!K$154*(1+GroundFuelSurcharge),2),ROUND(((1-GroundZone51Discount)*'Ground Base'!K78)*(1+GroundFuelSurcharge),2)))*(1+FedEx_Markup),2)</f>
        <v>92.2</v>
      </c>
      <c r="L83" s="275">
        <f>ROUND((IF('Ground Base'!L$154&gt;ROUND(((1-GroundZone54Discount)*'Ground Base'!L78),2),ROUND('Ground Base'!L$154*(1+GroundFuelSurcharge),2),ROUND(((1-GroundZone54Discount)*'Ground Base'!L78)*(1+GroundFuelSurcharge),2)))*(1+FedEx_Markup),2)</f>
        <v>108.47</v>
      </c>
    </row>
    <row r="84" ht="12.75" customHeight="1">
      <c r="A84" s="274">
        <v>77.0</v>
      </c>
      <c r="B84" s="275">
        <f>ROUND((IF('Ground Base'!B$154&gt;ROUND(((1-GroundCommDiscount31Up-GroundCommIncentive)*'Ground Base'!B79),2),ROUND('Ground Base'!B$154*(1+GroundFuelSurcharge),2),ROUND(((1-GroundCommDiscount31Up-GroundCommIncentive)*'Ground Base'!B79)*(1+GroundFuelSurcharge),2)))*(1+FedEx_Markup),2)</f>
        <v>23.08</v>
      </c>
      <c r="C84" s="275">
        <f>ROUND((IF('Ground Base'!C$154&gt;ROUND(((1-GroundCommDiscount31Up-GroundCommIncentive)*'Ground Base'!C79),2),ROUND('Ground Base'!C$154*(1+GroundFuelSurcharge),2),ROUND(((1-GroundCommDiscount31Up-GroundCommIncentive)*'Ground Base'!C79)*(1+GroundFuelSurcharge),2)))*(1+FedEx_Markup),2)</f>
        <v>26.06</v>
      </c>
      <c r="D84" s="275">
        <f>ROUND((IF('Ground Base'!D$154&gt;ROUND(((1-GroundCommDiscount31Up-GroundCommIncentive)*'Ground Base'!D79),2),ROUND('Ground Base'!D$154*(1+GroundFuelSurcharge),2),ROUND(((1-GroundCommDiscount31Up-GroundCommIncentive)*'Ground Base'!D79)*(1+GroundFuelSurcharge),2)))*(1+FedEx_Markup),2)</f>
        <v>29.76</v>
      </c>
      <c r="E84" s="275">
        <f>ROUND((IF('Ground Base'!E$154&gt;ROUND(((1-GroundCommDiscount31Up-GroundCommIncentive)*'Ground Base'!E79),2),ROUND('Ground Base'!E$154*(1+GroundFuelSurcharge),2),ROUND(((1-GroundCommDiscount31Up-GroundCommIncentive)*'Ground Base'!E79)*(1+GroundFuelSurcharge),2)))*(1+FedEx_Markup),2)</f>
        <v>36.31</v>
      </c>
      <c r="F84" s="275">
        <f>ROUND((IF('Ground Base'!F$154&gt;ROUND(((1-GroundCommDiscount31Up-GroundCommIncentive)*'Ground Base'!F79),2),ROUND('Ground Base'!F$154*(1+GroundFuelSurcharge),2),ROUND(((1-GroundCommDiscount31Up-GroundCommIncentive)*'Ground Base'!F79)*(1+GroundFuelSurcharge),2)))*(1+FedEx_Markup),2)</f>
        <v>44.25</v>
      </c>
      <c r="G84" s="275">
        <f>ROUND((IF('Ground Base'!G$154&gt;ROUND(((1-GroundCommDiscount31Up-GroundCommIncentive)*'Ground Base'!G79),2),ROUND('Ground Base'!G$154*(1+GroundFuelSurcharge),2),ROUND(((1-GroundCommDiscount31Up-GroundCommIncentive)*'Ground Base'!G79)*(1+GroundFuelSurcharge),2)))*(1+FedEx_Markup),2)</f>
        <v>52.33</v>
      </c>
      <c r="H84" s="275">
        <f>ROUND((IF('Ground Base'!H$154&gt;ROUND(((1-GroundCommDiscount31Up-GroundCommIncentive)*'Ground Base'!H79),2),ROUND('Ground Base'!H$154*(1+GroundFuelSurcharge),2),ROUND(((1-GroundCommDiscount31Up-GroundCommIncentive)*'Ground Base'!H79)*(1+GroundFuelSurcharge),2)))*(1+FedEx_Markup),2)</f>
        <v>56.5</v>
      </c>
      <c r="I84" s="275">
        <f>ROUND((IF('Ground Base'!I$154&gt;ROUND(((1-GroundAKHIDiscount)*'Ground Base'!I79),2),ROUND('Ground Base'!I$154*(1+GroundFuelSurcharge),2),ROUND(((1-GroundAKHIDiscount)*'Ground Base'!I79)*(1+GroundFuelSurcharge),2)))*(1+FedEx_Markup),2)</f>
        <v>343.74</v>
      </c>
      <c r="J84" s="275">
        <f>ROUND((IF('Ground Base'!J$154&gt;ROUND(((1-GroundAKHIDiscount)*'Ground Base'!J79),2),ROUND('Ground Base'!J$154*(1+GroundFuelSurcharge),2),ROUND(((1-GroundAKHIDiscount)*'Ground Base'!J79)*(1+GroundFuelSurcharge),2)))*(1+FedEx_Markup),2)</f>
        <v>343.74</v>
      </c>
      <c r="K84" s="275">
        <f>ROUND((IF('Ground Base'!K$154&gt;ROUND(((1-GroundZone51Discount)*'Ground Base'!K79),2),ROUND('Ground Base'!K$154*(1+GroundFuelSurcharge),2),ROUND(((1-GroundZone51Discount)*'Ground Base'!K79)*(1+GroundFuelSurcharge),2)))*(1+FedEx_Markup),2)</f>
        <v>92.41</v>
      </c>
      <c r="L84" s="275">
        <f>ROUND((IF('Ground Base'!L$154&gt;ROUND(((1-GroundZone54Discount)*'Ground Base'!L79),2),ROUND('Ground Base'!L$154*(1+GroundFuelSurcharge),2),ROUND(((1-GroundZone54Discount)*'Ground Base'!L79)*(1+GroundFuelSurcharge),2)))*(1+FedEx_Markup),2)</f>
        <v>109.09</v>
      </c>
    </row>
    <row r="85" ht="12.75" customHeight="1">
      <c r="A85" s="274">
        <v>78.0</v>
      </c>
      <c r="B85" s="275">
        <f>ROUND((IF('Ground Base'!B$154&gt;ROUND(((1-GroundCommDiscount31Up-GroundCommIncentive)*'Ground Base'!B80),2),ROUND('Ground Base'!B$154*(1+GroundFuelSurcharge),2),ROUND(((1-GroundCommDiscount31Up-GroundCommIncentive)*'Ground Base'!B80)*(1+GroundFuelSurcharge),2)))*(1+FedEx_Markup),2)</f>
        <v>23.1</v>
      </c>
      <c r="C85" s="275">
        <f>ROUND((IF('Ground Base'!C$154&gt;ROUND(((1-GroundCommDiscount31Up-GroundCommIncentive)*'Ground Base'!C80),2),ROUND('Ground Base'!C$154*(1+GroundFuelSurcharge),2),ROUND(((1-GroundCommDiscount31Up-GroundCommIncentive)*'Ground Base'!C80)*(1+GroundFuelSurcharge),2)))*(1+FedEx_Markup),2)</f>
        <v>27.05</v>
      </c>
      <c r="D85" s="275">
        <f>ROUND((IF('Ground Base'!D$154&gt;ROUND(((1-GroundCommDiscount31Up-GroundCommIncentive)*'Ground Base'!D80),2),ROUND('Ground Base'!D$154*(1+GroundFuelSurcharge),2),ROUND(((1-GroundCommDiscount31Up-GroundCommIncentive)*'Ground Base'!D80)*(1+GroundFuelSurcharge),2)))*(1+FedEx_Markup),2)</f>
        <v>30.64</v>
      </c>
      <c r="E85" s="275">
        <f>ROUND((IF('Ground Base'!E$154&gt;ROUND(((1-GroundCommDiscount31Up-GroundCommIncentive)*'Ground Base'!E80),2),ROUND('Ground Base'!E$154*(1+GroundFuelSurcharge),2),ROUND(((1-GroundCommDiscount31Up-GroundCommIncentive)*'Ground Base'!E80)*(1+GroundFuelSurcharge),2)))*(1+FedEx_Markup),2)</f>
        <v>36.69</v>
      </c>
      <c r="F85" s="275">
        <f>ROUND((IF('Ground Base'!F$154&gt;ROUND(((1-GroundCommDiscount31Up-GroundCommIncentive)*'Ground Base'!F80),2),ROUND('Ground Base'!F$154*(1+GroundFuelSurcharge),2),ROUND(((1-GroundCommDiscount31Up-GroundCommIncentive)*'Ground Base'!F80)*(1+GroundFuelSurcharge),2)))*(1+FedEx_Markup),2)</f>
        <v>44.53</v>
      </c>
      <c r="G85" s="275">
        <f>ROUND((IF('Ground Base'!G$154&gt;ROUND(((1-GroundCommDiscount31Up-GroundCommIncentive)*'Ground Base'!G80),2),ROUND('Ground Base'!G$154*(1+GroundFuelSurcharge),2),ROUND(((1-GroundCommDiscount31Up-GroundCommIncentive)*'Ground Base'!G80)*(1+GroundFuelSurcharge),2)))*(1+FedEx_Markup),2)</f>
        <v>52.72</v>
      </c>
      <c r="H85" s="275">
        <f>ROUND((IF('Ground Base'!H$154&gt;ROUND(((1-GroundCommDiscount31Up-GroundCommIncentive)*'Ground Base'!H80),2),ROUND('Ground Base'!H$154*(1+GroundFuelSurcharge),2),ROUND(((1-GroundCommDiscount31Up-GroundCommIncentive)*'Ground Base'!H80)*(1+GroundFuelSurcharge),2)))*(1+FedEx_Markup),2)</f>
        <v>56.51</v>
      </c>
      <c r="I85" s="275">
        <f>ROUND((IF('Ground Base'!I$154&gt;ROUND(((1-GroundAKHIDiscount)*'Ground Base'!I80),2),ROUND('Ground Base'!I$154*(1+GroundFuelSurcharge),2),ROUND(((1-GroundAKHIDiscount)*'Ground Base'!I80)*(1+GroundFuelSurcharge),2)))*(1+FedEx_Markup),2)</f>
        <v>345.59</v>
      </c>
      <c r="J85" s="275">
        <f>ROUND((IF('Ground Base'!J$154&gt;ROUND(((1-GroundAKHIDiscount)*'Ground Base'!J80),2),ROUND('Ground Base'!J$154*(1+GroundFuelSurcharge),2),ROUND(((1-GroundAKHIDiscount)*'Ground Base'!J80)*(1+GroundFuelSurcharge),2)))*(1+FedEx_Markup),2)</f>
        <v>345.59</v>
      </c>
      <c r="K85" s="275">
        <f>ROUND((IF('Ground Base'!K$154&gt;ROUND(((1-GroundZone51Discount)*'Ground Base'!K80),2),ROUND('Ground Base'!K$154*(1+GroundFuelSurcharge),2),ROUND(((1-GroundZone51Discount)*'Ground Base'!K80)*(1+GroundFuelSurcharge),2)))*(1+FedEx_Markup),2)</f>
        <v>92.43</v>
      </c>
      <c r="L85" s="275">
        <f>ROUND((IF('Ground Base'!L$154&gt;ROUND(((1-GroundZone54Discount)*'Ground Base'!L80),2),ROUND('Ground Base'!L$154*(1+GroundFuelSurcharge),2),ROUND(((1-GroundZone54Discount)*'Ground Base'!L80)*(1+GroundFuelSurcharge),2)))*(1+FedEx_Markup),2)</f>
        <v>109.09</v>
      </c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2.75" customHeight="1">
      <c r="A86" s="274">
        <v>79.0</v>
      </c>
      <c r="B86" s="275">
        <f>ROUND((IF('Ground Base'!B$154&gt;ROUND(((1-GroundCommDiscount31Up-GroundCommIncentive)*'Ground Base'!B81),2),ROUND('Ground Base'!B$154*(1+GroundFuelSurcharge),2),ROUND(((1-GroundCommDiscount31Up-GroundCommIncentive)*'Ground Base'!B81)*(1+GroundFuelSurcharge),2)))*(1+FedEx_Markup),2)</f>
        <v>24.15</v>
      </c>
      <c r="C86" s="275">
        <f>ROUND((IF('Ground Base'!C$154&gt;ROUND(((1-GroundCommDiscount31Up-GroundCommIncentive)*'Ground Base'!C81),2),ROUND('Ground Base'!C$154*(1+GroundFuelSurcharge),2),ROUND(((1-GroundCommDiscount31Up-GroundCommIncentive)*'Ground Base'!C81)*(1+GroundFuelSurcharge),2)))*(1+FedEx_Markup),2)</f>
        <v>28.16</v>
      </c>
      <c r="D86" s="275">
        <f>ROUND((IF('Ground Base'!D$154&gt;ROUND(((1-GroundCommDiscount31Up-GroundCommIncentive)*'Ground Base'!D81),2),ROUND('Ground Base'!D$154*(1+GroundFuelSurcharge),2),ROUND(((1-GroundCommDiscount31Up-GroundCommIncentive)*'Ground Base'!D81)*(1+GroundFuelSurcharge),2)))*(1+FedEx_Markup),2)</f>
        <v>31.4</v>
      </c>
      <c r="E86" s="275">
        <f>ROUND((IF('Ground Base'!E$154&gt;ROUND(((1-GroundCommDiscount31Up-GroundCommIncentive)*'Ground Base'!E81),2),ROUND('Ground Base'!E$154*(1+GroundFuelSurcharge),2),ROUND(((1-GroundCommDiscount31Up-GroundCommIncentive)*'Ground Base'!E81)*(1+GroundFuelSurcharge),2)))*(1+FedEx_Markup),2)</f>
        <v>37.27</v>
      </c>
      <c r="F86" s="275">
        <f>ROUND((IF('Ground Base'!F$154&gt;ROUND(((1-GroundCommDiscount31Up-GroundCommIncentive)*'Ground Base'!F81),2),ROUND('Ground Base'!F$154*(1+GroundFuelSurcharge),2),ROUND(((1-GroundCommDiscount31Up-GroundCommIncentive)*'Ground Base'!F81)*(1+GroundFuelSurcharge),2)))*(1+FedEx_Markup),2)</f>
        <v>45.46</v>
      </c>
      <c r="G86" s="275">
        <f>ROUND((IF('Ground Base'!G$154&gt;ROUND(((1-GroundCommDiscount31Up-GroundCommIncentive)*'Ground Base'!G81),2),ROUND('Ground Base'!G$154*(1+GroundFuelSurcharge),2),ROUND(((1-GroundCommDiscount31Up-GroundCommIncentive)*'Ground Base'!G81)*(1+GroundFuelSurcharge),2)))*(1+FedEx_Markup),2)</f>
        <v>53.53</v>
      </c>
      <c r="H86" s="275">
        <f>ROUND((IF('Ground Base'!H$154&gt;ROUND(((1-GroundCommDiscount31Up-GroundCommIncentive)*'Ground Base'!H81),2),ROUND('Ground Base'!H$154*(1+GroundFuelSurcharge),2),ROUND(((1-GroundCommDiscount31Up-GroundCommIncentive)*'Ground Base'!H81)*(1+GroundFuelSurcharge),2)))*(1+FedEx_Markup),2)</f>
        <v>57.43</v>
      </c>
      <c r="I86" s="275">
        <f>ROUND((IF('Ground Base'!I$154&gt;ROUND(((1-GroundAKHIDiscount)*'Ground Base'!I81),2),ROUND('Ground Base'!I$154*(1+GroundFuelSurcharge),2),ROUND(((1-GroundAKHIDiscount)*'Ground Base'!I81)*(1+GroundFuelSurcharge),2)))*(1+FedEx_Markup),2)</f>
        <v>345.64</v>
      </c>
      <c r="J86" s="275">
        <f>ROUND((IF('Ground Base'!J$154&gt;ROUND(((1-GroundAKHIDiscount)*'Ground Base'!J81),2),ROUND('Ground Base'!J$154*(1+GroundFuelSurcharge),2),ROUND(((1-GroundAKHIDiscount)*'Ground Base'!J81)*(1+GroundFuelSurcharge),2)))*(1+FedEx_Markup),2)</f>
        <v>345.64</v>
      </c>
      <c r="K86" s="275">
        <f>ROUND((IF('Ground Base'!K$154&gt;ROUND(((1-GroundZone51Discount)*'Ground Base'!K81),2),ROUND('Ground Base'!K$154*(1+GroundFuelSurcharge),2),ROUND(((1-GroundZone51Discount)*'Ground Base'!K81)*(1+GroundFuelSurcharge),2)))*(1+FedEx_Markup),2)</f>
        <v>93.58</v>
      </c>
      <c r="L86" s="275">
        <f>ROUND((IF('Ground Base'!L$154&gt;ROUND(((1-GroundZone54Discount)*'Ground Base'!L81),2),ROUND('Ground Base'!L$154*(1+GroundFuelSurcharge),2),ROUND(((1-GroundZone54Discount)*'Ground Base'!L81)*(1+GroundFuelSurcharge),2)))*(1+FedEx_Markup),2)</f>
        <v>111.69</v>
      </c>
    </row>
    <row r="87" ht="12.75" customHeight="1">
      <c r="A87" s="274">
        <v>80.0</v>
      </c>
      <c r="B87" s="275">
        <f>ROUND((IF('Ground Base'!B$154&gt;ROUND(((1-GroundCommDiscount31Up-GroundCommIncentive)*'Ground Base'!B82),2),ROUND('Ground Base'!B$154*(1+GroundFuelSurcharge),2),ROUND(((1-GroundCommDiscount31Up-GroundCommIncentive)*'Ground Base'!B82)*(1+GroundFuelSurcharge),2)))*(1+FedEx_Markup),2)</f>
        <v>24.81</v>
      </c>
      <c r="C87" s="275">
        <f>ROUND((IF('Ground Base'!C$154&gt;ROUND(((1-GroundCommDiscount31Up-GroundCommIncentive)*'Ground Base'!C82),2),ROUND('Ground Base'!C$154*(1+GroundFuelSurcharge),2),ROUND(((1-GroundCommDiscount31Up-GroundCommIncentive)*'Ground Base'!C82)*(1+GroundFuelSurcharge),2)))*(1+FedEx_Markup),2)</f>
        <v>28.7</v>
      </c>
      <c r="D87" s="275">
        <f>ROUND((IF('Ground Base'!D$154&gt;ROUND(((1-GroundCommDiscount31Up-GroundCommIncentive)*'Ground Base'!D82),2),ROUND('Ground Base'!D$154*(1+GroundFuelSurcharge),2),ROUND(((1-GroundCommDiscount31Up-GroundCommIncentive)*'Ground Base'!D82)*(1+GroundFuelSurcharge),2)))*(1+FedEx_Markup),2)</f>
        <v>31.53</v>
      </c>
      <c r="E87" s="275">
        <f>ROUND((IF('Ground Base'!E$154&gt;ROUND(((1-GroundCommDiscount31Up-GroundCommIncentive)*'Ground Base'!E82),2),ROUND('Ground Base'!E$154*(1+GroundFuelSurcharge),2),ROUND(((1-GroundCommDiscount31Up-GroundCommIncentive)*'Ground Base'!E82)*(1+GroundFuelSurcharge),2)))*(1+FedEx_Markup),2)</f>
        <v>38.16</v>
      </c>
      <c r="F87" s="275">
        <f>ROUND((IF('Ground Base'!F$154&gt;ROUND(((1-GroundCommDiscount31Up-GroundCommIncentive)*'Ground Base'!F82),2),ROUND('Ground Base'!F$154*(1+GroundFuelSurcharge),2),ROUND(((1-GroundCommDiscount31Up-GroundCommIncentive)*'Ground Base'!F82)*(1+GroundFuelSurcharge),2)))*(1+FedEx_Markup),2)</f>
        <v>46.22</v>
      </c>
      <c r="G87" s="275">
        <f>ROUND((IF('Ground Base'!G$154&gt;ROUND(((1-GroundCommDiscount31Up-GroundCommIncentive)*'Ground Base'!G82),2),ROUND('Ground Base'!G$154*(1+GroundFuelSurcharge),2),ROUND(((1-GroundCommDiscount31Up-GroundCommIncentive)*'Ground Base'!G82)*(1+GroundFuelSurcharge),2)))*(1+FedEx_Markup),2)</f>
        <v>54.27</v>
      </c>
      <c r="H87" s="275">
        <f>ROUND((IF('Ground Base'!H$154&gt;ROUND(((1-GroundCommDiscount31Up-GroundCommIncentive)*'Ground Base'!H82),2),ROUND('Ground Base'!H$154*(1+GroundFuelSurcharge),2),ROUND(((1-GroundCommDiscount31Up-GroundCommIncentive)*'Ground Base'!H82)*(1+GroundFuelSurcharge),2)))*(1+FedEx_Markup),2)</f>
        <v>57.88</v>
      </c>
      <c r="I87" s="275">
        <f>ROUND((IF('Ground Base'!I$154&gt;ROUND(((1-GroundAKHIDiscount)*'Ground Base'!I82),2),ROUND('Ground Base'!I$154*(1+GroundFuelSurcharge),2),ROUND(((1-GroundAKHIDiscount)*'Ground Base'!I82)*(1+GroundFuelSurcharge),2)))*(1+FedEx_Markup),2)</f>
        <v>349.26</v>
      </c>
      <c r="J87" s="275">
        <f>ROUND((IF('Ground Base'!J$154&gt;ROUND(((1-GroundAKHIDiscount)*'Ground Base'!J82),2),ROUND('Ground Base'!J$154*(1+GroundFuelSurcharge),2),ROUND(((1-GroundAKHIDiscount)*'Ground Base'!J82)*(1+GroundFuelSurcharge),2)))*(1+FedEx_Markup),2)</f>
        <v>349.26</v>
      </c>
      <c r="K87" s="275">
        <f>ROUND((IF('Ground Base'!K$154&gt;ROUND(((1-GroundZone51Discount)*'Ground Base'!K82),2),ROUND('Ground Base'!K$154*(1+GroundFuelSurcharge),2),ROUND(((1-GroundZone51Discount)*'Ground Base'!K82)*(1+GroundFuelSurcharge),2)))*(1+FedEx_Markup),2)</f>
        <v>93.6</v>
      </c>
      <c r="L87" s="275">
        <f>ROUND((IF('Ground Base'!L$154&gt;ROUND(((1-GroundZone54Discount)*'Ground Base'!L82),2),ROUND('Ground Base'!L$154*(1+GroundFuelSurcharge),2),ROUND(((1-GroundZone54Discount)*'Ground Base'!L82)*(1+GroundFuelSurcharge),2)))*(1+FedEx_Markup),2)</f>
        <v>111.7</v>
      </c>
    </row>
    <row r="88" ht="12.75" customHeight="1">
      <c r="A88" s="274">
        <v>81.0</v>
      </c>
      <c r="B88" s="275">
        <f>ROUND((IF('Ground Base'!B$154&gt;ROUND(((1-GroundCommDiscount31Up-GroundCommIncentive)*'Ground Base'!B83),2),ROUND('Ground Base'!B$154*(1+GroundFuelSurcharge),2),ROUND(((1-GroundCommDiscount31Up-GroundCommIncentive)*'Ground Base'!B83)*(1+GroundFuelSurcharge),2)))*(1+FedEx_Markup),2)</f>
        <v>25.42</v>
      </c>
      <c r="C88" s="275">
        <f>ROUND((IF('Ground Base'!C$154&gt;ROUND(((1-GroundCommDiscount31Up-GroundCommIncentive)*'Ground Base'!C83),2),ROUND('Ground Base'!C$154*(1+GroundFuelSurcharge),2),ROUND(((1-GroundCommDiscount31Up-GroundCommIncentive)*'Ground Base'!C83)*(1+GroundFuelSurcharge),2)))*(1+FedEx_Markup),2)</f>
        <v>28.93</v>
      </c>
      <c r="D88" s="275">
        <f>ROUND((IF('Ground Base'!D$154&gt;ROUND(((1-GroundCommDiscount31Up-GroundCommIncentive)*'Ground Base'!D83),2),ROUND('Ground Base'!D$154*(1+GroundFuelSurcharge),2),ROUND(((1-GroundCommDiscount31Up-GroundCommIncentive)*'Ground Base'!D83)*(1+GroundFuelSurcharge),2)))*(1+FedEx_Markup),2)</f>
        <v>32.3</v>
      </c>
      <c r="E88" s="275">
        <f>ROUND((IF('Ground Base'!E$154&gt;ROUND(((1-GroundCommDiscount31Up-GroundCommIncentive)*'Ground Base'!E83),2),ROUND('Ground Base'!E$154*(1+GroundFuelSurcharge),2),ROUND(((1-GroundCommDiscount31Up-GroundCommIncentive)*'Ground Base'!E83)*(1+GroundFuelSurcharge),2)))*(1+FedEx_Markup),2)</f>
        <v>38.41</v>
      </c>
      <c r="F88" s="275">
        <f>ROUND((IF('Ground Base'!F$154&gt;ROUND(((1-GroundCommDiscount31Up-GroundCommIncentive)*'Ground Base'!F83),2),ROUND('Ground Base'!F$154*(1+GroundFuelSurcharge),2),ROUND(((1-GroundCommDiscount31Up-GroundCommIncentive)*'Ground Base'!F83)*(1+GroundFuelSurcharge),2)))*(1+FedEx_Markup),2)</f>
        <v>46.82</v>
      </c>
      <c r="G88" s="275">
        <f>ROUND((IF('Ground Base'!G$154&gt;ROUND(((1-GroundCommDiscount31Up-GroundCommIncentive)*'Ground Base'!G83),2),ROUND('Ground Base'!G$154*(1+GroundFuelSurcharge),2),ROUND(((1-GroundCommDiscount31Up-GroundCommIncentive)*'Ground Base'!G83)*(1+GroundFuelSurcharge),2)))*(1+FedEx_Markup),2)</f>
        <v>54.59</v>
      </c>
      <c r="H88" s="275">
        <f>ROUND((IF('Ground Base'!H$154&gt;ROUND(((1-GroundCommDiscount31Up-GroundCommIncentive)*'Ground Base'!H83),2),ROUND('Ground Base'!H$154*(1+GroundFuelSurcharge),2),ROUND(((1-GroundCommDiscount31Up-GroundCommIncentive)*'Ground Base'!H83)*(1+GroundFuelSurcharge),2)))*(1+FedEx_Markup),2)</f>
        <v>58.08</v>
      </c>
      <c r="I88" s="275">
        <f>ROUND((IF('Ground Base'!I$154&gt;ROUND(((1-GroundAKHIDiscount)*'Ground Base'!I83),2),ROUND('Ground Base'!I$154*(1+GroundFuelSurcharge),2),ROUND(((1-GroundAKHIDiscount)*'Ground Base'!I83)*(1+GroundFuelSurcharge),2)))*(1+FedEx_Markup),2)</f>
        <v>352.18</v>
      </c>
      <c r="J88" s="275">
        <f>ROUND((IF('Ground Base'!J$154&gt;ROUND(((1-GroundAKHIDiscount)*'Ground Base'!J83),2),ROUND('Ground Base'!J$154*(1+GroundFuelSurcharge),2),ROUND(((1-GroundAKHIDiscount)*'Ground Base'!J83)*(1+GroundFuelSurcharge),2)))*(1+FedEx_Markup),2)</f>
        <v>352.18</v>
      </c>
      <c r="K88" s="275">
        <f>ROUND((IF('Ground Base'!K$154&gt;ROUND(((1-GroundZone51Discount)*'Ground Base'!K83),2),ROUND('Ground Base'!K$154*(1+GroundFuelSurcharge),2),ROUND(((1-GroundZone51Discount)*'Ground Base'!K83)*(1+GroundFuelSurcharge),2)))*(1+FedEx_Markup),2)</f>
        <v>94.04</v>
      </c>
      <c r="L88" s="275">
        <f>ROUND((IF('Ground Base'!L$154&gt;ROUND(((1-GroundZone54Discount)*'Ground Base'!L83),2),ROUND('Ground Base'!L$154*(1+GroundFuelSurcharge),2),ROUND(((1-GroundZone54Discount)*'Ground Base'!L83)*(1+GroundFuelSurcharge),2)))*(1+FedEx_Markup),2)</f>
        <v>113.76</v>
      </c>
    </row>
    <row r="89" ht="12.75" customHeight="1">
      <c r="A89" s="274">
        <v>82.0</v>
      </c>
      <c r="B89" s="275">
        <f>ROUND((IF('Ground Base'!B$154&gt;ROUND(((1-GroundCommDiscount31Up-GroundCommIncentive)*'Ground Base'!B84),2),ROUND('Ground Base'!B$154*(1+GroundFuelSurcharge),2),ROUND(((1-GroundCommDiscount31Up-GroundCommIncentive)*'Ground Base'!B84)*(1+GroundFuelSurcharge),2)))*(1+FedEx_Markup),2)</f>
        <v>26.24</v>
      </c>
      <c r="C89" s="275">
        <f>ROUND((IF('Ground Base'!C$154&gt;ROUND(((1-GroundCommDiscount31Up-GroundCommIncentive)*'Ground Base'!C84),2),ROUND('Ground Base'!C$154*(1+GroundFuelSurcharge),2),ROUND(((1-GroundCommDiscount31Up-GroundCommIncentive)*'Ground Base'!C84)*(1+GroundFuelSurcharge),2)))*(1+FedEx_Markup),2)</f>
        <v>29.65</v>
      </c>
      <c r="D89" s="275">
        <f>ROUND((IF('Ground Base'!D$154&gt;ROUND(((1-GroundCommDiscount31Up-GroundCommIncentive)*'Ground Base'!D84),2),ROUND('Ground Base'!D$154*(1+GroundFuelSurcharge),2),ROUND(((1-GroundCommDiscount31Up-GroundCommIncentive)*'Ground Base'!D84)*(1+GroundFuelSurcharge),2)))*(1+FedEx_Markup),2)</f>
        <v>33.76</v>
      </c>
      <c r="E89" s="275">
        <f>ROUND((IF('Ground Base'!E$154&gt;ROUND(((1-GroundCommDiscount31Up-GroundCommIncentive)*'Ground Base'!E84),2),ROUND('Ground Base'!E$154*(1+GroundFuelSurcharge),2),ROUND(((1-GroundCommDiscount31Up-GroundCommIncentive)*'Ground Base'!E84)*(1+GroundFuelSurcharge),2)))*(1+FedEx_Markup),2)</f>
        <v>39.39</v>
      </c>
      <c r="F89" s="275">
        <f>ROUND((IF('Ground Base'!F$154&gt;ROUND(((1-GroundCommDiscount31Up-GroundCommIncentive)*'Ground Base'!F84),2),ROUND('Ground Base'!F$154*(1+GroundFuelSurcharge),2),ROUND(((1-GroundCommDiscount31Up-GroundCommIncentive)*'Ground Base'!F84)*(1+GroundFuelSurcharge),2)))*(1+FedEx_Markup),2)</f>
        <v>46.94</v>
      </c>
      <c r="G89" s="275">
        <f>ROUND((IF('Ground Base'!G$154&gt;ROUND(((1-GroundCommDiscount31Up-GroundCommIncentive)*'Ground Base'!G84),2),ROUND('Ground Base'!G$154*(1+GroundFuelSurcharge),2),ROUND(((1-GroundCommDiscount31Up-GroundCommIncentive)*'Ground Base'!G84)*(1+GroundFuelSurcharge),2)))*(1+FedEx_Markup),2)</f>
        <v>56.01</v>
      </c>
      <c r="H89" s="275">
        <f>ROUND((IF('Ground Base'!H$154&gt;ROUND(((1-GroundCommDiscount31Up-GroundCommIncentive)*'Ground Base'!H84),2),ROUND('Ground Base'!H$154*(1+GroundFuelSurcharge),2),ROUND(((1-GroundCommDiscount31Up-GroundCommIncentive)*'Ground Base'!H84)*(1+GroundFuelSurcharge),2)))*(1+FedEx_Markup),2)</f>
        <v>58.08</v>
      </c>
      <c r="I89" s="275">
        <f>ROUND((IF('Ground Base'!I$154&gt;ROUND(((1-GroundAKHIDiscount)*'Ground Base'!I84),2),ROUND('Ground Base'!I$154*(1+GroundFuelSurcharge),2),ROUND(((1-GroundAKHIDiscount)*'Ground Base'!I84)*(1+GroundFuelSurcharge),2)))*(1+FedEx_Markup),2)</f>
        <v>353.94</v>
      </c>
      <c r="J89" s="275">
        <f>ROUND((IF('Ground Base'!J$154&gt;ROUND(((1-GroundAKHIDiscount)*'Ground Base'!J84),2),ROUND('Ground Base'!J$154*(1+GroundFuelSurcharge),2),ROUND(((1-GroundAKHIDiscount)*'Ground Base'!J84)*(1+GroundFuelSurcharge),2)))*(1+FedEx_Markup),2)</f>
        <v>353.94</v>
      </c>
      <c r="K89" s="275">
        <f>ROUND((IF('Ground Base'!K$154&gt;ROUND(((1-GroundZone51Discount)*'Ground Base'!K84),2),ROUND('Ground Base'!K$154*(1+GroundFuelSurcharge),2),ROUND(((1-GroundZone51Discount)*'Ground Base'!K84)*(1+GroundFuelSurcharge),2)))*(1+FedEx_Markup),2)</f>
        <v>94.05</v>
      </c>
      <c r="L89" s="275">
        <f>ROUND((IF('Ground Base'!L$154&gt;ROUND(((1-GroundZone54Discount)*'Ground Base'!L84),2),ROUND('Ground Base'!L$154*(1+GroundFuelSurcharge),2),ROUND(((1-GroundZone54Discount)*'Ground Base'!L84)*(1+GroundFuelSurcharge),2)))*(1+FedEx_Markup),2)</f>
        <v>113.77</v>
      </c>
    </row>
    <row r="90" ht="12.75" customHeight="1">
      <c r="A90" s="274">
        <v>83.0</v>
      </c>
      <c r="B90" s="275">
        <f>ROUND((IF('Ground Base'!B$154&gt;ROUND(((1-GroundCommDiscount31Up-GroundCommIncentive)*'Ground Base'!B85),2),ROUND('Ground Base'!B$154*(1+GroundFuelSurcharge),2),ROUND(((1-GroundCommDiscount31Up-GroundCommIncentive)*'Ground Base'!B85)*(1+GroundFuelSurcharge),2)))*(1+FedEx_Markup),2)</f>
        <v>26.24</v>
      </c>
      <c r="C90" s="275">
        <f>ROUND((IF('Ground Base'!C$154&gt;ROUND(((1-GroundCommDiscount31Up-GroundCommIncentive)*'Ground Base'!C85),2),ROUND('Ground Base'!C$154*(1+GroundFuelSurcharge),2),ROUND(((1-GroundCommDiscount31Up-GroundCommIncentive)*'Ground Base'!C85)*(1+GroundFuelSurcharge),2)))*(1+FedEx_Markup),2)</f>
        <v>29.65</v>
      </c>
      <c r="D90" s="275">
        <f>ROUND((IF('Ground Base'!D$154&gt;ROUND(((1-GroundCommDiscount31Up-GroundCommIncentive)*'Ground Base'!D85),2),ROUND('Ground Base'!D$154*(1+GroundFuelSurcharge),2),ROUND(((1-GroundCommDiscount31Up-GroundCommIncentive)*'Ground Base'!D85)*(1+GroundFuelSurcharge),2)))*(1+FedEx_Markup),2)</f>
        <v>33.76</v>
      </c>
      <c r="E90" s="275">
        <f>ROUND((IF('Ground Base'!E$154&gt;ROUND(((1-GroundCommDiscount31Up-GroundCommIncentive)*'Ground Base'!E85),2),ROUND('Ground Base'!E$154*(1+GroundFuelSurcharge),2),ROUND(((1-GroundCommDiscount31Up-GroundCommIncentive)*'Ground Base'!E85)*(1+GroundFuelSurcharge),2)))*(1+FedEx_Markup),2)</f>
        <v>39.4</v>
      </c>
      <c r="F90" s="275">
        <f>ROUND((IF('Ground Base'!F$154&gt;ROUND(((1-GroundCommDiscount31Up-GroundCommIncentive)*'Ground Base'!F85),2),ROUND('Ground Base'!F$154*(1+GroundFuelSurcharge),2),ROUND(((1-GroundCommDiscount31Up-GroundCommIncentive)*'Ground Base'!F85)*(1+GroundFuelSurcharge),2)))*(1+FedEx_Markup),2)</f>
        <v>47.08</v>
      </c>
      <c r="G90" s="275">
        <f>ROUND((IF('Ground Base'!G$154&gt;ROUND(((1-GroundCommDiscount31Up-GroundCommIncentive)*'Ground Base'!G85),2),ROUND('Ground Base'!G$154*(1+GroundFuelSurcharge),2),ROUND(((1-GroundCommDiscount31Up-GroundCommIncentive)*'Ground Base'!G85)*(1+GroundFuelSurcharge),2)))*(1+FedEx_Markup),2)</f>
        <v>56.02</v>
      </c>
      <c r="H90" s="275">
        <f>ROUND((IF('Ground Base'!H$154&gt;ROUND(((1-GroundCommDiscount31Up-GroundCommIncentive)*'Ground Base'!H85),2),ROUND('Ground Base'!H$154*(1+GroundFuelSurcharge),2),ROUND(((1-GroundCommDiscount31Up-GroundCommIncentive)*'Ground Base'!H85)*(1+GroundFuelSurcharge),2)))*(1+FedEx_Markup),2)</f>
        <v>58.09</v>
      </c>
      <c r="I90" s="275">
        <f>ROUND((IF('Ground Base'!I$154&gt;ROUND(((1-GroundAKHIDiscount)*'Ground Base'!I85),2),ROUND('Ground Base'!I$154*(1+GroundFuelSurcharge),2),ROUND(((1-GroundAKHIDiscount)*'Ground Base'!I85)*(1+GroundFuelSurcharge),2)))*(1+FedEx_Markup),2)</f>
        <v>357.79</v>
      </c>
      <c r="J90" s="275">
        <f>ROUND((IF('Ground Base'!J$154&gt;ROUND(((1-GroundAKHIDiscount)*'Ground Base'!J85),2),ROUND('Ground Base'!J$154*(1+GroundFuelSurcharge),2),ROUND(((1-GroundAKHIDiscount)*'Ground Base'!J85)*(1+GroundFuelSurcharge),2)))*(1+FedEx_Markup),2)</f>
        <v>357.79</v>
      </c>
      <c r="K90" s="275">
        <f>ROUND((IF('Ground Base'!K$154&gt;ROUND(((1-GroundZone51Discount)*'Ground Base'!K85),2),ROUND('Ground Base'!K$154*(1+GroundFuelSurcharge),2),ROUND(((1-GroundZone51Discount)*'Ground Base'!K85)*(1+GroundFuelSurcharge),2)))*(1+FedEx_Markup),2)</f>
        <v>94.86</v>
      </c>
      <c r="L90" s="275">
        <f>ROUND((IF('Ground Base'!L$154&gt;ROUND(((1-GroundZone54Discount)*'Ground Base'!L85),2),ROUND('Ground Base'!L$154*(1+GroundFuelSurcharge),2),ROUND(((1-GroundZone54Discount)*'Ground Base'!L85)*(1+GroundFuelSurcharge),2)))*(1+FedEx_Markup),2)</f>
        <v>115.78</v>
      </c>
    </row>
    <row r="91" ht="12.75" customHeight="1">
      <c r="A91" s="274">
        <v>84.0</v>
      </c>
      <c r="B91" s="275">
        <f>ROUND((IF('Ground Base'!B$154&gt;ROUND(((1-GroundCommDiscount31Up-GroundCommIncentive)*'Ground Base'!B86),2),ROUND('Ground Base'!B$154*(1+GroundFuelSurcharge),2),ROUND(((1-GroundCommDiscount31Up-GroundCommIncentive)*'Ground Base'!B86)*(1+GroundFuelSurcharge),2)))*(1+FedEx_Markup),2)</f>
        <v>27.29</v>
      </c>
      <c r="C91" s="275">
        <f>ROUND((IF('Ground Base'!C$154&gt;ROUND(((1-GroundCommDiscount31Up-GroundCommIncentive)*'Ground Base'!C86),2),ROUND('Ground Base'!C$154*(1+GroundFuelSurcharge),2),ROUND(((1-GroundCommDiscount31Up-GroundCommIncentive)*'Ground Base'!C86)*(1+GroundFuelSurcharge),2)))*(1+FedEx_Markup),2)</f>
        <v>30.82</v>
      </c>
      <c r="D91" s="275">
        <f>ROUND((IF('Ground Base'!D$154&gt;ROUND(((1-GroundCommDiscount31Up-GroundCommIncentive)*'Ground Base'!D86),2),ROUND('Ground Base'!D$154*(1+GroundFuelSurcharge),2),ROUND(((1-GroundCommDiscount31Up-GroundCommIncentive)*'Ground Base'!D86)*(1+GroundFuelSurcharge),2)))*(1+FedEx_Markup),2)</f>
        <v>34.75</v>
      </c>
      <c r="E91" s="275">
        <f>ROUND((IF('Ground Base'!E$154&gt;ROUND(((1-GroundCommDiscount31Up-GroundCommIncentive)*'Ground Base'!E86),2),ROUND('Ground Base'!E$154*(1+GroundFuelSurcharge),2),ROUND(((1-GroundCommDiscount31Up-GroundCommIncentive)*'Ground Base'!E86)*(1+GroundFuelSurcharge),2)))*(1+FedEx_Markup),2)</f>
        <v>39.78</v>
      </c>
      <c r="F91" s="275">
        <f>ROUND((IF('Ground Base'!F$154&gt;ROUND(((1-GroundCommDiscount31Up-GroundCommIncentive)*'Ground Base'!F86),2),ROUND('Ground Base'!F$154*(1+GroundFuelSurcharge),2),ROUND(((1-GroundCommDiscount31Up-GroundCommIncentive)*'Ground Base'!F86)*(1+GroundFuelSurcharge),2)))*(1+FedEx_Markup),2)</f>
        <v>48.24</v>
      </c>
      <c r="G91" s="275">
        <f>ROUND((IF('Ground Base'!G$154&gt;ROUND(((1-GroundCommDiscount31Up-GroundCommIncentive)*'Ground Base'!G86),2),ROUND('Ground Base'!G$154*(1+GroundFuelSurcharge),2),ROUND(((1-GroundCommDiscount31Up-GroundCommIncentive)*'Ground Base'!G86)*(1+GroundFuelSurcharge),2)))*(1+FedEx_Markup),2)</f>
        <v>56.68</v>
      </c>
      <c r="H91" s="275">
        <f>ROUND((IF('Ground Base'!H$154&gt;ROUND(((1-GroundCommDiscount31Up-GroundCommIncentive)*'Ground Base'!H86),2),ROUND('Ground Base'!H$154*(1+GroundFuelSurcharge),2),ROUND(((1-GroundCommDiscount31Up-GroundCommIncentive)*'Ground Base'!H86)*(1+GroundFuelSurcharge),2)))*(1+FedEx_Markup),2)</f>
        <v>58.54</v>
      </c>
      <c r="I91" s="275">
        <f>ROUND((IF('Ground Base'!I$154&gt;ROUND(((1-GroundAKHIDiscount)*'Ground Base'!I86),2),ROUND('Ground Base'!I$154*(1+GroundFuelSurcharge),2),ROUND(((1-GroundAKHIDiscount)*'Ground Base'!I86)*(1+GroundFuelSurcharge),2)))*(1+FedEx_Markup),2)</f>
        <v>361.93</v>
      </c>
      <c r="J91" s="275">
        <f>ROUND((IF('Ground Base'!J$154&gt;ROUND(((1-GroundAKHIDiscount)*'Ground Base'!J86),2),ROUND('Ground Base'!J$154*(1+GroundFuelSurcharge),2),ROUND(((1-GroundAKHIDiscount)*'Ground Base'!J86)*(1+GroundFuelSurcharge),2)))*(1+FedEx_Markup),2)</f>
        <v>361.93</v>
      </c>
      <c r="K91" s="275">
        <f>ROUND((IF('Ground Base'!K$154&gt;ROUND(((1-GroundZone51Discount)*'Ground Base'!K86),2),ROUND('Ground Base'!K$154*(1+GroundFuelSurcharge),2),ROUND(((1-GroundZone51Discount)*'Ground Base'!K86)*(1+GroundFuelSurcharge),2)))*(1+FedEx_Markup),2)</f>
        <v>94.9</v>
      </c>
      <c r="L91" s="275">
        <f>ROUND((IF('Ground Base'!L$154&gt;ROUND(((1-GroundZone54Discount)*'Ground Base'!L86),2),ROUND('Ground Base'!L$154*(1+GroundFuelSurcharge),2),ROUND(((1-GroundZone54Discount)*'Ground Base'!L86)*(1+GroundFuelSurcharge),2)))*(1+FedEx_Markup),2)</f>
        <v>115.79</v>
      </c>
    </row>
    <row r="92" ht="12.75" customHeight="1">
      <c r="A92" s="274">
        <v>85.0</v>
      </c>
      <c r="B92" s="275">
        <f>ROUND((IF('Ground Base'!B$154&gt;ROUND(((1-GroundCommDiscount31Up-GroundCommIncentive)*'Ground Base'!B87),2),ROUND('Ground Base'!B$154*(1+GroundFuelSurcharge),2),ROUND(((1-GroundCommDiscount31Up-GroundCommIncentive)*'Ground Base'!B87)*(1+GroundFuelSurcharge),2)))*(1+FedEx_Markup),2)</f>
        <v>28.03</v>
      </c>
      <c r="C92" s="275">
        <f>ROUND((IF('Ground Base'!C$154&gt;ROUND(((1-GroundCommDiscount31Up-GroundCommIncentive)*'Ground Base'!C87),2),ROUND('Ground Base'!C$154*(1+GroundFuelSurcharge),2),ROUND(((1-GroundCommDiscount31Up-GroundCommIncentive)*'Ground Base'!C87)*(1+GroundFuelSurcharge),2)))*(1+FedEx_Markup),2)</f>
        <v>30.83</v>
      </c>
      <c r="D92" s="275">
        <f>ROUND((IF('Ground Base'!D$154&gt;ROUND(((1-GroundCommDiscount31Up-GroundCommIncentive)*'Ground Base'!D87),2),ROUND('Ground Base'!D$154*(1+GroundFuelSurcharge),2),ROUND(((1-GroundCommDiscount31Up-GroundCommIncentive)*'Ground Base'!D87)*(1+GroundFuelSurcharge),2)))*(1+FedEx_Markup),2)</f>
        <v>34.78</v>
      </c>
      <c r="E92" s="275">
        <f>ROUND((IF('Ground Base'!E$154&gt;ROUND(((1-GroundCommDiscount31Up-GroundCommIncentive)*'Ground Base'!E87),2),ROUND('Ground Base'!E$154*(1+GroundFuelSurcharge),2),ROUND(((1-GroundCommDiscount31Up-GroundCommIncentive)*'Ground Base'!E87)*(1+GroundFuelSurcharge),2)))*(1+FedEx_Markup),2)</f>
        <v>40.42</v>
      </c>
      <c r="F92" s="275">
        <f>ROUND((IF('Ground Base'!F$154&gt;ROUND(((1-GroundCommDiscount31Up-GroundCommIncentive)*'Ground Base'!F87),2),ROUND('Ground Base'!F$154*(1+GroundFuelSurcharge),2),ROUND(((1-GroundCommDiscount31Up-GroundCommIncentive)*'Ground Base'!F87)*(1+GroundFuelSurcharge),2)))*(1+FedEx_Markup),2)</f>
        <v>48.53</v>
      </c>
      <c r="G92" s="275">
        <f>ROUND((IF('Ground Base'!G$154&gt;ROUND(((1-GroundCommDiscount31Up-GroundCommIncentive)*'Ground Base'!G87),2),ROUND('Ground Base'!G$154*(1+GroundFuelSurcharge),2),ROUND(((1-GroundCommDiscount31Up-GroundCommIncentive)*'Ground Base'!G87)*(1+GroundFuelSurcharge),2)))*(1+FedEx_Markup),2)</f>
        <v>57.29</v>
      </c>
      <c r="H92" s="275">
        <f>ROUND((IF('Ground Base'!H$154&gt;ROUND(((1-GroundCommDiscount31Up-GroundCommIncentive)*'Ground Base'!H87),2),ROUND('Ground Base'!H$154*(1+GroundFuelSurcharge),2),ROUND(((1-GroundCommDiscount31Up-GroundCommIncentive)*'Ground Base'!H87)*(1+GroundFuelSurcharge),2)))*(1+FedEx_Markup),2)</f>
        <v>59.17</v>
      </c>
      <c r="I92" s="275">
        <f>ROUND((IF('Ground Base'!I$154&gt;ROUND(((1-GroundAKHIDiscount)*'Ground Base'!I87),2),ROUND('Ground Base'!I$154*(1+GroundFuelSurcharge),2),ROUND(((1-GroundAKHIDiscount)*'Ground Base'!I87)*(1+GroundFuelSurcharge),2)))*(1+FedEx_Markup),2)</f>
        <v>366.14</v>
      </c>
      <c r="J92" s="275">
        <f>ROUND((IF('Ground Base'!J$154&gt;ROUND(((1-GroundAKHIDiscount)*'Ground Base'!J87),2),ROUND('Ground Base'!J$154*(1+GroundFuelSurcharge),2),ROUND(((1-GroundAKHIDiscount)*'Ground Base'!J87)*(1+GroundFuelSurcharge),2)))*(1+FedEx_Markup),2)</f>
        <v>366.14</v>
      </c>
      <c r="K92" s="275">
        <f>ROUND((IF('Ground Base'!K$154&gt;ROUND(((1-GroundZone51Discount)*'Ground Base'!K87),2),ROUND('Ground Base'!K$154*(1+GroundFuelSurcharge),2),ROUND(((1-GroundZone51Discount)*'Ground Base'!K87)*(1+GroundFuelSurcharge),2)))*(1+FedEx_Markup),2)</f>
        <v>95.21</v>
      </c>
      <c r="L92" s="275">
        <f>ROUND((IF('Ground Base'!L$154&gt;ROUND(((1-GroundZone54Discount)*'Ground Base'!L87),2),ROUND('Ground Base'!L$154*(1+GroundFuelSurcharge),2),ROUND(((1-GroundZone54Discount)*'Ground Base'!L87)*(1+GroundFuelSurcharge),2)))*(1+FedEx_Markup),2)</f>
        <v>118.38</v>
      </c>
    </row>
    <row r="93" ht="12.75" customHeight="1">
      <c r="A93" s="274">
        <v>86.0</v>
      </c>
      <c r="B93" s="275">
        <f>ROUND((IF('Ground Base'!B$154&gt;ROUND(((1-GroundCommDiscount31Up-GroundCommIncentive)*'Ground Base'!B88),2),ROUND('Ground Base'!B$154*(1+GroundFuelSurcharge),2),ROUND(((1-GroundCommDiscount31Up-GroundCommIncentive)*'Ground Base'!B88)*(1+GroundFuelSurcharge),2)))*(1+FedEx_Markup),2)</f>
        <v>29.04</v>
      </c>
      <c r="C93" s="275">
        <f>ROUND((IF('Ground Base'!C$154&gt;ROUND(((1-GroundCommDiscount31Up-GroundCommIncentive)*'Ground Base'!C88),2),ROUND('Ground Base'!C$154*(1+GroundFuelSurcharge),2),ROUND(((1-GroundCommDiscount31Up-GroundCommIncentive)*'Ground Base'!C88)*(1+GroundFuelSurcharge),2)))*(1+FedEx_Markup),2)</f>
        <v>32.53</v>
      </c>
      <c r="D93" s="275">
        <f>ROUND((IF('Ground Base'!D$154&gt;ROUND(((1-GroundCommDiscount31Up-GroundCommIncentive)*'Ground Base'!D88),2),ROUND('Ground Base'!D$154*(1+GroundFuelSurcharge),2),ROUND(((1-GroundCommDiscount31Up-GroundCommIncentive)*'Ground Base'!D88)*(1+GroundFuelSurcharge),2)))*(1+FedEx_Markup),2)</f>
        <v>36.13</v>
      </c>
      <c r="E93" s="275">
        <f>ROUND((IF('Ground Base'!E$154&gt;ROUND(((1-GroundCommDiscount31Up-GroundCommIncentive)*'Ground Base'!E88),2),ROUND('Ground Base'!E$154*(1+GroundFuelSurcharge),2),ROUND(((1-GroundCommDiscount31Up-GroundCommIncentive)*'Ground Base'!E88)*(1+GroundFuelSurcharge),2)))*(1+FedEx_Markup),2)</f>
        <v>41.18</v>
      </c>
      <c r="F93" s="275">
        <f>ROUND((IF('Ground Base'!F$154&gt;ROUND(((1-GroundCommDiscount31Up-GroundCommIncentive)*'Ground Base'!F88),2),ROUND('Ground Base'!F$154*(1+GroundFuelSurcharge),2),ROUND(((1-GroundCommDiscount31Up-GroundCommIncentive)*'Ground Base'!F88)*(1+GroundFuelSurcharge),2)))*(1+FedEx_Markup),2)</f>
        <v>49.57</v>
      </c>
      <c r="G93" s="275">
        <f>ROUND((IF('Ground Base'!G$154&gt;ROUND(((1-GroundCommDiscount31Up-GroundCommIncentive)*'Ground Base'!G88),2),ROUND('Ground Base'!G$154*(1+GroundFuelSurcharge),2),ROUND(((1-GroundCommDiscount31Up-GroundCommIncentive)*'Ground Base'!G88)*(1+GroundFuelSurcharge),2)))*(1+FedEx_Markup),2)</f>
        <v>58.9</v>
      </c>
      <c r="H93" s="275">
        <f>ROUND((IF('Ground Base'!H$154&gt;ROUND(((1-GroundCommDiscount31Up-GroundCommIncentive)*'Ground Base'!H88),2),ROUND('Ground Base'!H$154*(1+GroundFuelSurcharge),2),ROUND(((1-GroundCommDiscount31Up-GroundCommIncentive)*'Ground Base'!H88)*(1+GroundFuelSurcharge),2)))*(1+FedEx_Markup),2)</f>
        <v>60.97</v>
      </c>
      <c r="I93" s="275">
        <f>ROUND((IF('Ground Base'!I$154&gt;ROUND(((1-GroundAKHIDiscount)*'Ground Base'!I88),2),ROUND('Ground Base'!I$154*(1+GroundFuelSurcharge),2),ROUND(((1-GroundAKHIDiscount)*'Ground Base'!I88)*(1+GroundFuelSurcharge),2)))*(1+FedEx_Markup),2)</f>
        <v>369.98</v>
      </c>
      <c r="J93" s="275">
        <f>ROUND((IF('Ground Base'!J$154&gt;ROUND(((1-GroundAKHIDiscount)*'Ground Base'!J88),2),ROUND('Ground Base'!J$154*(1+GroundFuelSurcharge),2),ROUND(((1-GroundAKHIDiscount)*'Ground Base'!J88)*(1+GroundFuelSurcharge),2)))*(1+FedEx_Markup),2)</f>
        <v>369.98</v>
      </c>
      <c r="K93" s="275">
        <f>ROUND((IF('Ground Base'!K$154&gt;ROUND(((1-GroundZone51Discount)*'Ground Base'!K88),2),ROUND('Ground Base'!K$154*(1+GroundFuelSurcharge),2),ROUND(((1-GroundZone51Discount)*'Ground Base'!K88)*(1+GroundFuelSurcharge),2)))*(1+FedEx_Markup),2)</f>
        <v>95.21</v>
      </c>
      <c r="L93" s="275">
        <f>ROUND((IF('Ground Base'!L$154&gt;ROUND(((1-GroundZone54Discount)*'Ground Base'!L88),2),ROUND('Ground Base'!L$154*(1+GroundFuelSurcharge),2),ROUND(((1-GroundZone54Discount)*'Ground Base'!L88)*(1+GroundFuelSurcharge),2)))*(1+FedEx_Markup),2)</f>
        <v>118.38</v>
      </c>
    </row>
    <row r="94" ht="12.75" customHeight="1">
      <c r="A94" s="274">
        <v>87.0</v>
      </c>
      <c r="B94" s="275">
        <f>ROUND((IF('Ground Base'!B$154&gt;ROUND(((1-GroundCommDiscount31Up-GroundCommIncentive)*'Ground Base'!B89),2),ROUND('Ground Base'!B$154*(1+GroundFuelSurcharge),2),ROUND(((1-GroundCommDiscount31Up-GroundCommIncentive)*'Ground Base'!B89)*(1+GroundFuelSurcharge),2)))*(1+FedEx_Markup),2)</f>
        <v>29.65</v>
      </c>
      <c r="C94" s="275">
        <f>ROUND((IF('Ground Base'!C$154&gt;ROUND(((1-GroundCommDiscount31Up-GroundCommIncentive)*'Ground Base'!C89),2),ROUND('Ground Base'!C$154*(1+GroundFuelSurcharge),2),ROUND(((1-GroundCommDiscount31Up-GroundCommIncentive)*'Ground Base'!C89)*(1+GroundFuelSurcharge),2)))*(1+FedEx_Markup),2)</f>
        <v>32.56</v>
      </c>
      <c r="D94" s="275">
        <f>ROUND((IF('Ground Base'!D$154&gt;ROUND(((1-GroundCommDiscount31Up-GroundCommIncentive)*'Ground Base'!D89),2),ROUND('Ground Base'!D$154*(1+GroundFuelSurcharge),2),ROUND(((1-GroundCommDiscount31Up-GroundCommIncentive)*'Ground Base'!D89)*(1+GroundFuelSurcharge),2)))*(1+FedEx_Markup),2)</f>
        <v>36.13</v>
      </c>
      <c r="E94" s="275">
        <f>ROUND((IF('Ground Base'!E$154&gt;ROUND(((1-GroundCommDiscount31Up-GroundCommIncentive)*'Ground Base'!E89),2),ROUND('Ground Base'!E$154*(1+GroundFuelSurcharge),2),ROUND(((1-GroundCommDiscount31Up-GroundCommIncentive)*'Ground Base'!E89)*(1+GroundFuelSurcharge),2)))*(1+FedEx_Markup),2)</f>
        <v>41.18</v>
      </c>
      <c r="F94" s="275">
        <f>ROUND((IF('Ground Base'!F$154&gt;ROUND(((1-GroundCommDiscount31Up-GroundCommIncentive)*'Ground Base'!F89),2),ROUND('Ground Base'!F$154*(1+GroundFuelSurcharge),2),ROUND(((1-GroundCommDiscount31Up-GroundCommIncentive)*'Ground Base'!F89)*(1+GroundFuelSurcharge),2)))*(1+FedEx_Markup),2)</f>
        <v>50.22</v>
      </c>
      <c r="G94" s="275">
        <f>ROUND((IF('Ground Base'!G$154&gt;ROUND(((1-GroundCommDiscount31Up-GroundCommIncentive)*'Ground Base'!G89),2),ROUND('Ground Base'!G$154*(1+GroundFuelSurcharge),2),ROUND(((1-GroundCommDiscount31Up-GroundCommIncentive)*'Ground Base'!G89)*(1+GroundFuelSurcharge),2)))*(1+FedEx_Markup),2)</f>
        <v>58.95</v>
      </c>
      <c r="H94" s="275">
        <f>ROUND((IF('Ground Base'!H$154&gt;ROUND(((1-GroundCommDiscount31Up-GroundCommIncentive)*'Ground Base'!H89),2),ROUND('Ground Base'!H$154*(1+GroundFuelSurcharge),2),ROUND(((1-GroundCommDiscount31Up-GroundCommIncentive)*'Ground Base'!H89)*(1+GroundFuelSurcharge),2)))*(1+FedEx_Markup),2)</f>
        <v>61.08</v>
      </c>
      <c r="I94" s="275">
        <f>ROUND((IF('Ground Base'!I$154&gt;ROUND(((1-GroundAKHIDiscount)*'Ground Base'!I89),2),ROUND('Ground Base'!I$154*(1+GroundFuelSurcharge),2),ROUND(((1-GroundAKHIDiscount)*'Ground Base'!I89)*(1+GroundFuelSurcharge),2)))*(1+FedEx_Markup),2)</f>
        <v>374.15</v>
      </c>
      <c r="J94" s="275">
        <f>ROUND((IF('Ground Base'!J$154&gt;ROUND(((1-GroundAKHIDiscount)*'Ground Base'!J89),2),ROUND('Ground Base'!J$154*(1+GroundFuelSurcharge),2),ROUND(((1-GroundAKHIDiscount)*'Ground Base'!J89)*(1+GroundFuelSurcharge),2)))*(1+FedEx_Markup),2)</f>
        <v>374.15</v>
      </c>
      <c r="K94" s="275">
        <f>ROUND((IF('Ground Base'!K$154&gt;ROUND(((1-GroundZone51Discount)*'Ground Base'!K89),2),ROUND('Ground Base'!K$154*(1+GroundFuelSurcharge),2),ROUND(((1-GroundZone51Discount)*'Ground Base'!K89)*(1+GroundFuelSurcharge),2)))*(1+FedEx_Markup),2)</f>
        <v>96.34</v>
      </c>
      <c r="L94" s="275">
        <f>ROUND((IF('Ground Base'!L$154&gt;ROUND(((1-GroundZone54Discount)*'Ground Base'!L89),2),ROUND('Ground Base'!L$154*(1+GroundFuelSurcharge),2),ROUND(((1-GroundZone54Discount)*'Ground Base'!L89)*(1+GroundFuelSurcharge),2)))*(1+FedEx_Markup),2)</f>
        <v>120.32</v>
      </c>
    </row>
    <row r="95" ht="12.75" customHeight="1">
      <c r="A95" s="274">
        <v>88.0</v>
      </c>
      <c r="B95" s="275">
        <f>ROUND((IF('Ground Base'!B$154&gt;ROUND(((1-GroundCommDiscount31Up-GroundCommIncentive)*'Ground Base'!B90),2),ROUND('Ground Base'!B$154*(1+GroundFuelSurcharge),2),ROUND(((1-GroundCommDiscount31Up-GroundCommIncentive)*'Ground Base'!B90)*(1+GroundFuelSurcharge),2)))*(1+FedEx_Markup),2)</f>
        <v>30.87</v>
      </c>
      <c r="C95" s="275">
        <f>ROUND((IF('Ground Base'!C$154&gt;ROUND(((1-GroundCommDiscount31Up-GroundCommIncentive)*'Ground Base'!C90),2),ROUND('Ground Base'!C$154*(1+GroundFuelSurcharge),2),ROUND(((1-GroundCommDiscount31Up-GroundCommIncentive)*'Ground Base'!C90)*(1+GroundFuelSurcharge),2)))*(1+FedEx_Markup),2)</f>
        <v>33.28</v>
      </c>
      <c r="D95" s="275">
        <f>ROUND((IF('Ground Base'!D$154&gt;ROUND(((1-GroundCommDiscount31Up-GroundCommIncentive)*'Ground Base'!D90),2),ROUND('Ground Base'!D$154*(1+GroundFuelSurcharge),2),ROUND(((1-GroundCommDiscount31Up-GroundCommIncentive)*'Ground Base'!D90)*(1+GroundFuelSurcharge),2)))*(1+FedEx_Markup),2)</f>
        <v>37.27</v>
      </c>
      <c r="E95" s="275">
        <f>ROUND((IF('Ground Base'!E$154&gt;ROUND(((1-GroundCommDiscount31Up-GroundCommIncentive)*'Ground Base'!E90),2),ROUND('Ground Base'!E$154*(1+GroundFuelSurcharge),2),ROUND(((1-GroundCommDiscount31Up-GroundCommIncentive)*'Ground Base'!E90)*(1+GroundFuelSurcharge),2)))*(1+FedEx_Markup),2)</f>
        <v>42.52</v>
      </c>
      <c r="F95" s="275">
        <f>ROUND((IF('Ground Base'!F$154&gt;ROUND(((1-GroundCommDiscount31Up-GroundCommIncentive)*'Ground Base'!F90),2),ROUND('Ground Base'!F$154*(1+GroundFuelSurcharge),2),ROUND(((1-GroundCommDiscount31Up-GroundCommIncentive)*'Ground Base'!F90)*(1+GroundFuelSurcharge),2)))*(1+FedEx_Markup),2)</f>
        <v>50.4</v>
      </c>
      <c r="G95" s="275">
        <f>ROUND((IF('Ground Base'!G$154&gt;ROUND(((1-GroundCommDiscount31Up-GroundCommIncentive)*'Ground Base'!G90),2),ROUND('Ground Base'!G$154*(1+GroundFuelSurcharge),2),ROUND(((1-GroundCommDiscount31Up-GroundCommIncentive)*'Ground Base'!G90)*(1+GroundFuelSurcharge),2)))*(1+FedEx_Markup),2)</f>
        <v>59.02</v>
      </c>
      <c r="H95" s="275">
        <f>ROUND((IF('Ground Base'!H$154&gt;ROUND(((1-GroundCommDiscount31Up-GroundCommIncentive)*'Ground Base'!H90),2),ROUND('Ground Base'!H$154*(1+GroundFuelSurcharge),2),ROUND(((1-GroundCommDiscount31Up-GroundCommIncentive)*'Ground Base'!H90)*(1+GroundFuelSurcharge),2)))*(1+FedEx_Markup),2)</f>
        <v>61.74</v>
      </c>
      <c r="I95" s="275">
        <f>ROUND((IF('Ground Base'!I$154&gt;ROUND(((1-GroundAKHIDiscount)*'Ground Base'!I90),2),ROUND('Ground Base'!I$154*(1+GroundFuelSurcharge),2),ROUND(((1-GroundAKHIDiscount)*'Ground Base'!I90)*(1+GroundFuelSurcharge),2)))*(1+FedEx_Markup),2)</f>
        <v>378.28</v>
      </c>
      <c r="J95" s="275">
        <f>ROUND((IF('Ground Base'!J$154&gt;ROUND(((1-GroundAKHIDiscount)*'Ground Base'!J90),2),ROUND('Ground Base'!J$154*(1+GroundFuelSurcharge),2),ROUND(((1-GroundAKHIDiscount)*'Ground Base'!J90)*(1+GroundFuelSurcharge),2)))*(1+FedEx_Markup),2)</f>
        <v>378.28</v>
      </c>
      <c r="K95" s="275">
        <f>ROUND((IF('Ground Base'!K$154&gt;ROUND(((1-GroundZone51Discount)*'Ground Base'!K90),2),ROUND('Ground Base'!K$154*(1+GroundFuelSurcharge),2),ROUND(((1-GroundZone51Discount)*'Ground Base'!K90)*(1+GroundFuelSurcharge),2)))*(1+FedEx_Markup),2)</f>
        <v>96.35</v>
      </c>
      <c r="L95" s="275">
        <f>ROUND((IF('Ground Base'!L$154&gt;ROUND(((1-GroundZone54Discount)*'Ground Base'!L90),2),ROUND('Ground Base'!L$154*(1+GroundFuelSurcharge),2),ROUND(((1-GroundZone54Discount)*'Ground Base'!L90)*(1+GroundFuelSurcharge),2)))*(1+FedEx_Markup),2)</f>
        <v>120.35</v>
      </c>
    </row>
    <row r="96" ht="12.75" customHeight="1">
      <c r="A96" s="274">
        <v>89.0</v>
      </c>
      <c r="B96" s="275">
        <f>ROUND((IF('Ground Base'!B$154&gt;ROUND(((1-GroundCommDiscount31Up-GroundCommIncentive)*'Ground Base'!B91),2),ROUND('Ground Base'!B$154*(1+GroundFuelSurcharge),2),ROUND(((1-GroundCommDiscount31Up-GroundCommIncentive)*'Ground Base'!B91)*(1+GroundFuelSurcharge),2)))*(1+FedEx_Markup),2)</f>
        <v>32.26</v>
      </c>
      <c r="C96" s="275">
        <f>ROUND((IF('Ground Base'!C$154&gt;ROUND(((1-GroundCommDiscount31Up-GroundCommIncentive)*'Ground Base'!C91),2),ROUND('Ground Base'!C$154*(1+GroundFuelSurcharge),2),ROUND(((1-GroundCommDiscount31Up-GroundCommIncentive)*'Ground Base'!C91)*(1+GroundFuelSurcharge),2)))*(1+FedEx_Markup),2)</f>
        <v>34.21</v>
      </c>
      <c r="D96" s="275">
        <f>ROUND((IF('Ground Base'!D$154&gt;ROUND(((1-GroundCommDiscount31Up-GroundCommIncentive)*'Ground Base'!D91),2),ROUND('Ground Base'!D$154*(1+GroundFuelSurcharge),2),ROUND(((1-GroundCommDiscount31Up-GroundCommIncentive)*'Ground Base'!D91)*(1+GroundFuelSurcharge),2)))*(1+FedEx_Markup),2)</f>
        <v>38.01</v>
      </c>
      <c r="E96" s="275">
        <f>ROUND((IF('Ground Base'!E$154&gt;ROUND(((1-GroundCommDiscount31Up-GroundCommIncentive)*'Ground Base'!E91),2),ROUND('Ground Base'!E$154*(1+GroundFuelSurcharge),2),ROUND(((1-GroundCommDiscount31Up-GroundCommIncentive)*'Ground Base'!E91)*(1+GroundFuelSurcharge),2)))*(1+FedEx_Markup),2)</f>
        <v>42.65</v>
      </c>
      <c r="F96" s="275">
        <f>ROUND((IF('Ground Base'!F$154&gt;ROUND(((1-GroundCommDiscount31Up-GroundCommIncentive)*'Ground Base'!F91),2),ROUND('Ground Base'!F$154*(1+GroundFuelSurcharge),2),ROUND(((1-GroundCommDiscount31Up-GroundCommIncentive)*'Ground Base'!F91)*(1+GroundFuelSurcharge),2)))*(1+FedEx_Markup),2)</f>
        <v>51.5</v>
      </c>
      <c r="G96" s="275">
        <f>ROUND((IF('Ground Base'!G$154&gt;ROUND(((1-GroundCommDiscount31Up-GroundCommIncentive)*'Ground Base'!G91),2),ROUND('Ground Base'!G$154*(1+GroundFuelSurcharge),2),ROUND(((1-GroundCommDiscount31Up-GroundCommIncentive)*'Ground Base'!G91)*(1+GroundFuelSurcharge),2)))*(1+FedEx_Markup),2)</f>
        <v>59.63</v>
      </c>
      <c r="H96" s="275">
        <f>ROUND((IF('Ground Base'!H$154&gt;ROUND(((1-GroundCommDiscount31Up-GroundCommIncentive)*'Ground Base'!H91),2),ROUND('Ground Base'!H$154*(1+GroundFuelSurcharge),2),ROUND(((1-GroundCommDiscount31Up-GroundCommIncentive)*'Ground Base'!H91)*(1+GroundFuelSurcharge),2)))*(1+FedEx_Markup),2)</f>
        <v>63.04</v>
      </c>
      <c r="I96" s="275">
        <f>ROUND((IF('Ground Base'!I$154&gt;ROUND(((1-GroundAKHIDiscount)*'Ground Base'!I91),2),ROUND('Ground Base'!I$154*(1+GroundFuelSurcharge),2),ROUND(((1-GroundAKHIDiscount)*'Ground Base'!I91)*(1+GroundFuelSurcharge),2)))*(1+FedEx_Markup),2)</f>
        <v>382.24</v>
      </c>
      <c r="J96" s="275">
        <f>ROUND((IF('Ground Base'!J$154&gt;ROUND(((1-GroundAKHIDiscount)*'Ground Base'!J91),2),ROUND('Ground Base'!J$154*(1+GroundFuelSurcharge),2),ROUND(((1-GroundAKHIDiscount)*'Ground Base'!J91)*(1+GroundFuelSurcharge),2)))*(1+FedEx_Markup),2)</f>
        <v>382.24</v>
      </c>
      <c r="K96" s="275">
        <f>ROUND((IF('Ground Base'!K$154&gt;ROUND(((1-GroundZone51Discount)*'Ground Base'!K91),2),ROUND('Ground Base'!K$154*(1+GroundFuelSurcharge),2),ROUND(((1-GroundZone51Discount)*'Ground Base'!K91)*(1+GroundFuelSurcharge),2)))*(1+FedEx_Markup),2)</f>
        <v>96.99</v>
      </c>
      <c r="L96" s="275">
        <f>ROUND((IF('Ground Base'!L$154&gt;ROUND(((1-GroundZone54Discount)*'Ground Base'!L91),2),ROUND('Ground Base'!L$154*(1+GroundFuelSurcharge),2),ROUND(((1-GroundZone54Discount)*'Ground Base'!L91)*(1+GroundFuelSurcharge),2)))*(1+FedEx_Markup),2)</f>
        <v>122.26</v>
      </c>
    </row>
    <row r="97" ht="12.75" customHeight="1">
      <c r="A97" s="274">
        <v>90.0</v>
      </c>
      <c r="B97" s="275">
        <f>ROUND((IF('Ground Base'!B$154&gt;ROUND(((1-GroundCommDiscount31Up-GroundCommIncentive)*'Ground Base'!B92),2),ROUND('Ground Base'!B$154*(1+GroundFuelSurcharge),2),ROUND(((1-GroundCommDiscount31Up-GroundCommIncentive)*'Ground Base'!B92)*(1+GroundFuelSurcharge),2)))*(1+FedEx_Markup),2)</f>
        <v>34.22</v>
      </c>
      <c r="C97" s="275">
        <f>ROUND((IF('Ground Base'!C$154&gt;ROUND(((1-GroundCommDiscount31Up-GroundCommIncentive)*'Ground Base'!C92),2),ROUND('Ground Base'!C$154*(1+GroundFuelSurcharge),2),ROUND(((1-GroundCommDiscount31Up-GroundCommIncentive)*'Ground Base'!C92)*(1+GroundFuelSurcharge),2)))*(1+FedEx_Markup),2)</f>
        <v>35.7</v>
      </c>
      <c r="D97" s="275">
        <f>ROUND((IF('Ground Base'!D$154&gt;ROUND(((1-GroundCommDiscount31Up-GroundCommIncentive)*'Ground Base'!D92),2),ROUND('Ground Base'!D$154*(1+GroundFuelSurcharge),2),ROUND(((1-GroundCommDiscount31Up-GroundCommIncentive)*'Ground Base'!D92)*(1+GroundFuelSurcharge),2)))*(1+FedEx_Markup),2)</f>
        <v>39.65</v>
      </c>
      <c r="E97" s="275">
        <f>ROUND((IF('Ground Base'!E$154&gt;ROUND(((1-GroundCommDiscount31Up-GroundCommIncentive)*'Ground Base'!E92),2),ROUND('Ground Base'!E$154*(1+GroundFuelSurcharge),2),ROUND(((1-GroundCommDiscount31Up-GroundCommIncentive)*'Ground Base'!E92)*(1+GroundFuelSurcharge),2)))*(1+FedEx_Markup),2)</f>
        <v>43.91</v>
      </c>
      <c r="F97" s="275">
        <f>ROUND((IF('Ground Base'!F$154&gt;ROUND(((1-GroundCommDiscount31Up-GroundCommIncentive)*'Ground Base'!F92),2),ROUND('Ground Base'!F$154*(1+GroundFuelSurcharge),2),ROUND(((1-GroundCommDiscount31Up-GroundCommIncentive)*'Ground Base'!F92)*(1+GroundFuelSurcharge),2)))*(1+FedEx_Markup),2)</f>
        <v>52.23</v>
      </c>
      <c r="G97" s="275">
        <f>ROUND((IF('Ground Base'!G$154&gt;ROUND(((1-GroundCommDiscount31Up-GroundCommIncentive)*'Ground Base'!G92),2),ROUND('Ground Base'!G$154*(1+GroundFuelSurcharge),2),ROUND(((1-GroundCommDiscount31Up-GroundCommIncentive)*'Ground Base'!G92)*(1+GroundFuelSurcharge),2)))*(1+FedEx_Markup),2)</f>
        <v>61.01</v>
      </c>
      <c r="H97" s="275">
        <f>ROUND((IF('Ground Base'!H$154&gt;ROUND(((1-GroundCommDiscount31Up-GroundCommIncentive)*'Ground Base'!H92),2),ROUND('Ground Base'!H$154*(1+GroundFuelSurcharge),2),ROUND(((1-GroundCommDiscount31Up-GroundCommIncentive)*'Ground Base'!H92)*(1+GroundFuelSurcharge),2)))*(1+FedEx_Markup),2)</f>
        <v>64.29</v>
      </c>
      <c r="I97" s="275">
        <f>ROUND((IF('Ground Base'!I$154&gt;ROUND(((1-GroundAKHIDiscount)*'Ground Base'!I92),2),ROUND('Ground Base'!I$154*(1+GroundFuelSurcharge),2),ROUND(((1-GroundAKHIDiscount)*'Ground Base'!I92)*(1+GroundFuelSurcharge),2)))*(1+FedEx_Markup),2)</f>
        <v>386.1</v>
      </c>
      <c r="J97" s="275">
        <f>ROUND((IF('Ground Base'!J$154&gt;ROUND(((1-GroundAKHIDiscount)*'Ground Base'!J92),2),ROUND('Ground Base'!J$154*(1+GroundFuelSurcharge),2),ROUND(((1-GroundAKHIDiscount)*'Ground Base'!J92)*(1+GroundFuelSurcharge),2)))*(1+FedEx_Markup),2)</f>
        <v>386.1</v>
      </c>
      <c r="K97" s="275">
        <f>ROUND((IF('Ground Base'!K$154&gt;ROUND(((1-GroundZone51Discount)*'Ground Base'!K92),2),ROUND('Ground Base'!K$154*(1+GroundFuelSurcharge),2),ROUND(((1-GroundZone51Discount)*'Ground Base'!K92)*(1+GroundFuelSurcharge),2)))*(1+FedEx_Markup),2)</f>
        <v>97</v>
      </c>
      <c r="L97" s="275">
        <f>ROUND((IF('Ground Base'!L$154&gt;ROUND(((1-GroundZone54Discount)*'Ground Base'!L92),2),ROUND('Ground Base'!L$154*(1+GroundFuelSurcharge),2),ROUND(((1-GroundZone54Discount)*'Ground Base'!L92)*(1+GroundFuelSurcharge),2)))*(1+FedEx_Markup),2)</f>
        <v>122.26</v>
      </c>
    </row>
    <row r="98" ht="12.75" customHeight="1">
      <c r="A98" s="274">
        <v>91.0</v>
      </c>
      <c r="B98" s="275">
        <f>ROUND((IF('Ground Base'!B$154&gt;ROUND(((1-GroundCommDiscount31Up-GroundCommIncentive)*'Ground Base'!B93),2),ROUND('Ground Base'!B$154*(1+GroundFuelSurcharge),2),ROUND(((1-GroundCommDiscount31Up-GroundCommIncentive)*'Ground Base'!B93)*(1+GroundFuelSurcharge),2)))*(1+FedEx_Markup),2)</f>
        <v>34.22</v>
      </c>
      <c r="C98" s="275">
        <f>ROUND((IF('Ground Base'!C$154&gt;ROUND(((1-GroundCommDiscount31Up-GroundCommIncentive)*'Ground Base'!C93),2),ROUND('Ground Base'!C$154*(1+GroundFuelSurcharge),2),ROUND(((1-GroundCommDiscount31Up-GroundCommIncentive)*'Ground Base'!C93)*(1+GroundFuelSurcharge),2)))*(1+FedEx_Markup),2)</f>
        <v>35.7</v>
      </c>
      <c r="D98" s="275">
        <f>ROUND((IF('Ground Base'!D$154&gt;ROUND(((1-GroundCommDiscount31Up-GroundCommIncentive)*'Ground Base'!D93),2),ROUND('Ground Base'!D$154*(1+GroundFuelSurcharge),2),ROUND(((1-GroundCommDiscount31Up-GroundCommIncentive)*'Ground Base'!D93)*(1+GroundFuelSurcharge),2)))*(1+FedEx_Markup),2)</f>
        <v>39.65</v>
      </c>
      <c r="E98" s="275">
        <f>ROUND((IF('Ground Base'!E$154&gt;ROUND(((1-GroundCommDiscount31Up-GroundCommIncentive)*'Ground Base'!E93),2),ROUND('Ground Base'!E$154*(1+GroundFuelSurcharge),2),ROUND(((1-GroundCommDiscount31Up-GroundCommIncentive)*'Ground Base'!E93)*(1+GroundFuelSurcharge),2)))*(1+FedEx_Markup),2)</f>
        <v>43.91</v>
      </c>
      <c r="F98" s="275">
        <f>ROUND((IF('Ground Base'!F$154&gt;ROUND(((1-GroundCommDiscount31Up-GroundCommIncentive)*'Ground Base'!F93),2),ROUND('Ground Base'!F$154*(1+GroundFuelSurcharge),2),ROUND(((1-GroundCommDiscount31Up-GroundCommIncentive)*'Ground Base'!F93)*(1+GroundFuelSurcharge),2)))*(1+FedEx_Markup),2)</f>
        <v>52.23</v>
      </c>
      <c r="G98" s="275">
        <f>ROUND((IF('Ground Base'!G$154&gt;ROUND(((1-GroundCommDiscount31Up-GroundCommIncentive)*'Ground Base'!G93),2),ROUND('Ground Base'!G$154*(1+GroundFuelSurcharge),2),ROUND(((1-GroundCommDiscount31Up-GroundCommIncentive)*'Ground Base'!G93)*(1+GroundFuelSurcharge),2)))*(1+FedEx_Markup),2)</f>
        <v>61.01</v>
      </c>
      <c r="H98" s="275">
        <f>ROUND((IF('Ground Base'!H$154&gt;ROUND(((1-GroundCommDiscount31Up-GroundCommIncentive)*'Ground Base'!H93),2),ROUND('Ground Base'!H$154*(1+GroundFuelSurcharge),2),ROUND(((1-GroundCommDiscount31Up-GroundCommIncentive)*'Ground Base'!H93)*(1+GroundFuelSurcharge),2)))*(1+FedEx_Markup),2)</f>
        <v>64.29</v>
      </c>
      <c r="I98" s="275">
        <f>ROUND((IF('Ground Base'!I$154&gt;ROUND(((1-GroundAKHIDiscount)*'Ground Base'!I93),2),ROUND('Ground Base'!I$154*(1+GroundFuelSurcharge),2),ROUND(((1-GroundAKHIDiscount)*'Ground Base'!I93)*(1+GroundFuelSurcharge),2)))*(1+FedEx_Markup),2)</f>
        <v>390.23</v>
      </c>
      <c r="J98" s="275">
        <f>ROUND((IF('Ground Base'!J$154&gt;ROUND(((1-GroundAKHIDiscount)*'Ground Base'!J93),2),ROUND('Ground Base'!J$154*(1+GroundFuelSurcharge),2),ROUND(((1-GroundAKHIDiscount)*'Ground Base'!J93)*(1+GroundFuelSurcharge),2)))*(1+FedEx_Markup),2)</f>
        <v>390.23</v>
      </c>
      <c r="K98" s="275">
        <f>ROUND((IF('Ground Base'!K$154&gt;ROUND(((1-GroundZone51Discount)*'Ground Base'!K93),2),ROUND('Ground Base'!K$154*(1+GroundFuelSurcharge),2),ROUND(((1-GroundZone51Discount)*'Ground Base'!K93)*(1+GroundFuelSurcharge),2)))*(1+FedEx_Markup),2)</f>
        <v>97.6</v>
      </c>
      <c r="L98" s="275">
        <f>ROUND((IF('Ground Base'!L$154&gt;ROUND(((1-GroundZone54Discount)*'Ground Base'!L93),2),ROUND('Ground Base'!L$154*(1+GroundFuelSurcharge),2),ROUND(((1-GroundZone54Discount)*'Ground Base'!L93)*(1+GroundFuelSurcharge),2)))*(1+FedEx_Markup),2)</f>
        <v>124.55</v>
      </c>
    </row>
    <row r="99" ht="12.75" customHeight="1">
      <c r="A99" s="274">
        <v>92.0</v>
      </c>
      <c r="B99" s="275">
        <f>ROUND((IF('Ground Base'!B$154&gt;ROUND(((1-GroundCommDiscount31Up-GroundCommIncentive)*'Ground Base'!B94),2),ROUND('Ground Base'!B$154*(1+GroundFuelSurcharge),2),ROUND(((1-GroundCommDiscount31Up-GroundCommIncentive)*'Ground Base'!B94)*(1+GroundFuelSurcharge),2)))*(1+FedEx_Markup),2)</f>
        <v>34.99</v>
      </c>
      <c r="C99" s="275">
        <f>ROUND((IF('Ground Base'!C$154&gt;ROUND(((1-GroundCommDiscount31Up-GroundCommIncentive)*'Ground Base'!C94),2),ROUND('Ground Base'!C$154*(1+GroundFuelSurcharge),2),ROUND(((1-GroundCommDiscount31Up-GroundCommIncentive)*'Ground Base'!C94)*(1+GroundFuelSurcharge),2)))*(1+FedEx_Markup),2)</f>
        <v>36.03</v>
      </c>
      <c r="D99" s="275">
        <f>ROUND((IF('Ground Base'!D$154&gt;ROUND(((1-GroundCommDiscount31Up-GroundCommIncentive)*'Ground Base'!D94),2),ROUND('Ground Base'!D$154*(1+GroundFuelSurcharge),2),ROUND(((1-GroundCommDiscount31Up-GroundCommIncentive)*'Ground Base'!D94)*(1+GroundFuelSurcharge),2)))*(1+FedEx_Markup),2)</f>
        <v>39.87</v>
      </c>
      <c r="E99" s="275">
        <f>ROUND((IF('Ground Base'!E$154&gt;ROUND(((1-GroundCommDiscount31Up-GroundCommIncentive)*'Ground Base'!E94),2),ROUND('Ground Base'!E$154*(1+GroundFuelSurcharge),2),ROUND(((1-GroundCommDiscount31Up-GroundCommIncentive)*'Ground Base'!E94)*(1+GroundFuelSurcharge),2)))*(1+FedEx_Markup),2)</f>
        <v>44.33</v>
      </c>
      <c r="F99" s="275">
        <f>ROUND((IF('Ground Base'!F$154&gt;ROUND(((1-GroundCommDiscount31Up-GroundCommIncentive)*'Ground Base'!F94),2),ROUND('Ground Base'!F$154*(1+GroundFuelSurcharge),2),ROUND(((1-GroundCommDiscount31Up-GroundCommIncentive)*'Ground Base'!F94)*(1+GroundFuelSurcharge),2)))*(1+FedEx_Markup),2)</f>
        <v>52.88</v>
      </c>
      <c r="G99" s="275">
        <f>ROUND((IF('Ground Base'!G$154&gt;ROUND(((1-GroundCommDiscount31Up-GroundCommIncentive)*'Ground Base'!G94),2),ROUND('Ground Base'!G$154*(1+GroundFuelSurcharge),2),ROUND(((1-GroundCommDiscount31Up-GroundCommIncentive)*'Ground Base'!G94)*(1+GroundFuelSurcharge),2)))*(1+FedEx_Markup),2)</f>
        <v>61.02</v>
      </c>
      <c r="H99" s="275">
        <f>ROUND((IF('Ground Base'!H$154&gt;ROUND(((1-GroundCommDiscount31Up-GroundCommIncentive)*'Ground Base'!H94),2),ROUND('Ground Base'!H$154*(1+GroundFuelSurcharge),2),ROUND(((1-GroundCommDiscount31Up-GroundCommIncentive)*'Ground Base'!H94)*(1+GroundFuelSurcharge),2)))*(1+FedEx_Markup),2)</f>
        <v>64.48</v>
      </c>
      <c r="I99" s="275">
        <f>ROUND((IF('Ground Base'!I$154&gt;ROUND(((1-GroundAKHIDiscount)*'Ground Base'!I94),2),ROUND('Ground Base'!I$154*(1+GroundFuelSurcharge),2),ROUND(((1-GroundAKHIDiscount)*'Ground Base'!I94)*(1+GroundFuelSurcharge),2)))*(1+FedEx_Markup),2)</f>
        <v>393.94</v>
      </c>
      <c r="J99" s="275">
        <f>ROUND((IF('Ground Base'!J$154&gt;ROUND(((1-GroundAKHIDiscount)*'Ground Base'!J94),2),ROUND('Ground Base'!J$154*(1+GroundFuelSurcharge),2),ROUND(((1-GroundAKHIDiscount)*'Ground Base'!J94)*(1+GroundFuelSurcharge),2)))*(1+FedEx_Markup),2)</f>
        <v>393.94</v>
      </c>
      <c r="K99" s="275">
        <f>ROUND((IF('Ground Base'!K$154&gt;ROUND(((1-GroundZone51Discount)*'Ground Base'!K94),2),ROUND('Ground Base'!K$154*(1+GroundFuelSurcharge),2),ROUND(((1-GroundZone51Discount)*'Ground Base'!K94)*(1+GroundFuelSurcharge),2)))*(1+FedEx_Markup),2)</f>
        <v>97.62</v>
      </c>
      <c r="L99" s="275">
        <f>ROUND((IF('Ground Base'!L$154&gt;ROUND(((1-GroundZone54Discount)*'Ground Base'!L94),2),ROUND('Ground Base'!L$154*(1+GroundFuelSurcharge),2),ROUND(((1-GroundZone54Discount)*'Ground Base'!L94)*(1+GroundFuelSurcharge),2)))*(1+FedEx_Markup),2)</f>
        <v>124.56</v>
      </c>
    </row>
    <row r="100" ht="12.75" customHeight="1">
      <c r="A100" s="274">
        <v>93.0</v>
      </c>
      <c r="B100" s="275">
        <f>ROUND((IF('Ground Base'!B$154&gt;ROUND(((1-GroundCommDiscount31Up-GroundCommIncentive)*'Ground Base'!B95),2),ROUND('Ground Base'!B$154*(1+GroundFuelSurcharge),2),ROUND(((1-GroundCommDiscount31Up-GroundCommIncentive)*'Ground Base'!B95)*(1+GroundFuelSurcharge),2)))*(1+FedEx_Markup),2)</f>
        <v>35.44</v>
      </c>
      <c r="C100" s="275">
        <f>ROUND((IF('Ground Base'!C$154&gt;ROUND(((1-GroundCommDiscount31Up-GroundCommIncentive)*'Ground Base'!C95),2),ROUND('Ground Base'!C$154*(1+GroundFuelSurcharge),2),ROUND(((1-GroundCommDiscount31Up-GroundCommIncentive)*'Ground Base'!C95)*(1+GroundFuelSurcharge),2)))*(1+FedEx_Markup),2)</f>
        <v>36.37</v>
      </c>
      <c r="D100" s="275">
        <f>ROUND((IF('Ground Base'!D$154&gt;ROUND(((1-GroundCommDiscount31Up-GroundCommIncentive)*'Ground Base'!D95),2),ROUND('Ground Base'!D$154*(1+GroundFuelSurcharge),2),ROUND(((1-GroundCommDiscount31Up-GroundCommIncentive)*'Ground Base'!D95)*(1+GroundFuelSurcharge),2)))*(1+FedEx_Markup),2)</f>
        <v>40.62</v>
      </c>
      <c r="E100" s="275">
        <f>ROUND((IF('Ground Base'!E$154&gt;ROUND(((1-GroundCommDiscount31Up-GroundCommIncentive)*'Ground Base'!E95),2),ROUND('Ground Base'!E$154*(1+GroundFuelSurcharge),2),ROUND(((1-GroundCommDiscount31Up-GroundCommIncentive)*'Ground Base'!E95)*(1+GroundFuelSurcharge),2)))*(1+FedEx_Markup),2)</f>
        <v>44.33</v>
      </c>
      <c r="F100" s="275">
        <f>ROUND((IF('Ground Base'!F$154&gt;ROUND(((1-GroundCommDiscount31Up-GroundCommIncentive)*'Ground Base'!F95),2),ROUND('Ground Base'!F$154*(1+GroundFuelSurcharge),2),ROUND(((1-GroundCommDiscount31Up-GroundCommIncentive)*'Ground Base'!F95)*(1+GroundFuelSurcharge),2)))*(1+FedEx_Markup),2)</f>
        <v>52.88</v>
      </c>
      <c r="G100" s="275">
        <f>ROUND((IF('Ground Base'!G$154&gt;ROUND(((1-GroundCommDiscount31Up-GroundCommIncentive)*'Ground Base'!G95),2),ROUND('Ground Base'!G$154*(1+GroundFuelSurcharge),2),ROUND(((1-GroundCommDiscount31Up-GroundCommIncentive)*'Ground Base'!G95)*(1+GroundFuelSurcharge),2)))*(1+FedEx_Markup),2)</f>
        <v>61.03</v>
      </c>
      <c r="H100" s="275">
        <f>ROUND((IF('Ground Base'!H$154&gt;ROUND(((1-GroundCommDiscount31Up-GroundCommIncentive)*'Ground Base'!H95),2),ROUND('Ground Base'!H$154*(1+GroundFuelSurcharge),2),ROUND(((1-GroundCommDiscount31Up-GroundCommIncentive)*'Ground Base'!H95)*(1+GroundFuelSurcharge),2)))*(1+FedEx_Markup),2)</f>
        <v>64.48</v>
      </c>
      <c r="I100" s="275">
        <f>ROUND((IF('Ground Base'!I$154&gt;ROUND(((1-GroundAKHIDiscount)*'Ground Base'!I95),2),ROUND('Ground Base'!I$154*(1+GroundFuelSurcharge),2),ROUND(((1-GroundAKHIDiscount)*'Ground Base'!I95)*(1+GroundFuelSurcharge),2)))*(1+FedEx_Markup),2)</f>
        <v>397.79</v>
      </c>
      <c r="J100" s="275">
        <f>ROUND((IF('Ground Base'!J$154&gt;ROUND(((1-GroundAKHIDiscount)*'Ground Base'!J95),2),ROUND('Ground Base'!J$154*(1+GroundFuelSurcharge),2),ROUND(((1-GroundAKHIDiscount)*'Ground Base'!J95)*(1+GroundFuelSurcharge),2)))*(1+FedEx_Markup),2)</f>
        <v>397.79</v>
      </c>
      <c r="K100" s="275">
        <f>ROUND((IF('Ground Base'!K$154&gt;ROUND(((1-GroundZone51Discount)*'Ground Base'!K95),2),ROUND('Ground Base'!K$154*(1+GroundFuelSurcharge),2),ROUND(((1-GroundZone51Discount)*'Ground Base'!K95)*(1+GroundFuelSurcharge),2)))*(1+FedEx_Markup),2)</f>
        <v>98.28</v>
      </c>
      <c r="L100" s="275">
        <f>ROUND((IF('Ground Base'!L$154&gt;ROUND(((1-GroundZone54Discount)*'Ground Base'!L95),2),ROUND('Ground Base'!L$154*(1+GroundFuelSurcharge),2),ROUND(((1-GroundZone54Discount)*'Ground Base'!L95)*(1+GroundFuelSurcharge),2)))*(1+FedEx_Markup),2)</f>
        <v>126.51</v>
      </c>
    </row>
    <row r="101" ht="12.75" customHeight="1">
      <c r="A101" s="274">
        <v>94.0</v>
      </c>
      <c r="B101" s="275">
        <f>ROUND((IF('Ground Base'!B$154&gt;ROUND(((1-GroundCommDiscount31Up-GroundCommIncentive)*'Ground Base'!B96),2),ROUND('Ground Base'!B$154*(1+GroundFuelSurcharge),2),ROUND(((1-GroundCommDiscount31Up-GroundCommIncentive)*'Ground Base'!B96)*(1+GroundFuelSurcharge),2)))*(1+FedEx_Markup),2)</f>
        <v>35.63</v>
      </c>
      <c r="C101" s="275">
        <f>ROUND((IF('Ground Base'!C$154&gt;ROUND(((1-GroundCommDiscount31Up-GroundCommIncentive)*'Ground Base'!C96),2),ROUND('Ground Base'!C$154*(1+GroundFuelSurcharge),2),ROUND(((1-GroundCommDiscount31Up-GroundCommIncentive)*'Ground Base'!C96)*(1+GroundFuelSurcharge),2)))*(1+FedEx_Markup),2)</f>
        <v>37.34</v>
      </c>
      <c r="D101" s="275">
        <f>ROUND((IF('Ground Base'!D$154&gt;ROUND(((1-GroundCommDiscount31Up-GroundCommIncentive)*'Ground Base'!D96),2),ROUND('Ground Base'!D$154*(1+GroundFuelSurcharge),2),ROUND(((1-GroundCommDiscount31Up-GroundCommIncentive)*'Ground Base'!D96)*(1+GroundFuelSurcharge),2)))*(1+FedEx_Markup),2)</f>
        <v>40.83</v>
      </c>
      <c r="E101" s="275">
        <f>ROUND((IF('Ground Base'!E$154&gt;ROUND(((1-GroundCommDiscount31Up-GroundCommIncentive)*'Ground Base'!E96),2),ROUND('Ground Base'!E$154*(1+GroundFuelSurcharge),2),ROUND(((1-GroundCommDiscount31Up-GroundCommIncentive)*'Ground Base'!E96)*(1+GroundFuelSurcharge),2)))*(1+FedEx_Markup),2)</f>
        <v>44.91</v>
      </c>
      <c r="F101" s="275">
        <f>ROUND((IF('Ground Base'!F$154&gt;ROUND(((1-GroundCommDiscount31Up-GroundCommIncentive)*'Ground Base'!F96),2),ROUND('Ground Base'!F$154*(1+GroundFuelSurcharge),2),ROUND(((1-GroundCommDiscount31Up-GroundCommIncentive)*'Ground Base'!F96)*(1+GroundFuelSurcharge),2)))*(1+FedEx_Markup),2)</f>
        <v>54</v>
      </c>
      <c r="G101" s="275">
        <f>ROUND((IF('Ground Base'!G$154&gt;ROUND(((1-GroundCommDiscount31Up-GroundCommIncentive)*'Ground Base'!G96),2),ROUND('Ground Base'!G$154*(1+GroundFuelSurcharge),2),ROUND(((1-GroundCommDiscount31Up-GroundCommIncentive)*'Ground Base'!G96)*(1+GroundFuelSurcharge),2)))*(1+FedEx_Markup),2)</f>
        <v>61.04</v>
      </c>
      <c r="H101" s="275">
        <f>ROUND((IF('Ground Base'!H$154&gt;ROUND(((1-GroundCommDiscount31Up-GroundCommIncentive)*'Ground Base'!H96),2),ROUND('Ground Base'!H$154*(1+GroundFuelSurcharge),2),ROUND(((1-GroundCommDiscount31Up-GroundCommIncentive)*'Ground Base'!H96)*(1+GroundFuelSurcharge),2)))*(1+FedEx_Markup),2)</f>
        <v>65.76</v>
      </c>
      <c r="I101" s="275">
        <f>ROUND((IF('Ground Base'!I$154&gt;ROUND(((1-GroundAKHIDiscount)*'Ground Base'!I96),2),ROUND('Ground Base'!I$154*(1+GroundFuelSurcharge),2),ROUND(((1-GroundAKHIDiscount)*'Ground Base'!I96)*(1+GroundFuelSurcharge),2)))*(1+FedEx_Markup),2)</f>
        <v>401.53</v>
      </c>
      <c r="J101" s="275">
        <f>ROUND((IF('Ground Base'!J$154&gt;ROUND(((1-GroundAKHIDiscount)*'Ground Base'!J96),2),ROUND('Ground Base'!J$154*(1+GroundFuelSurcharge),2),ROUND(((1-GroundAKHIDiscount)*'Ground Base'!J96)*(1+GroundFuelSurcharge),2)))*(1+FedEx_Markup),2)</f>
        <v>401.53</v>
      </c>
      <c r="K101" s="275">
        <f>ROUND((IF('Ground Base'!K$154&gt;ROUND(((1-GroundZone51Discount)*'Ground Base'!K96),2),ROUND('Ground Base'!K$154*(1+GroundFuelSurcharge),2),ROUND(((1-GroundZone51Discount)*'Ground Base'!K96)*(1+GroundFuelSurcharge),2)))*(1+FedEx_Markup),2)</f>
        <v>98.29</v>
      </c>
      <c r="L101" s="275">
        <f>ROUND((IF('Ground Base'!L$154&gt;ROUND(((1-GroundZone54Discount)*'Ground Base'!L96),2),ROUND('Ground Base'!L$154*(1+GroundFuelSurcharge),2),ROUND(((1-GroundZone54Discount)*'Ground Base'!L96)*(1+GroundFuelSurcharge),2)))*(1+FedEx_Markup),2)</f>
        <v>126.52</v>
      </c>
    </row>
    <row r="102" ht="12.75" customHeight="1">
      <c r="A102" s="274">
        <v>95.0</v>
      </c>
      <c r="B102" s="275">
        <f>ROUND((IF('Ground Base'!B$154&gt;ROUND(((1-GroundCommDiscount31Up-GroundCommIncentive)*'Ground Base'!B97),2),ROUND('Ground Base'!B$154*(1+GroundFuelSurcharge),2),ROUND(((1-GroundCommDiscount31Up-GroundCommIncentive)*'Ground Base'!B97)*(1+GroundFuelSurcharge),2)))*(1+FedEx_Markup),2)</f>
        <v>36.11</v>
      </c>
      <c r="C102" s="275">
        <f>ROUND((IF('Ground Base'!C$154&gt;ROUND(((1-GroundCommDiscount31Up-GroundCommIncentive)*'Ground Base'!C97),2),ROUND('Ground Base'!C$154*(1+GroundFuelSurcharge),2),ROUND(((1-GroundCommDiscount31Up-GroundCommIncentive)*'Ground Base'!C97)*(1+GroundFuelSurcharge),2)))*(1+FedEx_Markup),2)</f>
        <v>37.67</v>
      </c>
      <c r="D102" s="275">
        <f>ROUND((IF('Ground Base'!D$154&gt;ROUND(((1-GroundCommDiscount31Up-GroundCommIncentive)*'Ground Base'!D97),2),ROUND('Ground Base'!D$154*(1+GroundFuelSurcharge),2),ROUND(((1-GroundCommDiscount31Up-GroundCommIncentive)*'Ground Base'!D97)*(1+GroundFuelSurcharge),2)))*(1+FedEx_Markup),2)</f>
        <v>41.09</v>
      </c>
      <c r="E102" s="275">
        <f>ROUND((IF('Ground Base'!E$154&gt;ROUND(((1-GroundCommDiscount31Up-GroundCommIncentive)*'Ground Base'!E97),2),ROUND('Ground Base'!E$154*(1+GroundFuelSurcharge),2),ROUND(((1-GroundCommDiscount31Up-GroundCommIncentive)*'Ground Base'!E97)*(1+GroundFuelSurcharge),2)))*(1+FedEx_Markup),2)</f>
        <v>45.52</v>
      </c>
      <c r="F102" s="275">
        <f>ROUND((IF('Ground Base'!F$154&gt;ROUND(((1-GroundCommDiscount31Up-GroundCommIncentive)*'Ground Base'!F97),2),ROUND('Ground Base'!F$154*(1+GroundFuelSurcharge),2),ROUND(((1-GroundCommDiscount31Up-GroundCommIncentive)*'Ground Base'!F97)*(1+GroundFuelSurcharge),2)))*(1+FedEx_Markup),2)</f>
        <v>54.17</v>
      </c>
      <c r="G102" s="275">
        <f>ROUND((IF('Ground Base'!G$154&gt;ROUND(((1-GroundCommDiscount31Up-GroundCommIncentive)*'Ground Base'!G97),2),ROUND('Ground Base'!G$154*(1+GroundFuelSurcharge),2),ROUND(((1-GroundCommDiscount31Up-GroundCommIncentive)*'Ground Base'!G97)*(1+GroundFuelSurcharge),2)))*(1+FedEx_Markup),2)</f>
        <v>61.25</v>
      </c>
      <c r="H102" s="275">
        <f>ROUND((IF('Ground Base'!H$154&gt;ROUND(((1-GroundCommDiscount31Up-GroundCommIncentive)*'Ground Base'!H97),2),ROUND('Ground Base'!H$154*(1+GroundFuelSurcharge),2),ROUND(((1-GroundCommDiscount31Up-GroundCommIncentive)*'Ground Base'!H97)*(1+GroundFuelSurcharge),2)))*(1+FedEx_Markup),2)</f>
        <v>66.47</v>
      </c>
      <c r="I102" s="275">
        <f>ROUND((IF('Ground Base'!I$154&gt;ROUND(((1-GroundAKHIDiscount)*'Ground Base'!I97),2),ROUND('Ground Base'!I$154*(1+GroundFuelSurcharge),2),ROUND(((1-GroundAKHIDiscount)*'Ground Base'!I97)*(1+GroundFuelSurcharge),2)))*(1+FedEx_Markup),2)</f>
        <v>405.44</v>
      </c>
      <c r="J102" s="275">
        <f>ROUND((IF('Ground Base'!J$154&gt;ROUND(((1-GroundAKHIDiscount)*'Ground Base'!J97),2),ROUND('Ground Base'!J$154*(1+GroundFuelSurcharge),2),ROUND(((1-GroundAKHIDiscount)*'Ground Base'!J97)*(1+GroundFuelSurcharge),2)))*(1+FedEx_Markup),2)</f>
        <v>405.44</v>
      </c>
      <c r="K102" s="275">
        <f>ROUND((IF('Ground Base'!K$154&gt;ROUND(((1-GroundZone51Discount)*'Ground Base'!K97),2),ROUND('Ground Base'!K$154*(1+GroundFuelSurcharge),2),ROUND(((1-GroundZone51Discount)*'Ground Base'!K97)*(1+GroundFuelSurcharge),2)))*(1+FedEx_Markup),2)</f>
        <v>99.05</v>
      </c>
      <c r="L102" s="275">
        <f>ROUND((IF('Ground Base'!L$154&gt;ROUND(((1-GroundZone54Discount)*'Ground Base'!L97),2),ROUND('Ground Base'!L$154*(1+GroundFuelSurcharge),2),ROUND(((1-GroundZone54Discount)*'Ground Base'!L97)*(1+GroundFuelSurcharge),2)))*(1+FedEx_Markup),2)</f>
        <v>128.64</v>
      </c>
    </row>
    <row r="103" ht="12.75" customHeight="1">
      <c r="A103" s="274">
        <v>96.0</v>
      </c>
      <c r="B103" s="275">
        <f>ROUND((IF('Ground Base'!B$154&gt;ROUND(((1-GroundCommDiscount31Up-GroundCommIncentive)*'Ground Base'!B98),2),ROUND('Ground Base'!B$154*(1+GroundFuelSurcharge),2),ROUND(((1-GroundCommDiscount31Up-GroundCommIncentive)*'Ground Base'!B98)*(1+GroundFuelSurcharge),2)))*(1+FedEx_Markup),2)</f>
        <v>37.27</v>
      </c>
      <c r="C103" s="275">
        <f>ROUND((IF('Ground Base'!C$154&gt;ROUND(((1-GroundCommDiscount31Up-GroundCommIncentive)*'Ground Base'!C98),2),ROUND('Ground Base'!C$154*(1+GroundFuelSurcharge),2),ROUND(((1-GroundCommDiscount31Up-GroundCommIncentive)*'Ground Base'!C98)*(1+GroundFuelSurcharge),2)))*(1+FedEx_Markup),2)</f>
        <v>37.92</v>
      </c>
      <c r="D103" s="275">
        <f>ROUND((IF('Ground Base'!D$154&gt;ROUND(((1-GroundCommDiscount31Up-GroundCommIncentive)*'Ground Base'!D98),2),ROUND('Ground Base'!D$154*(1+GroundFuelSurcharge),2),ROUND(((1-GroundCommDiscount31Up-GroundCommIncentive)*'Ground Base'!D98)*(1+GroundFuelSurcharge),2)))*(1+FedEx_Markup),2)</f>
        <v>42.6</v>
      </c>
      <c r="E103" s="275">
        <f>ROUND((IF('Ground Base'!E$154&gt;ROUND(((1-GroundCommDiscount31Up-GroundCommIncentive)*'Ground Base'!E98),2),ROUND('Ground Base'!E$154*(1+GroundFuelSurcharge),2),ROUND(((1-GroundCommDiscount31Up-GroundCommIncentive)*'Ground Base'!E98)*(1+GroundFuelSurcharge),2)))*(1+FedEx_Markup),2)</f>
        <v>46.02</v>
      </c>
      <c r="F103" s="275">
        <f>ROUND((IF('Ground Base'!F$154&gt;ROUND(((1-GroundCommDiscount31Up-GroundCommIncentive)*'Ground Base'!F98),2),ROUND('Ground Base'!F$154*(1+GroundFuelSurcharge),2),ROUND(((1-GroundCommDiscount31Up-GroundCommIncentive)*'Ground Base'!F98)*(1+GroundFuelSurcharge),2)))*(1+FedEx_Markup),2)</f>
        <v>54.17</v>
      </c>
      <c r="G103" s="275">
        <f>ROUND((IF('Ground Base'!G$154&gt;ROUND(((1-GroundCommDiscount31Up-GroundCommIncentive)*'Ground Base'!G98),2),ROUND('Ground Base'!G$154*(1+GroundFuelSurcharge),2),ROUND(((1-GroundCommDiscount31Up-GroundCommIncentive)*'Ground Base'!G98)*(1+GroundFuelSurcharge),2)))*(1+FedEx_Markup),2)</f>
        <v>61.26</v>
      </c>
      <c r="H103" s="275">
        <f>ROUND((IF('Ground Base'!H$154&gt;ROUND(((1-GroundCommDiscount31Up-GroundCommIncentive)*'Ground Base'!H98),2),ROUND('Ground Base'!H$154*(1+GroundFuelSurcharge),2),ROUND(((1-GroundCommDiscount31Up-GroundCommIncentive)*'Ground Base'!H98)*(1+GroundFuelSurcharge),2)))*(1+FedEx_Markup),2)</f>
        <v>67.13</v>
      </c>
      <c r="I103" s="275">
        <f>ROUND((IF('Ground Base'!I$154&gt;ROUND(((1-GroundAKHIDiscount)*'Ground Base'!I98),2),ROUND('Ground Base'!I$154*(1+GroundFuelSurcharge),2),ROUND(((1-GroundAKHIDiscount)*'Ground Base'!I98)*(1+GroundFuelSurcharge),2)))*(1+FedEx_Markup),2)</f>
        <v>409.15</v>
      </c>
      <c r="J103" s="275">
        <f>ROUND((IF('Ground Base'!J$154&gt;ROUND(((1-GroundAKHIDiscount)*'Ground Base'!J98),2),ROUND('Ground Base'!J$154*(1+GroundFuelSurcharge),2),ROUND(((1-GroundAKHIDiscount)*'Ground Base'!J98)*(1+GroundFuelSurcharge),2)))*(1+FedEx_Markup),2)</f>
        <v>409.15</v>
      </c>
      <c r="K103" s="275">
        <f>ROUND((IF('Ground Base'!K$154&gt;ROUND(((1-GroundZone51Discount)*'Ground Base'!K98),2),ROUND('Ground Base'!K$154*(1+GroundFuelSurcharge),2),ROUND(((1-GroundZone51Discount)*'Ground Base'!K98)*(1+GroundFuelSurcharge),2)))*(1+FedEx_Markup),2)</f>
        <v>99.06</v>
      </c>
      <c r="L103" s="275">
        <f>ROUND((IF('Ground Base'!L$154&gt;ROUND(((1-GroundZone54Discount)*'Ground Base'!L98),2),ROUND('Ground Base'!L$154*(1+GroundFuelSurcharge),2),ROUND(((1-GroundZone54Discount)*'Ground Base'!L98)*(1+GroundFuelSurcharge),2)))*(1+FedEx_Markup),2)</f>
        <v>128.65</v>
      </c>
    </row>
    <row r="104" ht="12.75" customHeight="1">
      <c r="A104" s="274">
        <v>97.0</v>
      </c>
      <c r="B104" s="275">
        <f>ROUND((IF('Ground Base'!B$154&gt;ROUND(((1-GroundCommDiscount31Up-GroundCommIncentive)*'Ground Base'!B99),2),ROUND('Ground Base'!B$154*(1+GroundFuelSurcharge),2),ROUND(((1-GroundCommDiscount31Up-GroundCommIncentive)*'Ground Base'!B99)*(1+GroundFuelSurcharge),2)))*(1+FedEx_Markup),2)</f>
        <v>38.49</v>
      </c>
      <c r="C104" s="275">
        <f>ROUND((IF('Ground Base'!C$154&gt;ROUND(((1-GroundCommDiscount31Up-GroundCommIncentive)*'Ground Base'!C99),2),ROUND('Ground Base'!C$154*(1+GroundFuelSurcharge),2),ROUND(((1-GroundCommDiscount31Up-GroundCommIncentive)*'Ground Base'!C99)*(1+GroundFuelSurcharge),2)))*(1+FedEx_Markup),2)</f>
        <v>39.4</v>
      </c>
      <c r="D104" s="275">
        <f>ROUND((IF('Ground Base'!D$154&gt;ROUND(((1-GroundCommDiscount31Up-GroundCommIncentive)*'Ground Base'!D99),2),ROUND('Ground Base'!D$154*(1+GroundFuelSurcharge),2),ROUND(((1-GroundCommDiscount31Up-GroundCommIncentive)*'Ground Base'!D99)*(1+GroundFuelSurcharge),2)))*(1+FedEx_Markup),2)</f>
        <v>43.22</v>
      </c>
      <c r="E104" s="275">
        <f>ROUND((IF('Ground Base'!E$154&gt;ROUND(((1-GroundCommDiscount31Up-GroundCommIncentive)*'Ground Base'!E99),2),ROUND('Ground Base'!E$154*(1+GroundFuelSurcharge),2),ROUND(((1-GroundCommDiscount31Up-GroundCommIncentive)*'Ground Base'!E99)*(1+GroundFuelSurcharge),2)))*(1+FedEx_Markup),2)</f>
        <v>46.77</v>
      </c>
      <c r="F104" s="275">
        <f>ROUND((IF('Ground Base'!F$154&gt;ROUND(((1-GroundCommDiscount31Up-GroundCommIncentive)*'Ground Base'!F99),2),ROUND('Ground Base'!F$154*(1+GroundFuelSurcharge),2),ROUND(((1-GroundCommDiscount31Up-GroundCommIncentive)*'Ground Base'!F99)*(1+GroundFuelSurcharge),2)))*(1+FedEx_Markup),2)</f>
        <v>55.34</v>
      </c>
      <c r="G104" s="275">
        <f>ROUND((IF('Ground Base'!G$154&gt;ROUND(((1-GroundCommDiscount31Up-GroundCommIncentive)*'Ground Base'!G99),2),ROUND('Ground Base'!G$154*(1+GroundFuelSurcharge),2),ROUND(((1-GroundCommDiscount31Up-GroundCommIncentive)*'Ground Base'!G99)*(1+GroundFuelSurcharge),2)))*(1+FedEx_Markup),2)</f>
        <v>62.13</v>
      </c>
      <c r="H104" s="275">
        <f>ROUND((IF('Ground Base'!H$154&gt;ROUND(((1-GroundCommDiscount31Up-GroundCommIncentive)*'Ground Base'!H99),2),ROUND('Ground Base'!H$154*(1+GroundFuelSurcharge),2),ROUND(((1-GroundCommDiscount31Up-GroundCommIncentive)*'Ground Base'!H99)*(1+GroundFuelSurcharge),2)))*(1+FedEx_Markup),2)</f>
        <v>68.45</v>
      </c>
      <c r="I104" s="275">
        <f>ROUND((IF('Ground Base'!I$154&gt;ROUND(((1-GroundAKHIDiscount)*'Ground Base'!I99),2),ROUND('Ground Base'!I$154*(1+GroundFuelSurcharge),2),ROUND(((1-GroundAKHIDiscount)*'Ground Base'!I99)*(1+GroundFuelSurcharge),2)))*(1+FedEx_Markup),2)</f>
        <v>413.06</v>
      </c>
      <c r="J104" s="275">
        <f>ROUND((IF('Ground Base'!J$154&gt;ROUND(((1-GroundAKHIDiscount)*'Ground Base'!J99),2),ROUND('Ground Base'!J$154*(1+GroundFuelSurcharge),2),ROUND(((1-GroundAKHIDiscount)*'Ground Base'!J99)*(1+GroundFuelSurcharge),2)))*(1+FedEx_Markup),2)</f>
        <v>413.06</v>
      </c>
      <c r="K104" s="275">
        <f>ROUND((IF('Ground Base'!K$154&gt;ROUND(((1-GroundZone51Discount)*'Ground Base'!K99),2),ROUND('Ground Base'!K$154*(1+GroundFuelSurcharge),2),ROUND(((1-GroundZone51Discount)*'Ground Base'!K99)*(1+GroundFuelSurcharge),2)))*(1+FedEx_Markup),2)</f>
        <v>99.68</v>
      </c>
      <c r="L104" s="275">
        <f>ROUND((IF('Ground Base'!L$154&gt;ROUND(((1-GroundZone54Discount)*'Ground Base'!L99),2),ROUND('Ground Base'!L$154*(1+GroundFuelSurcharge),2),ROUND(((1-GroundZone54Discount)*'Ground Base'!L99)*(1+GroundFuelSurcharge),2)))*(1+FedEx_Markup),2)</f>
        <v>130.89</v>
      </c>
    </row>
    <row r="105" ht="12.75" customHeight="1">
      <c r="A105" s="274">
        <v>98.0</v>
      </c>
      <c r="B105" s="275">
        <f>ROUND((IF('Ground Base'!B$154&gt;ROUND(((1-GroundCommDiscount31Up-GroundCommIncentive)*'Ground Base'!B100),2),ROUND('Ground Base'!B$154*(1+GroundFuelSurcharge),2),ROUND(((1-GroundCommDiscount31Up-GroundCommIncentive)*'Ground Base'!B100)*(1+GroundFuelSurcharge),2)))*(1+FedEx_Markup),2)</f>
        <v>39.01</v>
      </c>
      <c r="C105" s="275">
        <f>ROUND((IF('Ground Base'!C$154&gt;ROUND(((1-GroundCommDiscount31Up-GroundCommIncentive)*'Ground Base'!C100),2),ROUND('Ground Base'!C$154*(1+GroundFuelSurcharge),2),ROUND(((1-GroundCommDiscount31Up-GroundCommIncentive)*'Ground Base'!C100)*(1+GroundFuelSurcharge),2)))*(1+FedEx_Markup),2)</f>
        <v>39.66</v>
      </c>
      <c r="D105" s="275">
        <f>ROUND((IF('Ground Base'!D$154&gt;ROUND(((1-GroundCommDiscount31Up-GroundCommIncentive)*'Ground Base'!D100),2),ROUND('Ground Base'!D$154*(1+GroundFuelSurcharge),2),ROUND(((1-GroundCommDiscount31Up-GroundCommIncentive)*'Ground Base'!D100)*(1+GroundFuelSurcharge),2)))*(1+FedEx_Markup),2)</f>
        <v>43.22</v>
      </c>
      <c r="E105" s="275">
        <f>ROUND((IF('Ground Base'!E$154&gt;ROUND(((1-GroundCommDiscount31Up-GroundCommIncentive)*'Ground Base'!E100),2),ROUND('Ground Base'!E$154*(1+GroundFuelSurcharge),2),ROUND(((1-GroundCommDiscount31Up-GroundCommIncentive)*'Ground Base'!E100)*(1+GroundFuelSurcharge),2)))*(1+FedEx_Markup),2)</f>
        <v>47.31</v>
      </c>
      <c r="F105" s="275">
        <f>ROUND((IF('Ground Base'!F$154&gt;ROUND(((1-GroundCommDiscount31Up-GroundCommIncentive)*'Ground Base'!F100),2),ROUND('Ground Base'!F$154*(1+GroundFuelSurcharge),2),ROUND(((1-GroundCommDiscount31Up-GroundCommIncentive)*'Ground Base'!F100)*(1+GroundFuelSurcharge),2)))*(1+FedEx_Markup),2)</f>
        <v>55.96</v>
      </c>
      <c r="G105" s="275">
        <f>ROUND((IF('Ground Base'!G$154&gt;ROUND(((1-GroundCommDiscount31Up-GroundCommIncentive)*'Ground Base'!G100),2),ROUND('Ground Base'!G$154*(1+GroundFuelSurcharge),2),ROUND(((1-GroundCommDiscount31Up-GroundCommIncentive)*'Ground Base'!G100)*(1+GroundFuelSurcharge),2)))*(1+FedEx_Markup),2)</f>
        <v>62.15</v>
      </c>
      <c r="H105" s="275">
        <f>ROUND((IF('Ground Base'!H$154&gt;ROUND(((1-GroundCommDiscount31Up-GroundCommIncentive)*'Ground Base'!H100),2),ROUND('Ground Base'!H$154*(1+GroundFuelSurcharge),2),ROUND(((1-GroundCommDiscount31Up-GroundCommIncentive)*'Ground Base'!H100)*(1+GroundFuelSurcharge),2)))*(1+FedEx_Markup),2)</f>
        <v>68.46</v>
      </c>
      <c r="I105" s="275">
        <f>ROUND((IF('Ground Base'!I$154&gt;ROUND(((1-GroundAKHIDiscount)*'Ground Base'!I100),2),ROUND('Ground Base'!I$154*(1+GroundFuelSurcharge),2),ROUND(((1-GroundAKHIDiscount)*'Ground Base'!I100)*(1+GroundFuelSurcharge),2)))*(1+FedEx_Markup),2)</f>
        <v>416.71</v>
      </c>
      <c r="J105" s="275">
        <f>ROUND((IF('Ground Base'!J$154&gt;ROUND(((1-GroundAKHIDiscount)*'Ground Base'!J100),2),ROUND('Ground Base'!J$154*(1+GroundFuelSurcharge),2),ROUND(((1-GroundAKHIDiscount)*'Ground Base'!J100)*(1+GroundFuelSurcharge),2)))*(1+FedEx_Markup),2)</f>
        <v>416.71</v>
      </c>
      <c r="K105" s="275">
        <f>ROUND((IF('Ground Base'!K$154&gt;ROUND(((1-GroundZone51Discount)*'Ground Base'!K100),2),ROUND('Ground Base'!K$154*(1+GroundFuelSurcharge),2),ROUND(((1-GroundZone51Discount)*'Ground Base'!K100)*(1+GroundFuelSurcharge),2)))*(1+FedEx_Markup),2)</f>
        <v>99.68</v>
      </c>
      <c r="L105" s="275">
        <f>ROUND((IF('Ground Base'!L$154&gt;ROUND(((1-GroundZone54Discount)*'Ground Base'!L100),2),ROUND('Ground Base'!L$154*(1+GroundFuelSurcharge),2),ROUND(((1-GroundZone54Discount)*'Ground Base'!L100)*(1+GroundFuelSurcharge),2)))*(1+FedEx_Markup),2)</f>
        <v>130.89</v>
      </c>
    </row>
    <row r="106" ht="12.75" customHeight="1">
      <c r="A106" s="274">
        <v>99.0</v>
      </c>
      <c r="B106" s="275">
        <f>ROUND((IF('Ground Base'!B$154&gt;ROUND(((1-GroundCommDiscount31Up-GroundCommIncentive)*'Ground Base'!B101),2),ROUND('Ground Base'!B$154*(1+GroundFuelSurcharge),2),ROUND(((1-GroundCommDiscount31Up-GroundCommIncentive)*'Ground Base'!B101)*(1+GroundFuelSurcharge),2)))*(1+FedEx_Markup),2)</f>
        <v>39.54</v>
      </c>
      <c r="C106" s="275">
        <f>ROUND((IF('Ground Base'!C$154&gt;ROUND(((1-GroundCommDiscount31Up-GroundCommIncentive)*'Ground Base'!C101),2),ROUND('Ground Base'!C$154*(1+GroundFuelSurcharge),2),ROUND(((1-GroundCommDiscount31Up-GroundCommIncentive)*'Ground Base'!C101)*(1+GroundFuelSurcharge),2)))*(1+FedEx_Markup),2)</f>
        <v>39.89</v>
      </c>
      <c r="D106" s="275">
        <f>ROUND((IF('Ground Base'!D$154&gt;ROUND(((1-GroundCommDiscount31Up-GroundCommIncentive)*'Ground Base'!D101),2),ROUND('Ground Base'!D$154*(1+GroundFuelSurcharge),2),ROUND(((1-GroundCommDiscount31Up-GroundCommIncentive)*'Ground Base'!D101)*(1+GroundFuelSurcharge),2)))*(1+FedEx_Markup),2)</f>
        <v>44.02</v>
      </c>
      <c r="E106" s="275">
        <f>ROUND((IF('Ground Base'!E$154&gt;ROUND(((1-GroundCommDiscount31Up-GroundCommIncentive)*'Ground Base'!E101),2),ROUND('Ground Base'!E$154*(1+GroundFuelSurcharge),2),ROUND(((1-GroundCommDiscount31Up-GroundCommIncentive)*'Ground Base'!E101)*(1+GroundFuelSurcharge),2)))*(1+FedEx_Markup),2)</f>
        <v>47.91</v>
      </c>
      <c r="F106" s="275">
        <f>ROUND((IF('Ground Base'!F$154&gt;ROUND(((1-GroundCommDiscount31Up-GroundCommIncentive)*'Ground Base'!F101),2),ROUND('Ground Base'!F$154*(1+GroundFuelSurcharge),2),ROUND(((1-GroundCommDiscount31Up-GroundCommIncentive)*'Ground Base'!F101)*(1+GroundFuelSurcharge),2)))*(1+FedEx_Markup),2)</f>
        <v>56.09</v>
      </c>
      <c r="G106" s="275">
        <f>ROUND((IF('Ground Base'!G$154&gt;ROUND(((1-GroundCommDiscount31Up-GroundCommIncentive)*'Ground Base'!G101),2),ROUND('Ground Base'!G$154*(1+GroundFuelSurcharge),2),ROUND(((1-GroundCommDiscount31Up-GroundCommIncentive)*'Ground Base'!G101)*(1+GroundFuelSurcharge),2)))*(1+FedEx_Markup),2)</f>
        <v>62.77</v>
      </c>
      <c r="H106" s="275">
        <f>ROUND((IF('Ground Base'!H$154&gt;ROUND(((1-GroundCommDiscount31Up-GroundCommIncentive)*'Ground Base'!H101),2),ROUND('Ground Base'!H$154*(1+GroundFuelSurcharge),2),ROUND(((1-GroundCommDiscount31Up-GroundCommIncentive)*'Ground Base'!H101)*(1+GroundFuelSurcharge),2)))*(1+FedEx_Markup),2)</f>
        <v>69.15</v>
      </c>
      <c r="I106" s="275">
        <f>ROUND((IF('Ground Base'!I$154&gt;ROUND(((1-GroundAKHIDiscount)*'Ground Base'!I101),2),ROUND('Ground Base'!I$154*(1+GroundFuelSurcharge),2),ROUND(((1-GroundAKHIDiscount)*'Ground Base'!I101)*(1+GroundFuelSurcharge),2)))*(1+FedEx_Markup),2)</f>
        <v>420.62</v>
      </c>
      <c r="J106" s="275">
        <f>ROUND((IF('Ground Base'!J$154&gt;ROUND(((1-GroundAKHIDiscount)*'Ground Base'!J101),2),ROUND('Ground Base'!J$154*(1+GroundFuelSurcharge),2),ROUND(((1-GroundAKHIDiscount)*'Ground Base'!J101)*(1+GroundFuelSurcharge),2)))*(1+FedEx_Markup),2)</f>
        <v>420.62</v>
      </c>
      <c r="K106" s="275">
        <f>ROUND((IF('Ground Base'!K$154&gt;ROUND(((1-GroundZone51Discount)*'Ground Base'!K101),2),ROUND('Ground Base'!K$154*(1+GroundFuelSurcharge),2),ROUND(((1-GroundZone51Discount)*'Ground Base'!K101)*(1+GroundFuelSurcharge),2)))*(1+FedEx_Markup),2)</f>
        <v>100.18</v>
      </c>
      <c r="L106" s="275">
        <f>ROUND((IF('Ground Base'!L$154&gt;ROUND(((1-GroundZone54Discount)*'Ground Base'!L101),2),ROUND('Ground Base'!L$154*(1+GroundFuelSurcharge),2),ROUND(((1-GroundZone54Discount)*'Ground Base'!L101)*(1+GroundFuelSurcharge),2)))*(1+FedEx_Markup),2)</f>
        <v>132.76</v>
      </c>
    </row>
    <row r="107" ht="12.75" customHeight="1">
      <c r="A107" s="274">
        <v>100.0</v>
      </c>
      <c r="B107" s="275">
        <f>ROUND((IF('Ground Base'!B$154&gt;ROUND(((1-GroundCommDiscount31Up-GroundCommIncentive)*'Ground Base'!B102),2),ROUND('Ground Base'!B$154*(1+GroundFuelSurcharge),2),ROUND(((1-GroundCommDiscount31Up-GroundCommIncentive)*'Ground Base'!B102)*(1+GroundFuelSurcharge),2)))*(1+FedEx_Markup),2)</f>
        <v>40.2</v>
      </c>
      <c r="C107" s="275">
        <f>ROUND((IF('Ground Base'!C$154&gt;ROUND(((1-GroundCommDiscount31Up-GroundCommIncentive)*'Ground Base'!C102),2),ROUND('Ground Base'!C$154*(1+GroundFuelSurcharge),2),ROUND(((1-GroundCommDiscount31Up-GroundCommIncentive)*'Ground Base'!C102)*(1+GroundFuelSurcharge),2)))*(1+FedEx_Markup),2)</f>
        <v>40.57</v>
      </c>
      <c r="D107" s="275">
        <f>ROUND((IF('Ground Base'!D$154&gt;ROUND(((1-GroundCommDiscount31Up-GroundCommIncentive)*'Ground Base'!D102),2),ROUND('Ground Base'!D$154*(1+GroundFuelSurcharge),2),ROUND(((1-GroundCommDiscount31Up-GroundCommIncentive)*'Ground Base'!D102)*(1+GroundFuelSurcharge),2)))*(1+FedEx_Markup),2)</f>
        <v>44.44</v>
      </c>
      <c r="E107" s="275">
        <f>ROUND((IF('Ground Base'!E$154&gt;ROUND(((1-GroundCommDiscount31Up-GroundCommIncentive)*'Ground Base'!E102),2),ROUND('Ground Base'!E$154*(1+GroundFuelSurcharge),2),ROUND(((1-GroundCommDiscount31Up-GroundCommIncentive)*'Ground Base'!E102)*(1+GroundFuelSurcharge),2)))*(1+FedEx_Markup),2)</f>
        <v>48.16</v>
      </c>
      <c r="F107" s="275">
        <f>ROUND((IF('Ground Base'!F$154&gt;ROUND(((1-GroundCommDiscount31Up-GroundCommIncentive)*'Ground Base'!F102),2),ROUND('Ground Base'!F$154*(1+GroundFuelSurcharge),2),ROUND(((1-GroundCommDiscount31Up-GroundCommIncentive)*'Ground Base'!F102)*(1+GroundFuelSurcharge),2)))*(1+FedEx_Markup),2)</f>
        <v>56.7</v>
      </c>
      <c r="G107" s="275">
        <f>ROUND((IF('Ground Base'!G$154&gt;ROUND(((1-GroundCommDiscount31Up-GroundCommIncentive)*'Ground Base'!G102),2),ROUND('Ground Base'!G$154*(1+GroundFuelSurcharge),2),ROUND(((1-GroundCommDiscount31Up-GroundCommIncentive)*'Ground Base'!G102)*(1+GroundFuelSurcharge),2)))*(1+FedEx_Markup),2)</f>
        <v>62.81</v>
      </c>
      <c r="H107" s="275">
        <f>ROUND((IF('Ground Base'!H$154&gt;ROUND(((1-GroundCommDiscount31Up-GroundCommIncentive)*'Ground Base'!H102),2),ROUND('Ground Base'!H$154*(1+GroundFuelSurcharge),2),ROUND(((1-GroundCommDiscount31Up-GroundCommIncentive)*'Ground Base'!H102)*(1+GroundFuelSurcharge),2)))*(1+FedEx_Markup),2)</f>
        <v>69.2</v>
      </c>
      <c r="I107" s="275">
        <f>ROUND((IF('Ground Base'!I$154&gt;ROUND(((1-GroundAKHIDiscount)*'Ground Base'!I102),2),ROUND('Ground Base'!I$154*(1+GroundFuelSurcharge),2),ROUND(((1-GroundAKHIDiscount)*'Ground Base'!I102)*(1+GroundFuelSurcharge),2)))*(1+FedEx_Markup),2)</f>
        <v>424.52</v>
      </c>
      <c r="J107" s="275">
        <f>ROUND((IF('Ground Base'!J$154&gt;ROUND(((1-GroundAKHIDiscount)*'Ground Base'!J102),2),ROUND('Ground Base'!J$154*(1+GroundFuelSurcharge),2),ROUND(((1-GroundAKHIDiscount)*'Ground Base'!J102)*(1+GroundFuelSurcharge),2)))*(1+FedEx_Markup),2)</f>
        <v>424.52</v>
      </c>
      <c r="K107" s="275">
        <f>ROUND((IF('Ground Base'!K$154&gt;ROUND(((1-GroundZone51Discount)*'Ground Base'!K102),2),ROUND('Ground Base'!K$154*(1+GroundFuelSurcharge),2),ROUND(((1-GroundZone51Discount)*'Ground Base'!K102)*(1+GroundFuelSurcharge),2)))*(1+FedEx_Markup),2)</f>
        <v>100.19</v>
      </c>
      <c r="L107" s="275">
        <f>ROUND((IF('Ground Base'!L$154&gt;ROUND(((1-GroundZone54Discount)*'Ground Base'!L102),2),ROUND('Ground Base'!L$154*(1+GroundFuelSurcharge),2),ROUND(((1-GroundZone54Discount)*'Ground Base'!L102)*(1+GroundFuelSurcharge),2)))*(1+FedEx_Markup),2)</f>
        <v>132.77</v>
      </c>
    </row>
    <row r="108" ht="12.75" customHeight="1">
      <c r="A108" s="274">
        <v>101.0</v>
      </c>
      <c r="B108" s="275">
        <f>ROUND((IF('Ground Base'!B$154&gt;ROUND(((1-GroundCommDiscount31Up-GroundCommIncentive)*'Ground Base'!B103),2),ROUND('Ground Base'!B$154*(1+GroundFuelSurcharge),2),ROUND(((1-GroundCommDiscount31Up-GroundCommIncentive)*'Ground Base'!B103)*(1+GroundFuelSurcharge),2)))*(1+FedEx_Markup),2)</f>
        <v>40.48</v>
      </c>
      <c r="C108" s="275">
        <f>ROUND((IF('Ground Base'!C$154&gt;ROUND(((1-GroundCommDiscount31Up-GroundCommIncentive)*'Ground Base'!C103),2),ROUND('Ground Base'!C$154*(1+GroundFuelSurcharge),2),ROUND(((1-GroundCommDiscount31Up-GroundCommIncentive)*'Ground Base'!C103)*(1+GroundFuelSurcharge),2)))*(1+FedEx_Markup),2)</f>
        <v>40.96</v>
      </c>
      <c r="D108" s="275">
        <f>ROUND((IF('Ground Base'!D$154&gt;ROUND(((1-GroundCommDiscount31Up-GroundCommIncentive)*'Ground Base'!D103),2),ROUND('Ground Base'!D$154*(1+GroundFuelSurcharge),2),ROUND(((1-GroundCommDiscount31Up-GroundCommIncentive)*'Ground Base'!D103)*(1+GroundFuelSurcharge),2)))*(1+FedEx_Markup),2)</f>
        <v>44.45</v>
      </c>
      <c r="E108" s="275">
        <f>ROUND((IF('Ground Base'!E$154&gt;ROUND(((1-GroundCommDiscount31Up-GroundCommIncentive)*'Ground Base'!E103),2),ROUND('Ground Base'!E$154*(1+GroundFuelSurcharge),2),ROUND(((1-GroundCommDiscount31Up-GroundCommIncentive)*'Ground Base'!E103)*(1+GroundFuelSurcharge),2)))*(1+FedEx_Markup),2)</f>
        <v>48.62</v>
      </c>
      <c r="F108" s="275">
        <f>ROUND((IF('Ground Base'!F$154&gt;ROUND(((1-GroundCommDiscount31Up-GroundCommIncentive)*'Ground Base'!F103),2),ROUND('Ground Base'!F$154*(1+GroundFuelSurcharge),2),ROUND(((1-GroundCommDiscount31Up-GroundCommIncentive)*'Ground Base'!F103)*(1+GroundFuelSurcharge),2)))*(1+FedEx_Markup),2)</f>
        <v>57.24</v>
      </c>
      <c r="G108" s="275">
        <f>ROUND((IF('Ground Base'!G$154&gt;ROUND(((1-GroundCommDiscount31Up-GroundCommIncentive)*'Ground Base'!G103),2),ROUND('Ground Base'!G$154*(1+GroundFuelSurcharge),2),ROUND(((1-GroundCommDiscount31Up-GroundCommIncentive)*'Ground Base'!G103)*(1+GroundFuelSurcharge),2)))*(1+FedEx_Markup),2)</f>
        <v>63.4</v>
      </c>
      <c r="H108" s="275">
        <f>ROUND((IF('Ground Base'!H$154&gt;ROUND(((1-GroundCommDiscount31Up-GroundCommIncentive)*'Ground Base'!H103),2),ROUND('Ground Base'!H$154*(1+GroundFuelSurcharge),2),ROUND(((1-GroundCommDiscount31Up-GroundCommIncentive)*'Ground Base'!H103)*(1+GroundFuelSurcharge),2)))*(1+FedEx_Markup),2)</f>
        <v>69.84</v>
      </c>
      <c r="I108" s="275">
        <f>ROUND((IF('Ground Base'!I$154&gt;ROUND(((1-GroundAKHIDiscount)*'Ground Base'!I103),2),ROUND('Ground Base'!I$154*(1+GroundFuelSurcharge),2),ROUND(((1-GroundAKHIDiscount)*'Ground Base'!I103)*(1+GroundFuelSurcharge),2)))*(1+FedEx_Markup),2)</f>
        <v>424.53</v>
      </c>
      <c r="J108" s="275">
        <f>ROUND((IF('Ground Base'!J$154&gt;ROUND(((1-GroundAKHIDiscount)*'Ground Base'!J103),2),ROUND('Ground Base'!J$154*(1+GroundFuelSurcharge),2),ROUND(((1-GroundAKHIDiscount)*'Ground Base'!J103)*(1+GroundFuelSurcharge),2)))*(1+FedEx_Markup),2)</f>
        <v>424.53</v>
      </c>
      <c r="K108" s="275">
        <f>ROUND((IF('Ground Base'!K$154&gt;ROUND(((1-GroundZone51Discount)*'Ground Base'!K103),2),ROUND('Ground Base'!K$154*(1+GroundFuelSurcharge),2),ROUND(((1-GroundZone51Discount)*'Ground Base'!K103)*(1+GroundFuelSurcharge),2)))*(1+FedEx_Markup),2)</f>
        <v>100.2</v>
      </c>
      <c r="L108" s="275">
        <f>ROUND((IF('Ground Base'!L$154&gt;ROUND(((1-GroundZone54Discount)*'Ground Base'!L103),2),ROUND('Ground Base'!L$154*(1+GroundFuelSurcharge),2),ROUND(((1-GroundZone54Discount)*'Ground Base'!L103)*(1+GroundFuelSurcharge),2)))*(1+FedEx_Markup),2)</f>
        <v>132.77</v>
      </c>
    </row>
    <row r="109" ht="12.75" customHeight="1">
      <c r="A109" s="274">
        <v>102.0</v>
      </c>
      <c r="B109" s="275">
        <f>ROUND((IF('Ground Base'!B$154&gt;ROUND(((1-GroundCommDiscount31Up-GroundCommIncentive)*'Ground Base'!B104),2),ROUND('Ground Base'!B$154*(1+GroundFuelSurcharge),2),ROUND(((1-GroundCommDiscount31Up-GroundCommIncentive)*'Ground Base'!B104)*(1+GroundFuelSurcharge),2)))*(1+FedEx_Markup),2)</f>
        <v>40.87</v>
      </c>
      <c r="C109" s="275">
        <f>ROUND((IF('Ground Base'!C$154&gt;ROUND(((1-GroundCommDiscount31Up-GroundCommIncentive)*'Ground Base'!C104),2),ROUND('Ground Base'!C$154*(1+GroundFuelSurcharge),2),ROUND(((1-GroundCommDiscount31Up-GroundCommIncentive)*'Ground Base'!C104)*(1+GroundFuelSurcharge),2)))*(1+FedEx_Markup),2)</f>
        <v>40.96</v>
      </c>
      <c r="D109" s="275">
        <f>ROUND((IF('Ground Base'!D$154&gt;ROUND(((1-GroundCommDiscount31Up-GroundCommIncentive)*'Ground Base'!D104),2),ROUND('Ground Base'!D$154*(1+GroundFuelSurcharge),2),ROUND(((1-GroundCommDiscount31Up-GroundCommIncentive)*'Ground Base'!D104)*(1+GroundFuelSurcharge),2)))*(1+FedEx_Markup),2)</f>
        <v>44.87</v>
      </c>
      <c r="E109" s="275">
        <f>ROUND((IF('Ground Base'!E$154&gt;ROUND(((1-GroundCommDiscount31Up-GroundCommIncentive)*'Ground Base'!E104),2),ROUND('Ground Base'!E$154*(1+GroundFuelSurcharge),2),ROUND(((1-GroundCommDiscount31Up-GroundCommIncentive)*'Ground Base'!E104)*(1+GroundFuelSurcharge),2)))*(1+FedEx_Markup),2)</f>
        <v>48.62</v>
      </c>
      <c r="F109" s="275">
        <f>ROUND((IF('Ground Base'!F$154&gt;ROUND(((1-GroundCommDiscount31Up-GroundCommIncentive)*'Ground Base'!F104),2),ROUND('Ground Base'!F$154*(1+GroundFuelSurcharge),2),ROUND(((1-GroundCommDiscount31Up-GroundCommIncentive)*'Ground Base'!F104)*(1+GroundFuelSurcharge),2)))*(1+FedEx_Markup),2)</f>
        <v>57.24</v>
      </c>
      <c r="G109" s="275">
        <f>ROUND((IF('Ground Base'!G$154&gt;ROUND(((1-GroundCommDiscount31Up-GroundCommIncentive)*'Ground Base'!G104),2),ROUND('Ground Base'!G$154*(1+GroundFuelSurcharge),2),ROUND(((1-GroundCommDiscount31Up-GroundCommIncentive)*'Ground Base'!G104)*(1+GroundFuelSurcharge),2)))*(1+FedEx_Markup),2)</f>
        <v>63.41</v>
      </c>
      <c r="H109" s="275">
        <f>ROUND((IF('Ground Base'!H$154&gt;ROUND(((1-GroundCommDiscount31Up-GroundCommIncentive)*'Ground Base'!H104),2),ROUND('Ground Base'!H$154*(1+GroundFuelSurcharge),2),ROUND(((1-GroundCommDiscount31Up-GroundCommIncentive)*'Ground Base'!H104)*(1+GroundFuelSurcharge),2)))*(1+FedEx_Markup),2)</f>
        <v>69.84</v>
      </c>
      <c r="I109" s="275">
        <f>ROUND((IF('Ground Base'!I$154&gt;ROUND(((1-GroundAKHIDiscount)*'Ground Base'!I104),2),ROUND('Ground Base'!I$154*(1+GroundFuelSurcharge),2),ROUND(((1-GroundAKHIDiscount)*'Ground Base'!I104)*(1+GroundFuelSurcharge),2)))*(1+FedEx_Markup),2)</f>
        <v>424.55</v>
      </c>
      <c r="J109" s="275">
        <f>ROUND((IF('Ground Base'!J$154&gt;ROUND(((1-GroundAKHIDiscount)*'Ground Base'!J104),2),ROUND('Ground Base'!J$154*(1+GroundFuelSurcharge),2),ROUND(((1-GroundAKHIDiscount)*'Ground Base'!J104)*(1+GroundFuelSurcharge),2)))*(1+FedEx_Markup),2)</f>
        <v>424.55</v>
      </c>
      <c r="K109" s="275">
        <f>ROUND((IF('Ground Base'!K$154&gt;ROUND(((1-GroundZone51Discount)*'Ground Base'!K104),2),ROUND('Ground Base'!K$154*(1+GroundFuelSurcharge),2),ROUND(((1-GroundZone51Discount)*'Ground Base'!K104)*(1+GroundFuelSurcharge),2)))*(1+FedEx_Markup),2)</f>
        <v>100.2</v>
      </c>
      <c r="L109" s="275">
        <f>ROUND((IF('Ground Base'!L$154&gt;ROUND(((1-GroundZone54Discount)*'Ground Base'!L104),2),ROUND('Ground Base'!L$154*(1+GroundFuelSurcharge),2),ROUND(((1-GroundZone54Discount)*'Ground Base'!L104)*(1+GroundFuelSurcharge),2)))*(1+FedEx_Markup),2)</f>
        <v>132.79</v>
      </c>
    </row>
    <row r="110" ht="12.75" customHeight="1">
      <c r="A110" s="274">
        <v>103.0</v>
      </c>
      <c r="B110" s="275">
        <f>ROUND((IF('Ground Base'!B$154&gt;ROUND(((1-GroundCommDiscount31Up-GroundCommIncentive)*'Ground Base'!B105),2),ROUND('Ground Base'!B$154*(1+GroundFuelSurcharge),2),ROUND(((1-GroundCommDiscount31Up-GroundCommIncentive)*'Ground Base'!B105)*(1+GroundFuelSurcharge),2)))*(1+FedEx_Markup),2)</f>
        <v>41.41</v>
      </c>
      <c r="C110" s="275">
        <f>ROUND((IF('Ground Base'!C$154&gt;ROUND(((1-GroundCommDiscount31Up-GroundCommIncentive)*'Ground Base'!C105),2),ROUND('Ground Base'!C$154*(1+GroundFuelSurcharge),2),ROUND(((1-GroundCommDiscount31Up-GroundCommIncentive)*'Ground Base'!C105)*(1+GroundFuelSurcharge),2)))*(1+FedEx_Markup),2)</f>
        <v>41.99</v>
      </c>
      <c r="D110" s="275">
        <f>ROUND((IF('Ground Base'!D$154&gt;ROUND(((1-GroundCommDiscount31Up-GroundCommIncentive)*'Ground Base'!D105),2),ROUND('Ground Base'!D$154*(1+GroundFuelSurcharge),2),ROUND(((1-GroundCommDiscount31Up-GroundCommIncentive)*'Ground Base'!D105)*(1+GroundFuelSurcharge),2)))*(1+FedEx_Markup),2)</f>
        <v>45.8</v>
      </c>
      <c r="E110" s="275">
        <f>ROUND((IF('Ground Base'!E$154&gt;ROUND(((1-GroundCommDiscount31Up-GroundCommIncentive)*'Ground Base'!E105),2),ROUND('Ground Base'!E$154*(1+GroundFuelSurcharge),2),ROUND(((1-GroundCommDiscount31Up-GroundCommIncentive)*'Ground Base'!E105)*(1+GroundFuelSurcharge),2)))*(1+FedEx_Markup),2)</f>
        <v>48.91</v>
      </c>
      <c r="F110" s="275">
        <f>ROUND((IF('Ground Base'!F$154&gt;ROUND(((1-GroundCommDiscount31Up-GroundCommIncentive)*'Ground Base'!F105),2),ROUND('Ground Base'!F$154*(1+GroundFuelSurcharge),2),ROUND(((1-GroundCommDiscount31Up-GroundCommIncentive)*'Ground Base'!F105)*(1+GroundFuelSurcharge),2)))*(1+FedEx_Markup),2)</f>
        <v>57.39</v>
      </c>
      <c r="G110" s="275">
        <f>ROUND((IF('Ground Base'!G$154&gt;ROUND(((1-GroundCommDiscount31Up-GroundCommIncentive)*'Ground Base'!G105),2),ROUND('Ground Base'!G$154*(1+GroundFuelSurcharge),2),ROUND(((1-GroundCommDiscount31Up-GroundCommIncentive)*'Ground Base'!G105)*(1+GroundFuelSurcharge),2)))*(1+FedEx_Markup),2)</f>
        <v>63.41</v>
      </c>
      <c r="H110" s="275">
        <f>ROUND((IF('Ground Base'!H$154&gt;ROUND(((1-GroundCommDiscount31Up-GroundCommIncentive)*'Ground Base'!H105),2),ROUND('Ground Base'!H$154*(1+GroundFuelSurcharge),2),ROUND(((1-GroundCommDiscount31Up-GroundCommIncentive)*'Ground Base'!H105)*(1+GroundFuelSurcharge),2)))*(1+FedEx_Markup),2)</f>
        <v>69.85</v>
      </c>
      <c r="I110" s="275">
        <f>ROUND((IF('Ground Base'!I$154&gt;ROUND(((1-GroundAKHIDiscount)*'Ground Base'!I105),2),ROUND('Ground Base'!I$154*(1+GroundFuelSurcharge),2),ROUND(((1-GroundAKHIDiscount)*'Ground Base'!I105)*(1+GroundFuelSurcharge),2)))*(1+FedEx_Markup),2)</f>
        <v>424.56</v>
      </c>
      <c r="J110" s="275">
        <f>ROUND((IF('Ground Base'!J$154&gt;ROUND(((1-GroundAKHIDiscount)*'Ground Base'!J105),2),ROUND('Ground Base'!J$154*(1+GroundFuelSurcharge),2),ROUND(((1-GroundAKHIDiscount)*'Ground Base'!J105)*(1+GroundFuelSurcharge),2)))*(1+FedEx_Markup),2)</f>
        <v>424.56</v>
      </c>
      <c r="K110" s="275">
        <f>ROUND((IF('Ground Base'!K$154&gt;ROUND(((1-GroundZone51Discount)*'Ground Base'!K105),2),ROUND('Ground Base'!K$154*(1+GroundFuelSurcharge),2),ROUND(((1-GroundZone51Discount)*'Ground Base'!K105)*(1+GroundFuelSurcharge),2)))*(1+FedEx_Markup),2)</f>
        <v>100.22</v>
      </c>
      <c r="L110" s="275">
        <f>ROUND((IF('Ground Base'!L$154&gt;ROUND(((1-GroundZone54Discount)*'Ground Base'!L105),2),ROUND('Ground Base'!L$154*(1+GroundFuelSurcharge),2),ROUND(((1-GroundZone54Discount)*'Ground Base'!L105)*(1+GroundFuelSurcharge),2)))*(1+FedEx_Markup),2)</f>
        <v>132.79</v>
      </c>
    </row>
    <row r="111" ht="12.75" customHeight="1">
      <c r="A111" s="274">
        <v>104.0</v>
      </c>
      <c r="B111" s="275">
        <f>ROUND((IF('Ground Base'!B$154&gt;ROUND(((1-GroundCommDiscount31Up-GroundCommIncentive)*'Ground Base'!B106),2),ROUND('Ground Base'!B$154*(1+GroundFuelSurcharge),2),ROUND(((1-GroundCommDiscount31Up-GroundCommIncentive)*'Ground Base'!B106)*(1+GroundFuelSurcharge),2)))*(1+FedEx_Markup),2)</f>
        <v>41.41</v>
      </c>
      <c r="C111" s="275">
        <f>ROUND((IF('Ground Base'!C$154&gt;ROUND(((1-GroundCommDiscount31Up-GroundCommIncentive)*'Ground Base'!C106),2),ROUND('Ground Base'!C$154*(1+GroundFuelSurcharge),2),ROUND(((1-GroundCommDiscount31Up-GroundCommIncentive)*'Ground Base'!C106)*(1+GroundFuelSurcharge),2)))*(1+FedEx_Markup),2)</f>
        <v>41.99</v>
      </c>
      <c r="D111" s="275">
        <f>ROUND((IF('Ground Base'!D$154&gt;ROUND(((1-GroundCommDiscount31Up-GroundCommIncentive)*'Ground Base'!D106),2),ROUND('Ground Base'!D$154*(1+GroundFuelSurcharge),2),ROUND(((1-GroundCommDiscount31Up-GroundCommIncentive)*'Ground Base'!D106)*(1+GroundFuelSurcharge),2)))*(1+FedEx_Markup),2)</f>
        <v>45.92</v>
      </c>
      <c r="E111" s="275">
        <f>ROUND((IF('Ground Base'!E$154&gt;ROUND(((1-GroundCommDiscount31Up-GroundCommIncentive)*'Ground Base'!E106),2),ROUND('Ground Base'!E$154*(1+GroundFuelSurcharge),2),ROUND(((1-GroundCommDiscount31Up-GroundCommIncentive)*'Ground Base'!E106)*(1+GroundFuelSurcharge),2)))*(1+FedEx_Markup),2)</f>
        <v>48.97</v>
      </c>
      <c r="F111" s="275">
        <f>ROUND((IF('Ground Base'!F$154&gt;ROUND(((1-GroundCommDiscount31Up-GroundCommIncentive)*'Ground Base'!F106),2),ROUND('Ground Base'!F$154*(1+GroundFuelSurcharge),2),ROUND(((1-GroundCommDiscount31Up-GroundCommIncentive)*'Ground Base'!F106)*(1+GroundFuelSurcharge),2)))*(1+FedEx_Markup),2)</f>
        <v>57.39</v>
      </c>
      <c r="G111" s="275">
        <f>ROUND((IF('Ground Base'!G$154&gt;ROUND(((1-GroundCommDiscount31Up-GroundCommIncentive)*'Ground Base'!G106),2),ROUND('Ground Base'!G$154*(1+GroundFuelSurcharge),2),ROUND(((1-GroundCommDiscount31Up-GroundCommIncentive)*'Ground Base'!G106)*(1+GroundFuelSurcharge),2)))*(1+FedEx_Markup),2)</f>
        <v>63.42</v>
      </c>
      <c r="H111" s="275">
        <f>ROUND((IF('Ground Base'!H$154&gt;ROUND(((1-GroundCommDiscount31Up-GroundCommIncentive)*'Ground Base'!H106),2),ROUND('Ground Base'!H$154*(1+GroundFuelSurcharge),2),ROUND(((1-GroundCommDiscount31Up-GroundCommIncentive)*'Ground Base'!H106)*(1+GroundFuelSurcharge),2)))*(1+FedEx_Markup),2)</f>
        <v>69.85</v>
      </c>
      <c r="I111" s="275">
        <f>ROUND((IF('Ground Base'!I$154&gt;ROUND(((1-GroundAKHIDiscount)*'Ground Base'!I106),2),ROUND('Ground Base'!I$154*(1+GroundFuelSurcharge),2),ROUND(((1-GroundAKHIDiscount)*'Ground Base'!I106)*(1+GroundFuelSurcharge),2)))*(1+FedEx_Markup),2)</f>
        <v>424.59</v>
      </c>
      <c r="J111" s="275">
        <f>ROUND((IF('Ground Base'!J$154&gt;ROUND(((1-GroundAKHIDiscount)*'Ground Base'!J106),2),ROUND('Ground Base'!J$154*(1+GroundFuelSurcharge),2),ROUND(((1-GroundAKHIDiscount)*'Ground Base'!J106)*(1+GroundFuelSurcharge),2)))*(1+FedEx_Markup),2)</f>
        <v>424.59</v>
      </c>
      <c r="K111" s="275">
        <f>ROUND((IF('Ground Base'!K$154&gt;ROUND(((1-GroundZone51Discount)*'Ground Base'!K106),2),ROUND('Ground Base'!K$154*(1+GroundFuelSurcharge),2),ROUND(((1-GroundZone51Discount)*'Ground Base'!K106)*(1+GroundFuelSurcharge),2)))*(1+FedEx_Markup),2)</f>
        <v>100.23</v>
      </c>
      <c r="L111" s="275">
        <f>ROUND((IF('Ground Base'!L$154&gt;ROUND(((1-GroundZone54Discount)*'Ground Base'!L106),2),ROUND('Ground Base'!L$154*(1+GroundFuelSurcharge),2),ROUND(((1-GroundZone54Discount)*'Ground Base'!L106)*(1+GroundFuelSurcharge),2)))*(1+FedEx_Markup),2)</f>
        <v>132.81</v>
      </c>
    </row>
    <row r="112" ht="12.75" customHeight="1">
      <c r="A112" s="274">
        <v>105.0</v>
      </c>
      <c r="B112" s="275">
        <f>ROUND((IF('Ground Base'!B$154&gt;ROUND(((1-GroundCommDiscount31Up-GroundCommIncentive)*'Ground Base'!B107),2),ROUND('Ground Base'!B$154*(1+GroundFuelSurcharge),2),ROUND(((1-GroundCommDiscount31Up-GroundCommIncentive)*'Ground Base'!B107)*(1+GroundFuelSurcharge),2)))*(1+FedEx_Markup),2)</f>
        <v>42.9</v>
      </c>
      <c r="C112" s="275">
        <f>ROUND((IF('Ground Base'!C$154&gt;ROUND(((1-GroundCommDiscount31Up-GroundCommIncentive)*'Ground Base'!C107),2),ROUND('Ground Base'!C$154*(1+GroundFuelSurcharge),2),ROUND(((1-GroundCommDiscount31Up-GroundCommIncentive)*'Ground Base'!C107)*(1+GroundFuelSurcharge),2)))*(1+FedEx_Markup),2)</f>
        <v>43.23</v>
      </c>
      <c r="D112" s="275">
        <f>ROUND((IF('Ground Base'!D$154&gt;ROUND(((1-GroundCommDiscount31Up-GroundCommIncentive)*'Ground Base'!D107),2),ROUND('Ground Base'!D$154*(1+GroundFuelSurcharge),2),ROUND(((1-GroundCommDiscount31Up-GroundCommIncentive)*'Ground Base'!D107)*(1+GroundFuelSurcharge),2)))*(1+FedEx_Markup),2)</f>
        <v>46.89</v>
      </c>
      <c r="E112" s="275">
        <f>ROUND((IF('Ground Base'!E$154&gt;ROUND(((1-GroundCommDiscount31Up-GroundCommIncentive)*'Ground Base'!E107),2),ROUND('Ground Base'!E$154*(1+GroundFuelSurcharge),2),ROUND(((1-GroundCommDiscount31Up-GroundCommIncentive)*'Ground Base'!E107)*(1+GroundFuelSurcharge),2)))*(1+FedEx_Markup),2)</f>
        <v>50.45</v>
      </c>
      <c r="F112" s="275">
        <f>ROUND((IF('Ground Base'!F$154&gt;ROUND(((1-GroundCommDiscount31Up-GroundCommIncentive)*'Ground Base'!F107),2),ROUND('Ground Base'!F$154*(1+GroundFuelSurcharge),2),ROUND(((1-GroundCommDiscount31Up-GroundCommIncentive)*'Ground Base'!F107)*(1+GroundFuelSurcharge),2)))*(1+FedEx_Markup),2)</f>
        <v>58.81</v>
      </c>
      <c r="G112" s="275">
        <f>ROUND((IF('Ground Base'!G$154&gt;ROUND(((1-GroundCommDiscount31Up-GroundCommIncentive)*'Ground Base'!G107),2),ROUND('Ground Base'!G$154*(1+GroundFuelSurcharge),2),ROUND(((1-GroundCommDiscount31Up-GroundCommIncentive)*'Ground Base'!G107)*(1+GroundFuelSurcharge),2)))*(1+FedEx_Markup),2)</f>
        <v>64.89</v>
      </c>
      <c r="H112" s="275">
        <f>ROUND((IF('Ground Base'!H$154&gt;ROUND(((1-GroundCommDiscount31Up-GroundCommIncentive)*'Ground Base'!H107),2),ROUND('Ground Base'!H$154*(1+GroundFuelSurcharge),2),ROUND(((1-GroundCommDiscount31Up-GroundCommIncentive)*'Ground Base'!H107)*(1+GroundFuelSurcharge),2)))*(1+FedEx_Markup),2)</f>
        <v>71.58</v>
      </c>
      <c r="I112" s="275">
        <f>ROUND((IF('Ground Base'!I$154&gt;ROUND(((1-GroundAKHIDiscount)*'Ground Base'!I107),2),ROUND('Ground Base'!I$154*(1+GroundFuelSurcharge),2),ROUND(((1-GroundAKHIDiscount)*'Ground Base'!I107)*(1+GroundFuelSurcharge),2)))*(1+FedEx_Markup),2)</f>
        <v>428.39</v>
      </c>
      <c r="J112" s="275">
        <f>ROUND((IF('Ground Base'!J$154&gt;ROUND(((1-GroundAKHIDiscount)*'Ground Base'!J107),2),ROUND('Ground Base'!J$154*(1+GroundFuelSurcharge),2),ROUND(((1-GroundAKHIDiscount)*'Ground Base'!J107)*(1+GroundFuelSurcharge),2)))*(1+FedEx_Markup),2)</f>
        <v>428.39</v>
      </c>
      <c r="K112" s="275">
        <f>ROUND((IF('Ground Base'!K$154&gt;ROUND(((1-GroundZone51Discount)*'Ground Base'!K107),2),ROUND('Ground Base'!K$154*(1+GroundFuelSurcharge),2),ROUND(((1-GroundZone51Discount)*'Ground Base'!K107)*(1+GroundFuelSurcharge),2)))*(1+FedEx_Markup),2)</f>
        <v>101.18</v>
      </c>
      <c r="L112" s="275">
        <f>ROUND((IF('Ground Base'!L$154&gt;ROUND(((1-GroundZone54Discount)*'Ground Base'!L107),2),ROUND('Ground Base'!L$154*(1+GroundFuelSurcharge),2),ROUND(((1-GroundZone54Discount)*'Ground Base'!L107)*(1+GroundFuelSurcharge),2)))*(1+FedEx_Markup),2)</f>
        <v>132.81</v>
      </c>
    </row>
    <row r="113" ht="12.75" customHeight="1">
      <c r="A113" s="274">
        <v>106.0</v>
      </c>
      <c r="B113" s="275">
        <f>ROUND((IF('Ground Base'!B$154&gt;ROUND(((1-GroundCommDiscount31Up-GroundCommIncentive)*'Ground Base'!B108),2),ROUND('Ground Base'!B$154*(1+GroundFuelSurcharge),2),ROUND(((1-GroundCommDiscount31Up-GroundCommIncentive)*'Ground Base'!B108)*(1+GroundFuelSurcharge),2)))*(1+FedEx_Markup),2)</f>
        <v>43.19</v>
      </c>
      <c r="C113" s="275">
        <f>ROUND((IF('Ground Base'!C$154&gt;ROUND(((1-GroundCommDiscount31Up-GroundCommIncentive)*'Ground Base'!C108),2),ROUND('Ground Base'!C$154*(1+GroundFuelSurcharge),2),ROUND(((1-GroundCommDiscount31Up-GroundCommIncentive)*'Ground Base'!C108)*(1+GroundFuelSurcharge),2)))*(1+FedEx_Markup),2)</f>
        <v>43.24</v>
      </c>
      <c r="D113" s="275">
        <f>ROUND((IF('Ground Base'!D$154&gt;ROUND(((1-GroundCommDiscount31Up-GroundCommIncentive)*'Ground Base'!D108),2),ROUND('Ground Base'!D$154*(1+GroundFuelSurcharge),2),ROUND(((1-GroundCommDiscount31Up-GroundCommIncentive)*'Ground Base'!D108)*(1+GroundFuelSurcharge),2)))*(1+FedEx_Markup),2)</f>
        <v>46.89</v>
      </c>
      <c r="E113" s="275">
        <f>ROUND((IF('Ground Base'!E$154&gt;ROUND(((1-GroundCommDiscount31Up-GroundCommIncentive)*'Ground Base'!E108),2),ROUND('Ground Base'!E$154*(1+GroundFuelSurcharge),2),ROUND(((1-GroundCommDiscount31Up-GroundCommIncentive)*'Ground Base'!E108)*(1+GroundFuelSurcharge),2)))*(1+FedEx_Markup),2)</f>
        <v>50.46</v>
      </c>
      <c r="F113" s="275">
        <f>ROUND((IF('Ground Base'!F$154&gt;ROUND(((1-GroundCommDiscount31Up-GroundCommIncentive)*'Ground Base'!F108),2),ROUND('Ground Base'!F$154*(1+GroundFuelSurcharge),2),ROUND(((1-GroundCommDiscount31Up-GroundCommIncentive)*'Ground Base'!F108)*(1+GroundFuelSurcharge),2)))*(1+FedEx_Markup),2)</f>
        <v>58.82</v>
      </c>
      <c r="G113" s="275">
        <f>ROUND((IF('Ground Base'!G$154&gt;ROUND(((1-GroundCommDiscount31Up-GroundCommIncentive)*'Ground Base'!G108),2),ROUND('Ground Base'!G$154*(1+GroundFuelSurcharge),2),ROUND(((1-GroundCommDiscount31Up-GroundCommIncentive)*'Ground Base'!G108)*(1+GroundFuelSurcharge),2)))*(1+FedEx_Markup),2)</f>
        <v>64.89</v>
      </c>
      <c r="H113" s="275">
        <f>ROUND((IF('Ground Base'!H$154&gt;ROUND(((1-GroundCommDiscount31Up-GroundCommIncentive)*'Ground Base'!H108),2),ROUND('Ground Base'!H$154*(1+GroundFuelSurcharge),2),ROUND(((1-GroundCommDiscount31Up-GroundCommIncentive)*'Ground Base'!H108)*(1+GroundFuelSurcharge),2)))*(1+FedEx_Markup),2)</f>
        <v>71.58</v>
      </c>
      <c r="I113" s="275">
        <f>ROUND((IF('Ground Base'!I$154&gt;ROUND(((1-GroundAKHIDiscount)*'Ground Base'!I108),2),ROUND('Ground Base'!I$154*(1+GroundFuelSurcharge),2),ROUND(((1-GroundAKHIDiscount)*'Ground Base'!I108)*(1+GroundFuelSurcharge),2)))*(1+FedEx_Markup),2)</f>
        <v>432.35</v>
      </c>
      <c r="J113" s="275">
        <f>ROUND((IF('Ground Base'!J$154&gt;ROUND(((1-GroundAKHIDiscount)*'Ground Base'!J108),2),ROUND('Ground Base'!J$154*(1+GroundFuelSurcharge),2),ROUND(((1-GroundAKHIDiscount)*'Ground Base'!J108)*(1+GroundFuelSurcharge),2)))*(1+FedEx_Markup),2)</f>
        <v>432.35</v>
      </c>
      <c r="K113" s="275">
        <f>ROUND((IF('Ground Base'!K$154&gt;ROUND(((1-GroundZone51Discount)*'Ground Base'!K108),2),ROUND('Ground Base'!K$154*(1+GroundFuelSurcharge),2),ROUND(((1-GroundZone51Discount)*'Ground Base'!K108)*(1+GroundFuelSurcharge),2)))*(1+FedEx_Markup),2)</f>
        <v>102.05</v>
      </c>
      <c r="L113" s="275">
        <f>ROUND((IF('Ground Base'!L$154&gt;ROUND(((1-GroundZone54Discount)*'Ground Base'!L108),2),ROUND('Ground Base'!L$154*(1+GroundFuelSurcharge),2),ROUND(((1-GroundZone54Discount)*'Ground Base'!L108)*(1+GroundFuelSurcharge),2)))*(1+FedEx_Markup),2)</f>
        <v>135.94</v>
      </c>
    </row>
    <row r="114" ht="12.75" customHeight="1">
      <c r="A114" s="274">
        <v>107.0</v>
      </c>
      <c r="B114" s="275">
        <f>ROUND((IF('Ground Base'!B$154&gt;ROUND(((1-GroundCommDiscount31Up-GroundCommIncentive)*'Ground Base'!B109),2),ROUND('Ground Base'!B$154*(1+GroundFuelSurcharge),2),ROUND(((1-GroundCommDiscount31Up-GroundCommIncentive)*'Ground Base'!B109)*(1+GroundFuelSurcharge),2)))*(1+FedEx_Markup),2)</f>
        <v>43.42</v>
      </c>
      <c r="C114" s="275">
        <f>ROUND((IF('Ground Base'!C$154&gt;ROUND(((1-GroundCommDiscount31Up-GroundCommIncentive)*'Ground Base'!C109),2),ROUND('Ground Base'!C$154*(1+GroundFuelSurcharge),2),ROUND(((1-GroundCommDiscount31Up-GroundCommIncentive)*'Ground Base'!C109)*(1+GroundFuelSurcharge),2)))*(1+FedEx_Markup),2)</f>
        <v>43.84</v>
      </c>
      <c r="D114" s="275">
        <f>ROUND((IF('Ground Base'!D$154&gt;ROUND(((1-GroundCommDiscount31Up-GroundCommIncentive)*'Ground Base'!D109),2),ROUND('Ground Base'!D$154*(1+GroundFuelSurcharge),2),ROUND(((1-GroundCommDiscount31Up-GroundCommIncentive)*'Ground Base'!D109)*(1+GroundFuelSurcharge),2)))*(1+FedEx_Markup),2)</f>
        <v>47.52</v>
      </c>
      <c r="E114" s="275">
        <f>ROUND((IF('Ground Base'!E$154&gt;ROUND(((1-GroundCommDiscount31Up-GroundCommIncentive)*'Ground Base'!E109),2),ROUND('Ground Base'!E$154*(1+GroundFuelSurcharge),2),ROUND(((1-GroundCommDiscount31Up-GroundCommIncentive)*'Ground Base'!E109)*(1+GroundFuelSurcharge),2)))*(1+FedEx_Markup),2)</f>
        <v>51</v>
      </c>
      <c r="F114" s="275">
        <f>ROUND((IF('Ground Base'!F$154&gt;ROUND(((1-GroundCommDiscount31Up-GroundCommIncentive)*'Ground Base'!F109),2),ROUND('Ground Base'!F$154*(1+GroundFuelSurcharge),2),ROUND(((1-GroundCommDiscount31Up-GroundCommIncentive)*'Ground Base'!F109)*(1+GroundFuelSurcharge),2)))*(1+FedEx_Markup),2)</f>
        <v>58.82</v>
      </c>
      <c r="G114" s="275">
        <f>ROUND((IF('Ground Base'!G$154&gt;ROUND(((1-GroundCommDiscount31Up-GroundCommIncentive)*'Ground Base'!G109),2),ROUND('Ground Base'!G$154*(1+GroundFuelSurcharge),2),ROUND(((1-GroundCommDiscount31Up-GroundCommIncentive)*'Ground Base'!G109)*(1+GroundFuelSurcharge),2)))*(1+FedEx_Markup),2)</f>
        <v>65.39</v>
      </c>
      <c r="H114" s="275">
        <f>ROUND((IF('Ground Base'!H$154&gt;ROUND(((1-GroundCommDiscount31Up-GroundCommIncentive)*'Ground Base'!H109),2),ROUND('Ground Base'!H$154*(1+GroundFuelSurcharge),2),ROUND(((1-GroundCommDiscount31Up-GroundCommIncentive)*'Ground Base'!H109)*(1+GroundFuelSurcharge),2)))*(1+FedEx_Markup),2)</f>
        <v>72.14</v>
      </c>
      <c r="I114" s="275">
        <f>ROUND((IF('Ground Base'!I$154&gt;ROUND(((1-GroundAKHIDiscount)*'Ground Base'!I109),2),ROUND('Ground Base'!I$154*(1+GroundFuelSurcharge),2),ROUND(((1-GroundAKHIDiscount)*'Ground Base'!I109)*(1+GroundFuelSurcharge),2)))*(1+FedEx_Markup),2)</f>
        <v>436.33</v>
      </c>
      <c r="J114" s="275">
        <f>ROUND((IF('Ground Base'!J$154&gt;ROUND(((1-GroundAKHIDiscount)*'Ground Base'!J109),2),ROUND('Ground Base'!J$154*(1+GroundFuelSurcharge),2),ROUND(((1-GroundAKHIDiscount)*'Ground Base'!J109)*(1+GroundFuelSurcharge),2)))*(1+FedEx_Markup),2)</f>
        <v>436.33</v>
      </c>
      <c r="K114" s="275">
        <f>ROUND((IF('Ground Base'!K$154&gt;ROUND(((1-GroundZone51Discount)*'Ground Base'!K109),2),ROUND('Ground Base'!K$154*(1+GroundFuelSurcharge),2),ROUND(((1-GroundZone51Discount)*'Ground Base'!K109)*(1+GroundFuelSurcharge),2)))*(1+FedEx_Markup),2)</f>
        <v>102.06</v>
      </c>
      <c r="L114" s="275">
        <f>ROUND((IF('Ground Base'!L$154&gt;ROUND(((1-GroundZone54Discount)*'Ground Base'!L109),2),ROUND('Ground Base'!L$154*(1+GroundFuelSurcharge),2),ROUND(((1-GroundZone54Discount)*'Ground Base'!L109)*(1+GroundFuelSurcharge),2)))*(1+FedEx_Markup),2)</f>
        <v>135.94</v>
      </c>
    </row>
    <row r="115" ht="12.75" customHeight="1">
      <c r="A115" s="274">
        <v>108.0</v>
      </c>
      <c r="B115" s="275">
        <f>ROUND((IF('Ground Base'!B$154&gt;ROUND(((1-GroundCommDiscount31Up-GroundCommIncentive)*'Ground Base'!B110),2),ROUND('Ground Base'!B$154*(1+GroundFuelSurcharge),2),ROUND(((1-GroundCommDiscount31Up-GroundCommIncentive)*'Ground Base'!B110)*(1+GroundFuelSurcharge),2)))*(1+FedEx_Markup),2)</f>
        <v>44.03</v>
      </c>
      <c r="C115" s="275">
        <f>ROUND((IF('Ground Base'!C$154&gt;ROUND(((1-GroundCommDiscount31Up-GroundCommIncentive)*'Ground Base'!C110),2),ROUND('Ground Base'!C$154*(1+GroundFuelSurcharge),2),ROUND(((1-GroundCommDiscount31Up-GroundCommIncentive)*'Ground Base'!C110)*(1+GroundFuelSurcharge),2)))*(1+FedEx_Markup),2)</f>
        <v>44.32</v>
      </c>
      <c r="D115" s="275">
        <f>ROUND((IF('Ground Base'!D$154&gt;ROUND(((1-GroundCommDiscount31Up-GroundCommIncentive)*'Ground Base'!D110),2),ROUND('Ground Base'!D$154*(1+GroundFuelSurcharge),2),ROUND(((1-GroundCommDiscount31Up-GroundCommIncentive)*'Ground Base'!D110)*(1+GroundFuelSurcharge),2)))*(1+FedEx_Markup),2)</f>
        <v>47.98</v>
      </c>
      <c r="E115" s="275">
        <f>ROUND((IF('Ground Base'!E$154&gt;ROUND(((1-GroundCommDiscount31Up-GroundCommIncentive)*'Ground Base'!E110),2),ROUND('Ground Base'!E$154*(1+GroundFuelSurcharge),2),ROUND(((1-GroundCommDiscount31Up-GroundCommIncentive)*'Ground Base'!E110)*(1+GroundFuelSurcharge),2)))*(1+FedEx_Markup),2)</f>
        <v>51.01</v>
      </c>
      <c r="F115" s="275">
        <f>ROUND((IF('Ground Base'!F$154&gt;ROUND(((1-GroundCommDiscount31Up-GroundCommIncentive)*'Ground Base'!F110),2),ROUND('Ground Base'!F$154*(1+GroundFuelSurcharge),2),ROUND(((1-GroundCommDiscount31Up-GroundCommIncentive)*'Ground Base'!F110)*(1+GroundFuelSurcharge),2)))*(1+FedEx_Markup),2)</f>
        <v>59.35</v>
      </c>
      <c r="G115" s="275">
        <f>ROUND((IF('Ground Base'!G$154&gt;ROUND(((1-GroundCommDiscount31Up-GroundCommIncentive)*'Ground Base'!G110),2),ROUND('Ground Base'!G$154*(1+GroundFuelSurcharge),2),ROUND(((1-GroundCommDiscount31Up-GroundCommIncentive)*'Ground Base'!G110)*(1+GroundFuelSurcharge),2)))*(1+FedEx_Markup),2)</f>
        <v>65.39</v>
      </c>
      <c r="H115" s="275">
        <f>ROUND((IF('Ground Base'!H$154&gt;ROUND(((1-GroundCommDiscount31Up-GroundCommIncentive)*'Ground Base'!H110),2),ROUND('Ground Base'!H$154*(1+GroundFuelSurcharge),2),ROUND(((1-GroundCommDiscount31Up-GroundCommIncentive)*'Ground Base'!H110)*(1+GroundFuelSurcharge),2)))*(1+FedEx_Markup),2)</f>
        <v>72.15</v>
      </c>
      <c r="I115" s="275">
        <f>ROUND((IF('Ground Base'!I$154&gt;ROUND(((1-GroundAKHIDiscount)*'Ground Base'!I110),2),ROUND('Ground Base'!I$154*(1+GroundFuelSurcharge),2),ROUND(((1-GroundAKHIDiscount)*'Ground Base'!I110)*(1+GroundFuelSurcharge),2)))*(1+FedEx_Markup),2)</f>
        <v>440.32</v>
      </c>
      <c r="J115" s="275">
        <f>ROUND((IF('Ground Base'!J$154&gt;ROUND(((1-GroundAKHIDiscount)*'Ground Base'!J110),2),ROUND('Ground Base'!J$154*(1+GroundFuelSurcharge),2),ROUND(((1-GroundAKHIDiscount)*'Ground Base'!J110)*(1+GroundFuelSurcharge),2)))*(1+FedEx_Markup),2)</f>
        <v>440.32</v>
      </c>
      <c r="K115" s="275">
        <f>ROUND((IF('Ground Base'!K$154&gt;ROUND(((1-GroundZone51Discount)*'Ground Base'!K110),2),ROUND('Ground Base'!K$154*(1+GroundFuelSurcharge),2),ROUND(((1-GroundZone51Discount)*'Ground Base'!K110)*(1+GroundFuelSurcharge),2)))*(1+FedEx_Markup),2)</f>
        <v>102.07</v>
      </c>
      <c r="L115" s="275">
        <f>ROUND((IF('Ground Base'!L$154&gt;ROUND(((1-GroundZone54Discount)*'Ground Base'!L110),2),ROUND('Ground Base'!L$154*(1+GroundFuelSurcharge),2),ROUND(((1-GroundZone54Discount)*'Ground Base'!L110)*(1+GroundFuelSurcharge),2)))*(1+FedEx_Markup),2)</f>
        <v>135.95</v>
      </c>
    </row>
    <row r="116" ht="12.75" customHeight="1">
      <c r="A116" s="274">
        <v>109.0</v>
      </c>
      <c r="B116" s="275">
        <f>ROUND((IF('Ground Base'!B$154&gt;ROUND(((1-GroundCommDiscount31Up-GroundCommIncentive)*'Ground Base'!B111),2),ROUND('Ground Base'!B$154*(1+GroundFuelSurcharge),2),ROUND(((1-GroundCommDiscount31Up-GroundCommIncentive)*'Ground Base'!B111)*(1+GroundFuelSurcharge),2)))*(1+FedEx_Markup),2)</f>
        <v>45.37</v>
      </c>
      <c r="C116" s="275">
        <f>ROUND((IF('Ground Base'!C$154&gt;ROUND(((1-GroundCommDiscount31Up-GroundCommIncentive)*'Ground Base'!C111),2),ROUND('Ground Base'!C$154*(1+GroundFuelSurcharge),2),ROUND(((1-GroundCommDiscount31Up-GroundCommIncentive)*'Ground Base'!C111)*(1+GroundFuelSurcharge),2)))*(1+FedEx_Markup),2)</f>
        <v>45.38</v>
      </c>
      <c r="D116" s="275">
        <f>ROUND((IF('Ground Base'!D$154&gt;ROUND(((1-GroundCommDiscount31Up-GroundCommIncentive)*'Ground Base'!D111),2),ROUND('Ground Base'!D$154*(1+GroundFuelSurcharge),2),ROUND(((1-GroundCommDiscount31Up-GroundCommIncentive)*'Ground Base'!D111)*(1+GroundFuelSurcharge),2)))*(1+FedEx_Markup),2)</f>
        <v>48.58</v>
      </c>
      <c r="E116" s="275">
        <f>ROUND((IF('Ground Base'!E$154&gt;ROUND(((1-GroundCommDiscount31Up-GroundCommIncentive)*'Ground Base'!E111),2),ROUND('Ground Base'!E$154*(1+GroundFuelSurcharge),2),ROUND(((1-GroundCommDiscount31Up-GroundCommIncentive)*'Ground Base'!E111)*(1+GroundFuelSurcharge),2)))*(1+FedEx_Markup),2)</f>
        <v>52</v>
      </c>
      <c r="F116" s="275">
        <f>ROUND((IF('Ground Base'!F$154&gt;ROUND(((1-GroundCommDiscount31Up-GroundCommIncentive)*'Ground Base'!F111),2),ROUND('Ground Base'!F$154*(1+GroundFuelSurcharge),2),ROUND(((1-GroundCommDiscount31Up-GroundCommIncentive)*'Ground Base'!F111)*(1+GroundFuelSurcharge),2)))*(1+FedEx_Markup),2)</f>
        <v>59.86</v>
      </c>
      <c r="G116" s="275">
        <f>ROUND((IF('Ground Base'!G$154&gt;ROUND(((1-GroundCommDiscount31Up-GroundCommIncentive)*'Ground Base'!G111),2),ROUND('Ground Base'!G$154*(1+GroundFuelSurcharge),2),ROUND(((1-GroundCommDiscount31Up-GroundCommIncentive)*'Ground Base'!G111)*(1+GroundFuelSurcharge),2)))*(1+FedEx_Markup),2)</f>
        <v>66.56</v>
      </c>
      <c r="H116" s="275">
        <f>ROUND((IF('Ground Base'!H$154&gt;ROUND(((1-GroundCommDiscount31Up-GroundCommIncentive)*'Ground Base'!H111),2),ROUND('Ground Base'!H$154*(1+GroundFuelSurcharge),2),ROUND(((1-GroundCommDiscount31Up-GroundCommIncentive)*'Ground Base'!H111)*(1+GroundFuelSurcharge),2)))*(1+FedEx_Markup),2)</f>
        <v>73.46</v>
      </c>
      <c r="I116" s="275">
        <f>ROUND((IF('Ground Base'!I$154&gt;ROUND(((1-GroundAKHIDiscount)*'Ground Base'!I111),2),ROUND('Ground Base'!I$154*(1+GroundFuelSurcharge),2),ROUND(((1-GroundAKHIDiscount)*'Ground Base'!I111)*(1+GroundFuelSurcharge),2)))*(1+FedEx_Markup),2)</f>
        <v>444.08</v>
      </c>
      <c r="J116" s="275">
        <f>ROUND((IF('Ground Base'!J$154&gt;ROUND(((1-GroundAKHIDiscount)*'Ground Base'!J111),2),ROUND('Ground Base'!J$154*(1+GroundFuelSurcharge),2),ROUND(((1-GroundAKHIDiscount)*'Ground Base'!J111)*(1+GroundFuelSurcharge),2)))*(1+FedEx_Markup),2)</f>
        <v>444.08</v>
      </c>
      <c r="K116" s="275">
        <f>ROUND((IF('Ground Base'!K$154&gt;ROUND(((1-GroundZone51Discount)*'Ground Base'!K111),2),ROUND('Ground Base'!K$154*(1+GroundFuelSurcharge),2),ROUND(((1-GroundZone51Discount)*'Ground Base'!K111)*(1+GroundFuelSurcharge),2)))*(1+FedEx_Markup),2)</f>
        <v>102.09</v>
      </c>
      <c r="L116" s="275">
        <f>ROUND((IF('Ground Base'!L$154&gt;ROUND(((1-GroundZone54Discount)*'Ground Base'!L111),2),ROUND('Ground Base'!L$154*(1+GroundFuelSurcharge),2),ROUND(((1-GroundZone54Discount)*'Ground Base'!L111)*(1+GroundFuelSurcharge),2)))*(1+FedEx_Markup),2)</f>
        <v>135.96</v>
      </c>
    </row>
    <row r="117" ht="12.75" customHeight="1">
      <c r="A117" s="274">
        <v>110.0</v>
      </c>
      <c r="B117" s="275">
        <f>ROUND((IF('Ground Base'!B$154&gt;ROUND(((1-GroundCommDiscount31Up-GroundCommIncentive)*'Ground Base'!B112),2),ROUND('Ground Base'!B$154*(1+GroundFuelSurcharge),2),ROUND(((1-GroundCommDiscount31Up-GroundCommIncentive)*'Ground Base'!B112)*(1+GroundFuelSurcharge),2)))*(1+FedEx_Markup),2)</f>
        <v>46.15</v>
      </c>
      <c r="C117" s="275">
        <f>ROUND((IF('Ground Base'!C$154&gt;ROUND(((1-GroundCommDiscount31Up-GroundCommIncentive)*'Ground Base'!C112),2),ROUND('Ground Base'!C$154*(1+GroundFuelSurcharge),2),ROUND(((1-GroundCommDiscount31Up-GroundCommIncentive)*'Ground Base'!C112)*(1+GroundFuelSurcharge),2)))*(1+FedEx_Markup),2)</f>
        <v>46.47</v>
      </c>
      <c r="D117" s="275">
        <f>ROUND((IF('Ground Base'!D$154&gt;ROUND(((1-GroundCommDiscount31Up-GroundCommIncentive)*'Ground Base'!D112),2),ROUND('Ground Base'!D$154*(1+GroundFuelSurcharge),2),ROUND(((1-GroundCommDiscount31Up-GroundCommIncentive)*'Ground Base'!D112)*(1+GroundFuelSurcharge),2)))*(1+FedEx_Markup),2)</f>
        <v>49.6</v>
      </c>
      <c r="E117" s="275">
        <f>ROUND((IF('Ground Base'!E$154&gt;ROUND(((1-GroundCommDiscount31Up-GroundCommIncentive)*'Ground Base'!E112),2),ROUND('Ground Base'!E$154*(1+GroundFuelSurcharge),2),ROUND(((1-GroundCommDiscount31Up-GroundCommIncentive)*'Ground Base'!E112)*(1+GroundFuelSurcharge),2)))*(1+FedEx_Markup),2)</f>
        <v>52.99</v>
      </c>
      <c r="F117" s="275">
        <f>ROUND((IF('Ground Base'!F$154&gt;ROUND(((1-GroundCommDiscount31Up-GroundCommIncentive)*'Ground Base'!F112),2),ROUND('Ground Base'!F$154*(1+GroundFuelSurcharge),2),ROUND(((1-GroundCommDiscount31Up-GroundCommIncentive)*'Ground Base'!F112)*(1+GroundFuelSurcharge),2)))*(1+FedEx_Markup),2)</f>
        <v>61.53</v>
      </c>
      <c r="G117" s="275">
        <f>ROUND((IF('Ground Base'!G$154&gt;ROUND(((1-GroundCommDiscount31Up-GroundCommIncentive)*'Ground Base'!G112),2),ROUND('Ground Base'!G$154*(1+GroundFuelSurcharge),2),ROUND(((1-GroundCommDiscount31Up-GroundCommIncentive)*'Ground Base'!G112)*(1+GroundFuelSurcharge),2)))*(1+FedEx_Markup),2)</f>
        <v>67.8</v>
      </c>
      <c r="H117" s="275">
        <f>ROUND((IF('Ground Base'!H$154&gt;ROUND(((1-GroundCommDiscount31Up-GroundCommIncentive)*'Ground Base'!H112),2),ROUND('Ground Base'!H$154*(1+GroundFuelSurcharge),2),ROUND(((1-GroundCommDiscount31Up-GroundCommIncentive)*'Ground Base'!H112)*(1+GroundFuelSurcharge),2)))*(1+FedEx_Markup),2)</f>
        <v>74.82</v>
      </c>
      <c r="I117" s="275">
        <f>ROUND((IF('Ground Base'!I$154&gt;ROUND(((1-GroundAKHIDiscount)*'Ground Base'!I112),2),ROUND('Ground Base'!I$154*(1+GroundFuelSurcharge),2),ROUND(((1-GroundAKHIDiscount)*'Ground Base'!I112)*(1+GroundFuelSurcharge),2)))*(1+FedEx_Markup),2)</f>
        <v>447.83</v>
      </c>
      <c r="J117" s="275">
        <f>ROUND((IF('Ground Base'!J$154&gt;ROUND(((1-GroundAKHIDiscount)*'Ground Base'!J112),2),ROUND('Ground Base'!J$154*(1+GroundFuelSurcharge),2),ROUND(((1-GroundAKHIDiscount)*'Ground Base'!J112)*(1+GroundFuelSurcharge),2)))*(1+FedEx_Markup),2)</f>
        <v>447.83</v>
      </c>
      <c r="K117" s="275">
        <f>ROUND((IF('Ground Base'!K$154&gt;ROUND(((1-GroundZone51Discount)*'Ground Base'!K112),2),ROUND('Ground Base'!K$154*(1+GroundFuelSurcharge),2),ROUND(((1-GroundZone51Discount)*'Ground Base'!K112)*(1+GroundFuelSurcharge),2)))*(1+FedEx_Markup),2)</f>
        <v>102.1</v>
      </c>
      <c r="L117" s="275">
        <f>ROUND((IF('Ground Base'!L$154&gt;ROUND(((1-GroundZone54Discount)*'Ground Base'!L112),2),ROUND('Ground Base'!L$154*(1+GroundFuelSurcharge),2),ROUND(((1-GroundZone54Discount)*'Ground Base'!L112)*(1+GroundFuelSurcharge),2)))*(1+FedEx_Markup),2)</f>
        <v>135.98</v>
      </c>
    </row>
    <row r="118" ht="12.75" customHeight="1">
      <c r="A118" s="274">
        <v>111.0</v>
      </c>
      <c r="B118" s="275">
        <f>ROUND((IF('Ground Base'!B$154&gt;ROUND(((1-GroundCommDiscount31Up-GroundCommIncentive)*'Ground Base'!B113),2),ROUND('Ground Base'!B$154*(1+GroundFuelSurcharge),2),ROUND(((1-GroundCommDiscount31Up-GroundCommIncentive)*'Ground Base'!B113)*(1+GroundFuelSurcharge),2)))*(1+FedEx_Markup),2)</f>
        <v>46.15</v>
      </c>
      <c r="C118" s="275">
        <f>ROUND((IF('Ground Base'!C$154&gt;ROUND(((1-GroundCommDiscount31Up-GroundCommIncentive)*'Ground Base'!C113),2),ROUND('Ground Base'!C$154*(1+GroundFuelSurcharge),2),ROUND(((1-GroundCommDiscount31Up-GroundCommIncentive)*'Ground Base'!C113)*(1+GroundFuelSurcharge),2)))*(1+FedEx_Markup),2)</f>
        <v>46.54</v>
      </c>
      <c r="D118" s="275">
        <f>ROUND((IF('Ground Base'!D$154&gt;ROUND(((1-GroundCommDiscount31Up-GroundCommIncentive)*'Ground Base'!D113),2),ROUND('Ground Base'!D$154*(1+GroundFuelSurcharge),2),ROUND(((1-GroundCommDiscount31Up-GroundCommIncentive)*'Ground Base'!D113)*(1+GroundFuelSurcharge),2)))*(1+FedEx_Markup),2)</f>
        <v>50.69</v>
      </c>
      <c r="E118" s="275">
        <f>ROUND((IF('Ground Base'!E$154&gt;ROUND(((1-GroundCommDiscount31Up-GroundCommIncentive)*'Ground Base'!E113),2),ROUND('Ground Base'!E$154*(1+GroundFuelSurcharge),2),ROUND(((1-GroundCommDiscount31Up-GroundCommIncentive)*'Ground Base'!E113)*(1+GroundFuelSurcharge),2)))*(1+FedEx_Markup),2)</f>
        <v>53.51</v>
      </c>
      <c r="F118" s="275">
        <f>ROUND((IF('Ground Base'!F$154&gt;ROUND(((1-GroundCommDiscount31Up-GroundCommIncentive)*'Ground Base'!F113),2),ROUND('Ground Base'!F$154*(1+GroundFuelSurcharge),2),ROUND(((1-GroundCommDiscount31Up-GroundCommIncentive)*'Ground Base'!F113)*(1+GroundFuelSurcharge),2)))*(1+FedEx_Markup),2)</f>
        <v>61.53</v>
      </c>
      <c r="G118" s="275">
        <f>ROUND((IF('Ground Base'!G$154&gt;ROUND(((1-GroundCommDiscount31Up-GroundCommIncentive)*'Ground Base'!G113),2),ROUND('Ground Base'!G$154*(1+GroundFuelSurcharge),2),ROUND(((1-GroundCommDiscount31Up-GroundCommIncentive)*'Ground Base'!G113)*(1+GroundFuelSurcharge),2)))*(1+FedEx_Markup),2)</f>
        <v>68.29</v>
      </c>
      <c r="H118" s="275">
        <f>ROUND((IF('Ground Base'!H$154&gt;ROUND(((1-GroundCommDiscount31Up-GroundCommIncentive)*'Ground Base'!H113),2),ROUND('Ground Base'!H$154*(1+GroundFuelSurcharge),2),ROUND(((1-GroundCommDiscount31Up-GroundCommIncentive)*'Ground Base'!H113)*(1+GroundFuelSurcharge),2)))*(1+FedEx_Markup),2)</f>
        <v>75.7</v>
      </c>
      <c r="I118" s="275">
        <f>ROUND((IF('Ground Base'!I$154&gt;ROUND(((1-GroundAKHIDiscount)*'Ground Base'!I113),2),ROUND('Ground Base'!I$154*(1+GroundFuelSurcharge),2),ROUND(((1-GroundAKHIDiscount)*'Ground Base'!I113)*(1+GroundFuelSurcharge),2)))*(1+FedEx_Markup),2)</f>
        <v>452.94</v>
      </c>
      <c r="J118" s="275">
        <f>ROUND((IF('Ground Base'!J$154&gt;ROUND(((1-GroundAKHIDiscount)*'Ground Base'!J113),2),ROUND('Ground Base'!J$154*(1+GroundFuelSurcharge),2),ROUND(((1-GroundAKHIDiscount)*'Ground Base'!J113)*(1+GroundFuelSurcharge),2)))*(1+FedEx_Markup),2)</f>
        <v>452.94</v>
      </c>
      <c r="K118" s="275">
        <f>ROUND((IF('Ground Base'!K$154&gt;ROUND(((1-GroundZone51Discount)*'Ground Base'!K113),2),ROUND('Ground Base'!K$154*(1+GroundFuelSurcharge),2),ROUND(((1-GroundZone51Discount)*'Ground Base'!K113)*(1+GroundFuelSurcharge),2)))*(1+FedEx_Markup),2)</f>
        <v>105.13</v>
      </c>
      <c r="L118" s="275">
        <f>ROUND((IF('Ground Base'!L$154&gt;ROUND(((1-GroundZone54Discount)*'Ground Base'!L113),2),ROUND('Ground Base'!L$154*(1+GroundFuelSurcharge),2),ROUND(((1-GroundZone54Discount)*'Ground Base'!L113)*(1+GroundFuelSurcharge),2)))*(1+FedEx_Markup),2)</f>
        <v>141.29</v>
      </c>
    </row>
    <row r="119" ht="12.75" customHeight="1">
      <c r="A119" s="274">
        <v>112.0</v>
      </c>
      <c r="B119" s="275">
        <f>ROUND((IF('Ground Base'!B$154&gt;ROUND(((1-GroundCommDiscount31Up-GroundCommIncentive)*'Ground Base'!B114),2),ROUND('Ground Base'!B$154*(1+GroundFuelSurcharge),2),ROUND(((1-GroundCommDiscount31Up-GroundCommIncentive)*'Ground Base'!B114)*(1+GroundFuelSurcharge),2)))*(1+FedEx_Markup),2)</f>
        <v>46.7</v>
      </c>
      <c r="C119" s="275">
        <f>ROUND((IF('Ground Base'!C$154&gt;ROUND(((1-GroundCommDiscount31Up-GroundCommIncentive)*'Ground Base'!C114),2),ROUND('Ground Base'!C$154*(1+GroundFuelSurcharge),2),ROUND(((1-GroundCommDiscount31Up-GroundCommIncentive)*'Ground Base'!C114)*(1+GroundFuelSurcharge),2)))*(1+FedEx_Markup),2)</f>
        <v>47.5</v>
      </c>
      <c r="D119" s="275">
        <f>ROUND((IF('Ground Base'!D$154&gt;ROUND(((1-GroundCommDiscount31Up-GroundCommIncentive)*'Ground Base'!D114),2),ROUND('Ground Base'!D$154*(1+GroundFuelSurcharge),2),ROUND(((1-GroundCommDiscount31Up-GroundCommIncentive)*'Ground Base'!D114)*(1+GroundFuelSurcharge),2)))*(1+FedEx_Markup),2)</f>
        <v>50.69</v>
      </c>
      <c r="E119" s="275">
        <f>ROUND((IF('Ground Base'!E$154&gt;ROUND(((1-GroundCommDiscount31Up-GroundCommIncentive)*'Ground Base'!E114),2),ROUND('Ground Base'!E$154*(1+GroundFuelSurcharge),2),ROUND(((1-GroundCommDiscount31Up-GroundCommIncentive)*'Ground Base'!E114)*(1+GroundFuelSurcharge),2)))*(1+FedEx_Markup),2)</f>
        <v>53.52</v>
      </c>
      <c r="F119" s="275">
        <f>ROUND((IF('Ground Base'!F$154&gt;ROUND(((1-GroundCommDiscount31Up-GroundCommIncentive)*'Ground Base'!F114),2),ROUND('Ground Base'!F$154*(1+GroundFuelSurcharge),2),ROUND(((1-GroundCommDiscount31Up-GroundCommIncentive)*'Ground Base'!F114)*(1+GroundFuelSurcharge),2)))*(1+FedEx_Markup),2)</f>
        <v>62.02</v>
      </c>
      <c r="G119" s="275">
        <f>ROUND((IF('Ground Base'!G$154&gt;ROUND(((1-GroundCommDiscount31Up-GroundCommIncentive)*'Ground Base'!G114),2),ROUND('Ground Base'!G$154*(1+GroundFuelSurcharge),2),ROUND(((1-GroundCommDiscount31Up-GroundCommIncentive)*'Ground Base'!G114)*(1+GroundFuelSurcharge),2)))*(1+FedEx_Markup),2)</f>
        <v>68.3</v>
      </c>
      <c r="H119" s="275">
        <f>ROUND((IF('Ground Base'!H$154&gt;ROUND(((1-GroundCommDiscount31Up-GroundCommIncentive)*'Ground Base'!H114),2),ROUND('Ground Base'!H$154*(1+GroundFuelSurcharge),2),ROUND(((1-GroundCommDiscount31Up-GroundCommIncentive)*'Ground Base'!H114)*(1+GroundFuelSurcharge),2)))*(1+FedEx_Markup),2)</f>
        <v>75.72</v>
      </c>
      <c r="I119" s="275">
        <f>ROUND((IF('Ground Base'!I$154&gt;ROUND(((1-GroundAKHIDiscount)*'Ground Base'!I114),2),ROUND('Ground Base'!I$154*(1+GroundFuelSurcharge),2),ROUND(((1-GroundAKHIDiscount)*'Ground Base'!I114)*(1+GroundFuelSurcharge),2)))*(1+FedEx_Markup),2)</f>
        <v>458.05</v>
      </c>
      <c r="J119" s="275">
        <f>ROUND((IF('Ground Base'!J$154&gt;ROUND(((1-GroundAKHIDiscount)*'Ground Base'!J114),2),ROUND('Ground Base'!J$154*(1+GroundFuelSurcharge),2),ROUND(((1-GroundAKHIDiscount)*'Ground Base'!J114)*(1+GroundFuelSurcharge),2)))*(1+FedEx_Markup),2)</f>
        <v>458.05</v>
      </c>
      <c r="K119" s="275">
        <f>ROUND((IF('Ground Base'!K$154&gt;ROUND(((1-GroundZone51Discount)*'Ground Base'!K114),2),ROUND('Ground Base'!K$154*(1+GroundFuelSurcharge),2),ROUND(((1-GroundZone51Discount)*'Ground Base'!K114)*(1+GroundFuelSurcharge),2)))*(1+FedEx_Markup),2)</f>
        <v>105.14</v>
      </c>
      <c r="L119" s="275">
        <f>ROUND((IF('Ground Base'!L$154&gt;ROUND(((1-GroundZone54Discount)*'Ground Base'!L114),2),ROUND('Ground Base'!L$154*(1+GroundFuelSurcharge),2),ROUND(((1-GroundZone54Discount)*'Ground Base'!L114)*(1+GroundFuelSurcharge),2)))*(1+FedEx_Markup),2)</f>
        <v>141.3</v>
      </c>
    </row>
    <row r="120" ht="12.75" customHeight="1">
      <c r="A120" s="274">
        <v>113.0</v>
      </c>
      <c r="B120" s="275">
        <f>ROUND((IF('Ground Base'!B$154&gt;ROUND(((1-GroundCommDiscount31Up-GroundCommIncentive)*'Ground Base'!B115),2),ROUND('Ground Base'!B$154*(1+GroundFuelSurcharge),2),ROUND(((1-GroundCommDiscount31Up-GroundCommIncentive)*'Ground Base'!B115)*(1+GroundFuelSurcharge),2)))*(1+FedEx_Markup),2)</f>
        <v>46.7</v>
      </c>
      <c r="C120" s="275">
        <f>ROUND((IF('Ground Base'!C$154&gt;ROUND(((1-GroundCommDiscount31Up-GroundCommIncentive)*'Ground Base'!C115),2),ROUND('Ground Base'!C$154*(1+GroundFuelSurcharge),2),ROUND(((1-GroundCommDiscount31Up-GroundCommIncentive)*'Ground Base'!C115)*(1+GroundFuelSurcharge),2)))*(1+FedEx_Markup),2)</f>
        <v>47.51</v>
      </c>
      <c r="D120" s="275">
        <f>ROUND((IF('Ground Base'!D$154&gt;ROUND(((1-GroundCommDiscount31Up-GroundCommIncentive)*'Ground Base'!D115),2),ROUND('Ground Base'!D$154*(1+GroundFuelSurcharge),2),ROUND(((1-GroundCommDiscount31Up-GroundCommIncentive)*'Ground Base'!D115)*(1+GroundFuelSurcharge),2)))*(1+FedEx_Markup),2)</f>
        <v>51.26</v>
      </c>
      <c r="E120" s="275">
        <f>ROUND((IF('Ground Base'!E$154&gt;ROUND(((1-GroundCommDiscount31Up-GroundCommIncentive)*'Ground Base'!E115),2),ROUND('Ground Base'!E$154*(1+GroundFuelSurcharge),2),ROUND(((1-GroundCommDiscount31Up-GroundCommIncentive)*'Ground Base'!E115)*(1+GroundFuelSurcharge),2)))*(1+FedEx_Markup),2)</f>
        <v>54.02</v>
      </c>
      <c r="F120" s="275">
        <f>ROUND((IF('Ground Base'!F$154&gt;ROUND(((1-GroundCommDiscount31Up-GroundCommIncentive)*'Ground Base'!F115),2),ROUND('Ground Base'!F$154*(1+GroundFuelSurcharge),2),ROUND(((1-GroundCommDiscount31Up-GroundCommIncentive)*'Ground Base'!F115)*(1+GroundFuelSurcharge),2)))*(1+FedEx_Markup),2)</f>
        <v>62.02</v>
      </c>
      <c r="G120" s="275">
        <f>ROUND((IF('Ground Base'!G$154&gt;ROUND(((1-GroundCommDiscount31Up-GroundCommIncentive)*'Ground Base'!G115),2),ROUND('Ground Base'!G$154*(1+GroundFuelSurcharge),2),ROUND(((1-GroundCommDiscount31Up-GroundCommIncentive)*'Ground Base'!G115)*(1+GroundFuelSurcharge),2)))*(1+FedEx_Markup),2)</f>
        <v>68.3</v>
      </c>
      <c r="H120" s="275">
        <f>ROUND((IF('Ground Base'!H$154&gt;ROUND(((1-GroundCommDiscount31Up-GroundCommIncentive)*'Ground Base'!H115),2),ROUND('Ground Base'!H$154*(1+GroundFuelSurcharge),2),ROUND(((1-GroundCommDiscount31Up-GroundCommIncentive)*'Ground Base'!H115)*(1+GroundFuelSurcharge),2)))*(1+FedEx_Markup),2)</f>
        <v>76.37</v>
      </c>
      <c r="I120" s="275">
        <f>ROUND((IF('Ground Base'!I$154&gt;ROUND(((1-GroundAKHIDiscount)*'Ground Base'!I115),2),ROUND('Ground Base'!I$154*(1+GroundFuelSurcharge),2),ROUND(((1-GroundAKHIDiscount)*'Ground Base'!I115)*(1+GroundFuelSurcharge),2)))*(1+FedEx_Markup),2)</f>
        <v>462.01</v>
      </c>
      <c r="J120" s="275">
        <f>ROUND((IF('Ground Base'!J$154&gt;ROUND(((1-GroundAKHIDiscount)*'Ground Base'!J115),2),ROUND('Ground Base'!J$154*(1+GroundFuelSurcharge),2),ROUND(((1-GroundAKHIDiscount)*'Ground Base'!J115)*(1+GroundFuelSurcharge),2)))*(1+FedEx_Markup),2)</f>
        <v>462.01</v>
      </c>
      <c r="K120" s="275">
        <f>ROUND((IF('Ground Base'!K$154&gt;ROUND(((1-GroundZone51Discount)*'Ground Base'!K115),2),ROUND('Ground Base'!K$154*(1+GroundFuelSurcharge),2),ROUND(((1-GroundZone51Discount)*'Ground Base'!K115)*(1+GroundFuelSurcharge),2)))*(1+FedEx_Markup),2)</f>
        <v>105.16</v>
      </c>
      <c r="L120" s="275">
        <f>ROUND((IF('Ground Base'!L$154&gt;ROUND(((1-GroundZone54Discount)*'Ground Base'!L115),2),ROUND('Ground Base'!L$154*(1+GroundFuelSurcharge),2),ROUND(((1-GroundZone54Discount)*'Ground Base'!L115)*(1+GroundFuelSurcharge),2)))*(1+FedEx_Markup),2)</f>
        <v>141.32</v>
      </c>
    </row>
    <row r="121" ht="12.75" customHeight="1">
      <c r="A121" s="274">
        <v>114.0</v>
      </c>
      <c r="B121" s="275">
        <f>ROUND((IF('Ground Base'!B$154&gt;ROUND(((1-GroundCommDiscount31Up-GroundCommIncentive)*'Ground Base'!B116),2),ROUND('Ground Base'!B$154*(1+GroundFuelSurcharge),2),ROUND(((1-GroundCommDiscount31Up-GroundCommIncentive)*'Ground Base'!B116)*(1+GroundFuelSurcharge),2)))*(1+FedEx_Markup),2)</f>
        <v>47.2</v>
      </c>
      <c r="C121" s="275">
        <f>ROUND((IF('Ground Base'!C$154&gt;ROUND(((1-GroundCommDiscount31Up-GroundCommIncentive)*'Ground Base'!C116),2),ROUND('Ground Base'!C$154*(1+GroundFuelSurcharge),2),ROUND(((1-GroundCommDiscount31Up-GroundCommIncentive)*'Ground Base'!C116)*(1+GroundFuelSurcharge),2)))*(1+FedEx_Markup),2)</f>
        <v>48.52</v>
      </c>
      <c r="D121" s="275">
        <f>ROUND((IF('Ground Base'!D$154&gt;ROUND(((1-GroundCommDiscount31Up-GroundCommIncentive)*'Ground Base'!D116),2),ROUND('Ground Base'!D$154*(1+GroundFuelSurcharge),2),ROUND(((1-GroundCommDiscount31Up-GroundCommIncentive)*'Ground Base'!D116)*(1+GroundFuelSurcharge),2)))*(1+FedEx_Markup),2)</f>
        <v>52.33</v>
      </c>
      <c r="E121" s="275">
        <f>ROUND((IF('Ground Base'!E$154&gt;ROUND(((1-GroundCommDiscount31Up-GroundCommIncentive)*'Ground Base'!E116),2),ROUND('Ground Base'!E$154*(1+GroundFuelSurcharge),2),ROUND(((1-GroundCommDiscount31Up-GroundCommIncentive)*'Ground Base'!E116)*(1+GroundFuelSurcharge),2)))*(1+FedEx_Markup),2)</f>
        <v>55.06</v>
      </c>
      <c r="F121" s="275">
        <f>ROUND((IF('Ground Base'!F$154&gt;ROUND(((1-GroundCommDiscount31Up-GroundCommIncentive)*'Ground Base'!F116),2),ROUND('Ground Base'!F$154*(1+GroundFuelSurcharge),2),ROUND(((1-GroundCommDiscount31Up-GroundCommIncentive)*'Ground Base'!F116)*(1+GroundFuelSurcharge),2)))*(1+FedEx_Markup),2)</f>
        <v>63.66</v>
      </c>
      <c r="G121" s="275">
        <f>ROUND((IF('Ground Base'!G$154&gt;ROUND(((1-GroundCommDiscount31Up-GroundCommIncentive)*'Ground Base'!G116),2),ROUND('Ground Base'!G$154*(1+GroundFuelSurcharge),2),ROUND(((1-GroundCommDiscount31Up-GroundCommIncentive)*'Ground Base'!G116)*(1+GroundFuelSurcharge),2)))*(1+FedEx_Markup),2)</f>
        <v>70.01</v>
      </c>
      <c r="H121" s="275">
        <f>ROUND((IF('Ground Base'!H$154&gt;ROUND(((1-GroundCommDiscount31Up-GroundCommIncentive)*'Ground Base'!H116),2),ROUND('Ground Base'!H$154*(1+GroundFuelSurcharge),2),ROUND(((1-GroundCommDiscount31Up-GroundCommIncentive)*'Ground Base'!H116)*(1+GroundFuelSurcharge),2)))*(1+FedEx_Markup),2)</f>
        <v>77.58</v>
      </c>
      <c r="I121" s="275">
        <f>ROUND((IF('Ground Base'!I$154&gt;ROUND(((1-GroundAKHIDiscount)*'Ground Base'!I116),2),ROUND('Ground Base'!I$154*(1+GroundFuelSurcharge),2),ROUND(((1-GroundAKHIDiscount)*'Ground Base'!I116)*(1+GroundFuelSurcharge),2)))*(1+FedEx_Markup),2)</f>
        <v>466.04</v>
      </c>
      <c r="J121" s="275">
        <f>ROUND((IF('Ground Base'!J$154&gt;ROUND(((1-GroundAKHIDiscount)*'Ground Base'!J116),2),ROUND('Ground Base'!J$154*(1+GroundFuelSurcharge),2),ROUND(((1-GroundAKHIDiscount)*'Ground Base'!J116)*(1+GroundFuelSurcharge),2)))*(1+FedEx_Markup),2)</f>
        <v>466.04</v>
      </c>
      <c r="K121" s="275">
        <f>ROUND((IF('Ground Base'!K$154&gt;ROUND(((1-GroundZone51Discount)*'Ground Base'!K116),2),ROUND('Ground Base'!K$154*(1+GroundFuelSurcharge),2),ROUND(((1-GroundZone51Discount)*'Ground Base'!K116)*(1+GroundFuelSurcharge),2)))*(1+FedEx_Markup),2)</f>
        <v>105.16</v>
      </c>
      <c r="L121" s="275">
        <f>ROUND((IF('Ground Base'!L$154&gt;ROUND(((1-GroundZone54Discount)*'Ground Base'!L116),2),ROUND('Ground Base'!L$154*(1+GroundFuelSurcharge),2),ROUND(((1-GroundZone54Discount)*'Ground Base'!L116)*(1+GroundFuelSurcharge),2)))*(1+FedEx_Markup),2)</f>
        <v>141.32</v>
      </c>
    </row>
    <row r="122" ht="12.75" customHeight="1">
      <c r="A122" s="274">
        <v>115.0</v>
      </c>
      <c r="B122" s="275">
        <f>ROUND((IF('Ground Base'!B$154&gt;ROUND(((1-GroundCommDiscount31Up-GroundCommIncentive)*'Ground Base'!B117),2),ROUND('Ground Base'!B$154*(1+GroundFuelSurcharge),2),ROUND(((1-GroundCommDiscount31Up-GroundCommIncentive)*'Ground Base'!B117)*(1+GroundFuelSurcharge),2)))*(1+FedEx_Markup),2)</f>
        <v>48.62</v>
      </c>
      <c r="C122" s="275">
        <f>ROUND((IF('Ground Base'!C$154&gt;ROUND(((1-GroundCommDiscount31Up-GroundCommIncentive)*'Ground Base'!C117),2),ROUND('Ground Base'!C$154*(1+GroundFuelSurcharge),2),ROUND(((1-GroundCommDiscount31Up-GroundCommIncentive)*'Ground Base'!C117)*(1+GroundFuelSurcharge),2)))*(1+FedEx_Markup),2)</f>
        <v>49.25</v>
      </c>
      <c r="D122" s="275">
        <f>ROUND((IF('Ground Base'!D$154&gt;ROUND(((1-GroundCommDiscount31Up-GroundCommIncentive)*'Ground Base'!D117),2),ROUND('Ground Base'!D$154*(1+GroundFuelSurcharge),2),ROUND(((1-GroundCommDiscount31Up-GroundCommIncentive)*'Ground Base'!D117)*(1+GroundFuelSurcharge),2)))*(1+FedEx_Markup),2)</f>
        <v>52.34</v>
      </c>
      <c r="E122" s="275">
        <f>ROUND((IF('Ground Base'!E$154&gt;ROUND(((1-GroundCommDiscount31Up-GroundCommIncentive)*'Ground Base'!E117),2),ROUND('Ground Base'!E$154*(1+GroundFuelSurcharge),2),ROUND(((1-GroundCommDiscount31Up-GroundCommIncentive)*'Ground Base'!E117)*(1+GroundFuelSurcharge),2)))*(1+FedEx_Markup),2)</f>
        <v>55.73</v>
      </c>
      <c r="F122" s="275">
        <f>ROUND((IF('Ground Base'!F$154&gt;ROUND(((1-GroundCommDiscount31Up-GroundCommIncentive)*'Ground Base'!F117),2),ROUND('Ground Base'!F$154*(1+GroundFuelSurcharge),2),ROUND(((1-GroundCommDiscount31Up-GroundCommIncentive)*'Ground Base'!F117)*(1+GroundFuelSurcharge),2)))*(1+FedEx_Markup),2)</f>
        <v>63.68</v>
      </c>
      <c r="G122" s="275">
        <f>ROUND((IF('Ground Base'!G$154&gt;ROUND(((1-GroundCommDiscount31Up-GroundCommIncentive)*'Ground Base'!G117),2),ROUND('Ground Base'!G$154*(1+GroundFuelSurcharge),2),ROUND(((1-GroundCommDiscount31Up-GroundCommIncentive)*'Ground Base'!G117)*(1+GroundFuelSurcharge),2)))*(1+FedEx_Markup),2)</f>
        <v>70.68</v>
      </c>
      <c r="H122" s="275">
        <f>ROUND((IF('Ground Base'!H$154&gt;ROUND(((1-GroundCommDiscount31Up-GroundCommIncentive)*'Ground Base'!H117),2),ROUND('Ground Base'!H$154*(1+GroundFuelSurcharge),2),ROUND(((1-GroundCommDiscount31Up-GroundCommIncentive)*'Ground Base'!H117)*(1+GroundFuelSurcharge),2)))*(1+FedEx_Markup),2)</f>
        <v>77.61</v>
      </c>
      <c r="I122" s="275">
        <f>ROUND((IF('Ground Base'!I$154&gt;ROUND(((1-GroundAKHIDiscount)*'Ground Base'!I117),2),ROUND('Ground Base'!I$154*(1+GroundFuelSurcharge),2),ROUND(((1-GroundAKHIDiscount)*'Ground Base'!I117)*(1+GroundFuelSurcharge),2)))*(1+FedEx_Markup),2)</f>
        <v>470.01</v>
      </c>
      <c r="J122" s="275">
        <f>ROUND((IF('Ground Base'!J$154&gt;ROUND(((1-GroundAKHIDiscount)*'Ground Base'!J117),2),ROUND('Ground Base'!J$154*(1+GroundFuelSurcharge),2),ROUND(((1-GroundAKHIDiscount)*'Ground Base'!J117)*(1+GroundFuelSurcharge),2)))*(1+FedEx_Markup),2)</f>
        <v>470.01</v>
      </c>
      <c r="K122" s="275">
        <f>ROUND((IF('Ground Base'!K$154&gt;ROUND(((1-GroundZone51Discount)*'Ground Base'!K117),2),ROUND('Ground Base'!K$154*(1+GroundFuelSurcharge),2),ROUND(((1-GroundZone51Discount)*'Ground Base'!K117)*(1+GroundFuelSurcharge),2)))*(1+FedEx_Markup),2)</f>
        <v>105.18</v>
      </c>
      <c r="L122" s="275">
        <f>ROUND((IF('Ground Base'!L$154&gt;ROUND(((1-GroundZone54Discount)*'Ground Base'!L117),2),ROUND('Ground Base'!L$154*(1+GroundFuelSurcharge),2),ROUND(((1-GroundZone54Discount)*'Ground Base'!L117)*(1+GroundFuelSurcharge),2)))*(1+FedEx_Markup),2)</f>
        <v>141.34</v>
      </c>
    </row>
    <row r="123" ht="12.75" customHeight="1">
      <c r="A123" s="274">
        <v>116.0</v>
      </c>
      <c r="B123" s="275">
        <f>ROUND((IF('Ground Base'!B$154&gt;ROUND(((1-GroundCommDiscount31Up-GroundCommIncentive)*'Ground Base'!B118),2),ROUND('Ground Base'!B$154*(1+GroundFuelSurcharge),2),ROUND(((1-GroundCommDiscount31Up-GroundCommIncentive)*'Ground Base'!B118)*(1+GroundFuelSurcharge),2)))*(1+FedEx_Markup),2)</f>
        <v>48.63</v>
      </c>
      <c r="C123" s="275">
        <f>ROUND((IF('Ground Base'!C$154&gt;ROUND(((1-GroundCommDiscount31Up-GroundCommIncentive)*'Ground Base'!C118),2),ROUND('Ground Base'!C$154*(1+GroundFuelSurcharge),2),ROUND(((1-GroundCommDiscount31Up-GroundCommIncentive)*'Ground Base'!C118)*(1+GroundFuelSurcharge),2)))*(1+FedEx_Markup),2)</f>
        <v>49.25</v>
      </c>
      <c r="D123" s="275">
        <f>ROUND((IF('Ground Base'!D$154&gt;ROUND(((1-GroundCommDiscount31Up-GroundCommIncentive)*'Ground Base'!D118),2),ROUND('Ground Base'!D$154*(1+GroundFuelSurcharge),2),ROUND(((1-GroundCommDiscount31Up-GroundCommIncentive)*'Ground Base'!D118)*(1+GroundFuelSurcharge),2)))*(1+FedEx_Markup),2)</f>
        <v>52.98</v>
      </c>
      <c r="E123" s="275">
        <f>ROUND((IF('Ground Base'!E$154&gt;ROUND(((1-GroundCommDiscount31Up-GroundCommIncentive)*'Ground Base'!E118),2),ROUND('Ground Base'!E$154*(1+GroundFuelSurcharge),2),ROUND(((1-GroundCommDiscount31Up-GroundCommIncentive)*'Ground Base'!E118)*(1+GroundFuelSurcharge),2)))*(1+FedEx_Markup),2)</f>
        <v>55.74</v>
      </c>
      <c r="F123" s="275">
        <f>ROUND((IF('Ground Base'!F$154&gt;ROUND(((1-GroundCommDiscount31Up-GroundCommIncentive)*'Ground Base'!F118),2),ROUND('Ground Base'!F$154*(1+GroundFuelSurcharge),2),ROUND(((1-GroundCommDiscount31Up-GroundCommIncentive)*'Ground Base'!F118)*(1+GroundFuelSurcharge),2)))*(1+FedEx_Markup),2)</f>
        <v>64.61</v>
      </c>
      <c r="G123" s="275">
        <f>ROUND((IF('Ground Base'!G$154&gt;ROUND(((1-GroundCommDiscount31Up-GroundCommIncentive)*'Ground Base'!G118),2),ROUND('Ground Base'!G$154*(1+GroundFuelSurcharge),2),ROUND(((1-GroundCommDiscount31Up-GroundCommIncentive)*'Ground Base'!G118)*(1+GroundFuelSurcharge),2)))*(1+FedEx_Markup),2)</f>
        <v>71.56</v>
      </c>
      <c r="H123" s="275">
        <f>ROUND((IF('Ground Base'!H$154&gt;ROUND(((1-GroundCommDiscount31Up-GroundCommIncentive)*'Ground Base'!H118),2),ROUND('Ground Base'!H$154*(1+GroundFuelSurcharge),2),ROUND(((1-GroundCommDiscount31Up-GroundCommIncentive)*'Ground Base'!H118)*(1+GroundFuelSurcharge),2)))*(1+FedEx_Markup),2)</f>
        <v>78.82</v>
      </c>
      <c r="I123" s="275">
        <f>ROUND((IF('Ground Base'!I$154&gt;ROUND(((1-GroundAKHIDiscount)*'Ground Base'!I118),2),ROUND('Ground Base'!I$154*(1+GroundFuelSurcharge),2),ROUND(((1-GroundAKHIDiscount)*'Ground Base'!I118)*(1+GroundFuelSurcharge),2)))*(1+FedEx_Markup),2)</f>
        <v>472.95</v>
      </c>
      <c r="J123" s="275">
        <f>ROUND((IF('Ground Base'!J$154&gt;ROUND(((1-GroundAKHIDiscount)*'Ground Base'!J118),2),ROUND('Ground Base'!J$154*(1+GroundFuelSurcharge),2),ROUND(((1-GroundAKHIDiscount)*'Ground Base'!J118)*(1+GroundFuelSurcharge),2)))*(1+FedEx_Markup),2)</f>
        <v>472.95</v>
      </c>
      <c r="K123" s="275">
        <f>ROUND((IF('Ground Base'!K$154&gt;ROUND(((1-GroundZone51Discount)*'Ground Base'!K118),2),ROUND('Ground Base'!K$154*(1+GroundFuelSurcharge),2),ROUND(((1-GroundZone51Discount)*'Ground Base'!K118)*(1+GroundFuelSurcharge),2)))*(1+FedEx_Markup),2)</f>
        <v>107.93</v>
      </c>
      <c r="L123" s="275">
        <f>ROUND((IF('Ground Base'!L$154&gt;ROUND(((1-GroundZone54Discount)*'Ground Base'!L118),2),ROUND('Ground Base'!L$154*(1+GroundFuelSurcharge),2),ROUND(((1-GroundZone54Discount)*'Ground Base'!L118)*(1+GroundFuelSurcharge),2)))*(1+FedEx_Markup),2)</f>
        <v>146.65</v>
      </c>
    </row>
    <row r="124" ht="12.75" customHeight="1">
      <c r="A124" s="274">
        <v>117.0</v>
      </c>
      <c r="B124" s="275">
        <f>ROUND((IF('Ground Base'!B$154&gt;ROUND(((1-GroundCommDiscount31Up-GroundCommIncentive)*'Ground Base'!B119),2),ROUND('Ground Base'!B$154*(1+GroundFuelSurcharge),2),ROUND(((1-GroundCommDiscount31Up-GroundCommIncentive)*'Ground Base'!B119)*(1+GroundFuelSurcharge),2)))*(1+FedEx_Markup),2)</f>
        <v>48.68</v>
      </c>
      <c r="C124" s="275">
        <f>ROUND((IF('Ground Base'!C$154&gt;ROUND(((1-GroundCommDiscount31Up-GroundCommIncentive)*'Ground Base'!C119),2),ROUND('Ground Base'!C$154*(1+GroundFuelSurcharge),2),ROUND(((1-GroundCommDiscount31Up-GroundCommIncentive)*'Ground Base'!C119)*(1+GroundFuelSurcharge),2)))*(1+FedEx_Markup),2)</f>
        <v>49.73</v>
      </c>
      <c r="D124" s="275">
        <f>ROUND((IF('Ground Base'!D$154&gt;ROUND(((1-GroundCommDiscount31Up-GroundCommIncentive)*'Ground Base'!D119),2),ROUND('Ground Base'!D$154*(1+GroundFuelSurcharge),2),ROUND(((1-GroundCommDiscount31Up-GroundCommIncentive)*'Ground Base'!D119)*(1+GroundFuelSurcharge),2)))*(1+FedEx_Markup),2)</f>
        <v>53.49</v>
      </c>
      <c r="E124" s="275">
        <f>ROUND((IF('Ground Base'!E$154&gt;ROUND(((1-GroundCommDiscount31Up-GroundCommIncentive)*'Ground Base'!E119),2),ROUND('Ground Base'!E$154*(1+GroundFuelSurcharge),2),ROUND(((1-GroundCommDiscount31Up-GroundCommIncentive)*'Ground Base'!E119)*(1+GroundFuelSurcharge),2)))*(1+FedEx_Markup),2)</f>
        <v>56.49</v>
      </c>
      <c r="F124" s="275">
        <f>ROUND((IF('Ground Base'!F$154&gt;ROUND(((1-GroundCommDiscount31Up-GroundCommIncentive)*'Ground Base'!F119),2),ROUND('Ground Base'!F$154*(1+GroundFuelSurcharge),2),ROUND(((1-GroundCommDiscount31Up-GroundCommIncentive)*'Ground Base'!F119)*(1+GroundFuelSurcharge),2)))*(1+FedEx_Markup),2)</f>
        <v>64.62</v>
      </c>
      <c r="G124" s="275">
        <f>ROUND((IF('Ground Base'!G$154&gt;ROUND(((1-GroundCommDiscount31Up-GroundCommIncentive)*'Ground Base'!G119),2),ROUND('Ground Base'!G$154*(1+GroundFuelSurcharge),2),ROUND(((1-GroundCommDiscount31Up-GroundCommIncentive)*'Ground Base'!G119)*(1+GroundFuelSurcharge),2)))*(1+FedEx_Markup),2)</f>
        <v>71.58</v>
      </c>
      <c r="H124" s="275">
        <f>ROUND((IF('Ground Base'!H$154&gt;ROUND(((1-GroundCommDiscount31Up-GroundCommIncentive)*'Ground Base'!H119),2),ROUND('Ground Base'!H$154*(1+GroundFuelSurcharge),2),ROUND(((1-GroundCommDiscount31Up-GroundCommIncentive)*'Ground Base'!H119)*(1+GroundFuelSurcharge),2)))*(1+FedEx_Markup),2)</f>
        <v>79.33</v>
      </c>
      <c r="I124" s="275">
        <f>ROUND((IF('Ground Base'!I$154&gt;ROUND(((1-GroundAKHIDiscount)*'Ground Base'!I119),2),ROUND('Ground Base'!I$154*(1+GroundFuelSurcharge),2),ROUND(((1-GroundAKHIDiscount)*'Ground Base'!I119)*(1+GroundFuelSurcharge),2)))*(1+FedEx_Markup),2)</f>
        <v>476.71</v>
      </c>
      <c r="J124" s="275">
        <f>ROUND((IF('Ground Base'!J$154&gt;ROUND(((1-GroundAKHIDiscount)*'Ground Base'!J119),2),ROUND('Ground Base'!J$154*(1+GroundFuelSurcharge),2),ROUND(((1-GroundAKHIDiscount)*'Ground Base'!J119)*(1+GroundFuelSurcharge),2)))*(1+FedEx_Markup),2)</f>
        <v>476.71</v>
      </c>
      <c r="K124" s="275">
        <f>ROUND((IF('Ground Base'!K$154&gt;ROUND(((1-GroundZone51Discount)*'Ground Base'!K119),2),ROUND('Ground Base'!K$154*(1+GroundFuelSurcharge),2),ROUND(((1-GroundZone51Discount)*'Ground Base'!K119)*(1+GroundFuelSurcharge),2)))*(1+FedEx_Markup),2)</f>
        <v>107.94</v>
      </c>
      <c r="L124" s="275">
        <f>ROUND((IF('Ground Base'!L$154&gt;ROUND(((1-GroundZone54Discount)*'Ground Base'!L119),2),ROUND('Ground Base'!L$154*(1+GroundFuelSurcharge),2),ROUND(((1-GroundZone54Discount)*'Ground Base'!L119)*(1+GroundFuelSurcharge),2)))*(1+FedEx_Markup),2)</f>
        <v>146.66</v>
      </c>
    </row>
    <row r="125" ht="12.75" customHeight="1">
      <c r="A125" s="274">
        <v>118.0</v>
      </c>
      <c r="B125" s="275">
        <f>ROUND((IF('Ground Base'!B$154&gt;ROUND(((1-GroundCommDiscount31Up-GroundCommIncentive)*'Ground Base'!B120),2),ROUND('Ground Base'!B$154*(1+GroundFuelSurcharge),2),ROUND(((1-GroundCommDiscount31Up-GroundCommIncentive)*'Ground Base'!B120)*(1+GroundFuelSurcharge),2)))*(1+FedEx_Markup),2)</f>
        <v>49.21</v>
      </c>
      <c r="C125" s="275">
        <f>ROUND((IF('Ground Base'!C$154&gt;ROUND(((1-GroundCommDiscount31Up-GroundCommIncentive)*'Ground Base'!C120),2),ROUND('Ground Base'!C$154*(1+GroundFuelSurcharge),2),ROUND(((1-GroundCommDiscount31Up-GroundCommIncentive)*'Ground Base'!C120)*(1+GroundFuelSurcharge),2)))*(1+FedEx_Markup),2)</f>
        <v>50.31</v>
      </c>
      <c r="D125" s="275">
        <f>ROUND((IF('Ground Base'!D$154&gt;ROUND(((1-GroundCommDiscount31Up-GroundCommIncentive)*'Ground Base'!D120),2),ROUND('Ground Base'!D$154*(1+GroundFuelSurcharge),2),ROUND(((1-GroundCommDiscount31Up-GroundCommIncentive)*'Ground Base'!D120)*(1+GroundFuelSurcharge),2)))*(1+FedEx_Markup),2)</f>
        <v>53.54</v>
      </c>
      <c r="E125" s="275">
        <f>ROUND((IF('Ground Base'!E$154&gt;ROUND(((1-GroundCommDiscount31Up-GroundCommIncentive)*'Ground Base'!E120),2),ROUND('Ground Base'!E$154*(1+GroundFuelSurcharge),2),ROUND(((1-GroundCommDiscount31Up-GroundCommIncentive)*'Ground Base'!E120)*(1+GroundFuelSurcharge),2)))*(1+FedEx_Markup),2)</f>
        <v>56.65</v>
      </c>
      <c r="F125" s="275">
        <f>ROUND((IF('Ground Base'!F$154&gt;ROUND(((1-GroundCommDiscount31Up-GroundCommIncentive)*'Ground Base'!F120),2),ROUND('Ground Base'!F$154*(1+GroundFuelSurcharge),2),ROUND(((1-GroundCommDiscount31Up-GroundCommIncentive)*'Ground Base'!F120)*(1+GroundFuelSurcharge),2)))*(1+FedEx_Markup),2)</f>
        <v>65.09</v>
      </c>
      <c r="G125" s="275">
        <f>ROUND((IF('Ground Base'!G$154&gt;ROUND(((1-GroundCommDiscount31Up-GroundCommIncentive)*'Ground Base'!G120),2),ROUND('Ground Base'!G$154*(1+GroundFuelSurcharge),2),ROUND(((1-GroundCommDiscount31Up-GroundCommIncentive)*'Ground Base'!G120)*(1+GroundFuelSurcharge),2)))*(1+FedEx_Markup),2)</f>
        <v>71.58</v>
      </c>
      <c r="H125" s="275">
        <f>ROUND((IF('Ground Base'!H$154&gt;ROUND(((1-GroundCommDiscount31Up-GroundCommIncentive)*'Ground Base'!H120),2),ROUND('Ground Base'!H$154*(1+GroundFuelSurcharge),2),ROUND(((1-GroundCommDiscount31Up-GroundCommIncentive)*'Ground Base'!H120)*(1+GroundFuelSurcharge),2)))*(1+FedEx_Markup),2)</f>
        <v>80.7</v>
      </c>
      <c r="I125" s="275">
        <f>ROUND((IF('Ground Base'!I$154&gt;ROUND(((1-GroundAKHIDiscount)*'Ground Base'!I120),2),ROUND('Ground Base'!I$154*(1+GroundFuelSurcharge),2),ROUND(((1-GroundAKHIDiscount)*'Ground Base'!I120)*(1+GroundFuelSurcharge),2)))*(1+FedEx_Markup),2)</f>
        <v>480.47</v>
      </c>
      <c r="J125" s="275">
        <f>ROUND((IF('Ground Base'!J$154&gt;ROUND(((1-GroundAKHIDiscount)*'Ground Base'!J120),2),ROUND('Ground Base'!J$154*(1+GroundFuelSurcharge),2),ROUND(((1-GroundAKHIDiscount)*'Ground Base'!J120)*(1+GroundFuelSurcharge),2)))*(1+FedEx_Markup),2)</f>
        <v>480.47</v>
      </c>
      <c r="K125" s="275">
        <f>ROUND((IF('Ground Base'!K$154&gt;ROUND(((1-GroundZone51Discount)*'Ground Base'!K120),2),ROUND('Ground Base'!K$154*(1+GroundFuelSurcharge),2),ROUND(((1-GroundZone51Discount)*'Ground Base'!K120)*(1+GroundFuelSurcharge),2)))*(1+FedEx_Markup),2)</f>
        <v>107.95</v>
      </c>
      <c r="L125" s="275">
        <f>ROUND((IF('Ground Base'!L$154&gt;ROUND(((1-GroundZone54Discount)*'Ground Base'!L120),2),ROUND('Ground Base'!L$154*(1+GroundFuelSurcharge),2),ROUND(((1-GroundZone54Discount)*'Ground Base'!L120)*(1+GroundFuelSurcharge),2)))*(1+FedEx_Markup),2)</f>
        <v>146.67</v>
      </c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2.75" customHeight="1">
      <c r="A126" s="274">
        <v>119.0</v>
      </c>
      <c r="B126" s="275">
        <f>ROUND((IF('Ground Base'!B$154&gt;ROUND(((1-GroundCommDiscount31Up-GroundCommIncentive)*'Ground Base'!B121),2),ROUND('Ground Base'!B$154*(1+GroundFuelSurcharge),2),ROUND(((1-GroundCommDiscount31Up-GroundCommIncentive)*'Ground Base'!B121)*(1+GroundFuelSurcharge),2)))*(1+FedEx_Markup),2)</f>
        <v>50.67</v>
      </c>
      <c r="C126" s="275">
        <f>ROUND((IF('Ground Base'!C$154&gt;ROUND(((1-GroundCommDiscount31Up-GroundCommIncentive)*'Ground Base'!C121),2),ROUND('Ground Base'!C$154*(1+GroundFuelSurcharge),2),ROUND(((1-GroundCommDiscount31Up-GroundCommIncentive)*'Ground Base'!C121)*(1+GroundFuelSurcharge),2)))*(1+FedEx_Markup),2)</f>
        <v>51.35</v>
      </c>
      <c r="D126" s="275">
        <f>ROUND((IF('Ground Base'!D$154&gt;ROUND(((1-GroundCommDiscount31Up-GroundCommIncentive)*'Ground Base'!D121),2),ROUND('Ground Base'!D$154*(1+GroundFuelSurcharge),2),ROUND(((1-GroundCommDiscount31Up-GroundCommIncentive)*'Ground Base'!D121)*(1+GroundFuelSurcharge),2)))*(1+FedEx_Markup),2)</f>
        <v>55.13</v>
      </c>
      <c r="E126" s="275">
        <f>ROUND((IF('Ground Base'!E$154&gt;ROUND(((1-GroundCommDiscount31Up-GroundCommIncentive)*'Ground Base'!E121),2),ROUND('Ground Base'!E$154*(1+GroundFuelSurcharge),2),ROUND(((1-GroundCommDiscount31Up-GroundCommIncentive)*'Ground Base'!E121)*(1+GroundFuelSurcharge),2)))*(1+FedEx_Markup),2)</f>
        <v>57.51</v>
      </c>
      <c r="F126" s="275">
        <f>ROUND((IF('Ground Base'!F$154&gt;ROUND(((1-GroundCommDiscount31Up-GroundCommIncentive)*'Ground Base'!F121),2),ROUND('Ground Base'!F$154*(1+GroundFuelSurcharge),2),ROUND(((1-GroundCommDiscount31Up-GroundCommIncentive)*'Ground Base'!F121)*(1+GroundFuelSurcharge),2)))*(1+FedEx_Markup),2)</f>
        <v>65.09</v>
      </c>
      <c r="G126" s="275">
        <f>ROUND((IF('Ground Base'!G$154&gt;ROUND(((1-GroundCommDiscount31Up-GroundCommIncentive)*'Ground Base'!G121),2),ROUND('Ground Base'!G$154*(1+GroundFuelSurcharge),2),ROUND(((1-GroundCommDiscount31Up-GroundCommIncentive)*'Ground Base'!G121)*(1+GroundFuelSurcharge),2)))*(1+FedEx_Markup),2)</f>
        <v>72.14</v>
      </c>
      <c r="H126" s="275">
        <f>ROUND((IF('Ground Base'!H$154&gt;ROUND(((1-GroundCommDiscount31Up-GroundCommIncentive)*'Ground Base'!H121),2),ROUND('Ground Base'!H$154*(1+GroundFuelSurcharge),2),ROUND(((1-GroundCommDiscount31Up-GroundCommIncentive)*'Ground Base'!H121)*(1+GroundFuelSurcharge),2)))*(1+FedEx_Markup),2)</f>
        <v>80.7</v>
      </c>
      <c r="I126" s="275">
        <f>ROUND((IF('Ground Base'!I$154&gt;ROUND(((1-GroundAKHIDiscount)*'Ground Base'!I121),2),ROUND('Ground Base'!I$154*(1+GroundFuelSurcharge),2),ROUND(((1-GroundAKHIDiscount)*'Ground Base'!I121)*(1+GroundFuelSurcharge),2)))*(1+FedEx_Markup),2)</f>
        <v>487.43</v>
      </c>
      <c r="J126" s="275">
        <f>ROUND((IF('Ground Base'!J$154&gt;ROUND(((1-GroundAKHIDiscount)*'Ground Base'!J121),2),ROUND('Ground Base'!J$154*(1+GroundFuelSurcharge),2),ROUND(((1-GroundAKHIDiscount)*'Ground Base'!J121)*(1+GroundFuelSurcharge),2)))*(1+FedEx_Markup),2)</f>
        <v>487.43</v>
      </c>
      <c r="K126" s="275">
        <f>ROUND((IF('Ground Base'!K$154&gt;ROUND(((1-GroundZone51Discount)*'Ground Base'!K121),2),ROUND('Ground Base'!K$154*(1+GroundFuelSurcharge),2),ROUND(((1-GroundZone51Discount)*'Ground Base'!K121)*(1+GroundFuelSurcharge),2)))*(1+FedEx_Markup),2)</f>
        <v>107.96</v>
      </c>
      <c r="L126" s="275">
        <f>ROUND((IF('Ground Base'!L$154&gt;ROUND(((1-GroundZone54Discount)*'Ground Base'!L121),2),ROUND('Ground Base'!L$154*(1+GroundFuelSurcharge),2),ROUND(((1-GroundZone54Discount)*'Ground Base'!L121)*(1+GroundFuelSurcharge),2)))*(1+FedEx_Markup),2)</f>
        <v>146.67</v>
      </c>
    </row>
    <row r="127" ht="12.75" customHeight="1">
      <c r="A127" s="274">
        <v>120.0</v>
      </c>
      <c r="B127" s="275">
        <f>ROUND((IF('Ground Base'!B$154&gt;ROUND(((1-GroundCommDiscount31Up-GroundCommIncentive)*'Ground Base'!B122),2),ROUND('Ground Base'!B$154*(1+GroundFuelSurcharge),2),ROUND(((1-GroundCommDiscount31Up-GroundCommIncentive)*'Ground Base'!B122)*(1+GroundFuelSurcharge),2)))*(1+FedEx_Markup),2)</f>
        <v>52.04</v>
      </c>
      <c r="C127" s="275">
        <f>ROUND((IF('Ground Base'!C$154&gt;ROUND(((1-GroundCommDiscount31Up-GroundCommIncentive)*'Ground Base'!C122),2),ROUND('Ground Base'!C$154*(1+GroundFuelSurcharge),2),ROUND(((1-GroundCommDiscount31Up-GroundCommIncentive)*'Ground Base'!C122)*(1+GroundFuelSurcharge),2)))*(1+FedEx_Markup),2)</f>
        <v>52.08</v>
      </c>
      <c r="D127" s="275">
        <f>ROUND((IF('Ground Base'!D$154&gt;ROUND(((1-GroundCommDiscount31Up-GroundCommIncentive)*'Ground Base'!D122),2),ROUND('Ground Base'!D$154*(1+GroundFuelSurcharge),2),ROUND(((1-GroundCommDiscount31Up-GroundCommIncentive)*'Ground Base'!D122)*(1+GroundFuelSurcharge),2)))*(1+FedEx_Markup),2)</f>
        <v>55.21</v>
      </c>
      <c r="E127" s="275">
        <f>ROUND((IF('Ground Base'!E$154&gt;ROUND(((1-GroundCommDiscount31Up-GroundCommIncentive)*'Ground Base'!E122),2),ROUND('Ground Base'!E$154*(1+GroundFuelSurcharge),2),ROUND(((1-GroundCommDiscount31Up-GroundCommIncentive)*'Ground Base'!E122)*(1+GroundFuelSurcharge),2)))*(1+FedEx_Markup),2)</f>
        <v>57.9</v>
      </c>
      <c r="F127" s="275">
        <f>ROUND((IF('Ground Base'!F$154&gt;ROUND(((1-GroundCommDiscount31Up-GroundCommIncentive)*'Ground Base'!F122),2),ROUND('Ground Base'!F$154*(1+GroundFuelSurcharge),2),ROUND(((1-GroundCommDiscount31Up-GroundCommIncentive)*'Ground Base'!F122)*(1+GroundFuelSurcharge),2)))*(1+FedEx_Markup),2)</f>
        <v>66.23</v>
      </c>
      <c r="G127" s="275">
        <f>ROUND((IF('Ground Base'!G$154&gt;ROUND(((1-GroundCommDiscount31Up-GroundCommIncentive)*'Ground Base'!G122),2),ROUND('Ground Base'!G$154*(1+GroundFuelSurcharge),2),ROUND(((1-GroundCommDiscount31Up-GroundCommIncentive)*'Ground Base'!G122)*(1+GroundFuelSurcharge),2)))*(1+FedEx_Markup),2)</f>
        <v>73.08</v>
      </c>
      <c r="H127" s="275">
        <f>ROUND((IF('Ground Base'!H$154&gt;ROUND(((1-GroundCommDiscount31Up-GroundCommIncentive)*'Ground Base'!H122),2),ROUND('Ground Base'!H$154*(1+GroundFuelSurcharge),2),ROUND(((1-GroundCommDiscount31Up-GroundCommIncentive)*'Ground Base'!H122)*(1+GroundFuelSurcharge),2)))*(1+FedEx_Markup),2)</f>
        <v>80.71</v>
      </c>
      <c r="I127" s="275">
        <f>ROUND((IF('Ground Base'!I$154&gt;ROUND(((1-GroundAKHIDiscount)*'Ground Base'!I122),2),ROUND('Ground Base'!I$154*(1+GroundFuelSurcharge),2),ROUND(((1-GroundAKHIDiscount)*'Ground Base'!I122)*(1+GroundFuelSurcharge),2)))*(1+FedEx_Markup),2)</f>
        <v>491.42</v>
      </c>
      <c r="J127" s="275">
        <f>ROUND((IF('Ground Base'!J$154&gt;ROUND(((1-GroundAKHIDiscount)*'Ground Base'!J122),2),ROUND('Ground Base'!J$154*(1+GroundFuelSurcharge),2),ROUND(((1-GroundAKHIDiscount)*'Ground Base'!J122)*(1+GroundFuelSurcharge),2)))*(1+FedEx_Markup),2)</f>
        <v>491.42</v>
      </c>
      <c r="K127" s="275">
        <f>ROUND((IF('Ground Base'!K$154&gt;ROUND(((1-GroundZone51Discount)*'Ground Base'!K122),2),ROUND('Ground Base'!K$154*(1+GroundFuelSurcharge),2),ROUND(((1-GroundZone51Discount)*'Ground Base'!K122)*(1+GroundFuelSurcharge),2)))*(1+FedEx_Markup),2)</f>
        <v>107.96</v>
      </c>
      <c r="L127" s="275">
        <f>ROUND((IF('Ground Base'!L$154&gt;ROUND(((1-GroundZone54Discount)*'Ground Base'!L122),2),ROUND('Ground Base'!L$154*(1+GroundFuelSurcharge),2),ROUND(((1-GroundZone54Discount)*'Ground Base'!L122)*(1+GroundFuelSurcharge),2)))*(1+FedEx_Markup),2)</f>
        <v>146.68</v>
      </c>
    </row>
    <row r="128" ht="12.75" customHeight="1">
      <c r="A128" s="274">
        <v>121.0</v>
      </c>
      <c r="B128" s="275">
        <f>ROUND((IF('Ground Base'!B$154&gt;ROUND(((1-GroundCommDiscount31Up-GroundCommIncentive)*'Ground Base'!B123),2),ROUND('Ground Base'!B$154*(1+GroundFuelSurcharge),2),ROUND(((1-GroundCommDiscount31Up-GroundCommIncentive)*'Ground Base'!B123)*(1+GroundFuelSurcharge),2)))*(1+FedEx_Markup),2)</f>
        <v>52.05</v>
      </c>
      <c r="C128" s="275">
        <f>ROUND((IF('Ground Base'!C$154&gt;ROUND(((1-GroundCommDiscount31Up-GroundCommIncentive)*'Ground Base'!C123),2),ROUND('Ground Base'!C$154*(1+GroundFuelSurcharge),2),ROUND(((1-GroundCommDiscount31Up-GroundCommIncentive)*'Ground Base'!C123)*(1+GroundFuelSurcharge),2)))*(1+FedEx_Markup),2)</f>
        <v>52.1</v>
      </c>
      <c r="D128" s="275">
        <f>ROUND((IF('Ground Base'!D$154&gt;ROUND(((1-GroundCommDiscount31Up-GroundCommIncentive)*'Ground Base'!D123),2),ROUND('Ground Base'!D$154*(1+GroundFuelSurcharge),2),ROUND(((1-GroundCommDiscount31Up-GroundCommIncentive)*'Ground Base'!D123)*(1+GroundFuelSurcharge),2)))*(1+FedEx_Markup),2)</f>
        <v>55.21</v>
      </c>
      <c r="E128" s="275">
        <f>ROUND((IF('Ground Base'!E$154&gt;ROUND(((1-GroundCommDiscount31Up-GroundCommIncentive)*'Ground Base'!E123),2),ROUND('Ground Base'!E$154*(1+GroundFuelSurcharge),2),ROUND(((1-GroundCommDiscount31Up-GroundCommIncentive)*'Ground Base'!E123)*(1+GroundFuelSurcharge),2)))*(1+FedEx_Markup),2)</f>
        <v>57.91</v>
      </c>
      <c r="F128" s="275">
        <f>ROUND((IF('Ground Base'!F$154&gt;ROUND(((1-GroundCommDiscount31Up-GroundCommIncentive)*'Ground Base'!F123),2),ROUND('Ground Base'!F$154*(1+GroundFuelSurcharge),2),ROUND(((1-GroundCommDiscount31Up-GroundCommIncentive)*'Ground Base'!F123)*(1+GroundFuelSurcharge),2)))*(1+FedEx_Markup),2)</f>
        <v>66.65</v>
      </c>
      <c r="G128" s="275">
        <f>ROUND((IF('Ground Base'!G$154&gt;ROUND(((1-GroundCommDiscount31Up-GroundCommIncentive)*'Ground Base'!G123),2),ROUND('Ground Base'!G$154*(1+GroundFuelSurcharge),2),ROUND(((1-GroundCommDiscount31Up-GroundCommIncentive)*'Ground Base'!G123)*(1+GroundFuelSurcharge),2)))*(1+FedEx_Markup),2)</f>
        <v>73.09</v>
      </c>
      <c r="H128" s="275">
        <f>ROUND((IF('Ground Base'!H$154&gt;ROUND(((1-GroundCommDiscount31Up-GroundCommIncentive)*'Ground Base'!H123),2),ROUND('Ground Base'!H$154*(1+GroundFuelSurcharge),2),ROUND(((1-GroundCommDiscount31Up-GroundCommIncentive)*'Ground Base'!H123)*(1+GroundFuelSurcharge),2)))*(1+FedEx_Markup),2)</f>
        <v>80.71</v>
      </c>
      <c r="I128" s="275">
        <f>ROUND((IF('Ground Base'!I$154&gt;ROUND(((1-GroundAKHIDiscount)*'Ground Base'!I123),2),ROUND('Ground Base'!I$154*(1+GroundFuelSurcharge),2),ROUND(((1-GroundAKHIDiscount)*'Ground Base'!I123)*(1+GroundFuelSurcharge),2)))*(1+FedEx_Markup),2)</f>
        <v>494.71</v>
      </c>
      <c r="J128" s="275">
        <f>ROUND((IF('Ground Base'!J$154&gt;ROUND(((1-GroundAKHIDiscount)*'Ground Base'!J123),2),ROUND('Ground Base'!J$154*(1+GroundFuelSurcharge),2),ROUND(((1-GroundAKHIDiscount)*'Ground Base'!J123)*(1+GroundFuelSurcharge),2)))*(1+FedEx_Markup),2)</f>
        <v>494.71</v>
      </c>
      <c r="K128" s="275">
        <f>ROUND((IF('Ground Base'!K$154&gt;ROUND(((1-GroundZone51Discount)*'Ground Base'!K123),2),ROUND('Ground Base'!K$154*(1+GroundFuelSurcharge),2),ROUND(((1-GroundZone51Discount)*'Ground Base'!K123)*(1+GroundFuelSurcharge),2)))*(1+FedEx_Markup),2)</f>
        <v>110.46</v>
      </c>
      <c r="L128" s="275">
        <f>ROUND((IF('Ground Base'!L$154&gt;ROUND(((1-GroundZone54Discount)*'Ground Base'!L123),2),ROUND('Ground Base'!L$154*(1+GroundFuelSurcharge),2),ROUND(((1-GroundZone54Discount)*'Ground Base'!L123)*(1+GroundFuelSurcharge),2)))*(1+FedEx_Markup),2)</f>
        <v>151.98</v>
      </c>
    </row>
    <row r="129" ht="12.75" customHeight="1">
      <c r="A129" s="274">
        <v>122.0</v>
      </c>
      <c r="B129" s="275">
        <f>ROUND((IF('Ground Base'!B$154&gt;ROUND(((1-GroundCommDiscount31Up-GroundCommIncentive)*'Ground Base'!B124),2),ROUND('Ground Base'!B$154*(1+GroundFuelSurcharge),2),ROUND(((1-GroundCommDiscount31Up-GroundCommIncentive)*'Ground Base'!B124)*(1+GroundFuelSurcharge),2)))*(1+FedEx_Markup),2)</f>
        <v>52.05</v>
      </c>
      <c r="C129" s="275">
        <f>ROUND((IF('Ground Base'!C$154&gt;ROUND(((1-GroundCommDiscount31Up-GroundCommIncentive)*'Ground Base'!C124),2),ROUND('Ground Base'!C$154*(1+GroundFuelSurcharge),2),ROUND(((1-GroundCommDiscount31Up-GroundCommIncentive)*'Ground Base'!C124)*(1+GroundFuelSurcharge),2)))*(1+FedEx_Markup),2)</f>
        <v>53.1</v>
      </c>
      <c r="D129" s="275">
        <f>ROUND((IF('Ground Base'!D$154&gt;ROUND(((1-GroundCommDiscount31Up-GroundCommIncentive)*'Ground Base'!D124),2),ROUND('Ground Base'!D$154*(1+GroundFuelSurcharge),2),ROUND(((1-GroundCommDiscount31Up-GroundCommIncentive)*'Ground Base'!D124)*(1+GroundFuelSurcharge),2)))*(1+FedEx_Markup),2)</f>
        <v>55.75</v>
      </c>
      <c r="E129" s="275">
        <f>ROUND((IF('Ground Base'!E$154&gt;ROUND(((1-GroundCommDiscount31Up-GroundCommIncentive)*'Ground Base'!E124),2),ROUND('Ground Base'!E$154*(1+GroundFuelSurcharge),2),ROUND(((1-GroundCommDiscount31Up-GroundCommIncentive)*'Ground Base'!E124)*(1+GroundFuelSurcharge),2)))*(1+FedEx_Markup),2)</f>
        <v>58.43</v>
      </c>
      <c r="F129" s="275">
        <f>ROUND((IF('Ground Base'!F$154&gt;ROUND(((1-GroundCommDiscount31Up-GroundCommIncentive)*'Ground Base'!F124),2),ROUND('Ground Base'!F$154*(1+GroundFuelSurcharge),2),ROUND(((1-GroundCommDiscount31Up-GroundCommIncentive)*'Ground Base'!F124)*(1+GroundFuelSurcharge),2)))*(1+FedEx_Markup),2)</f>
        <v>67.17</v>
      </c>
      <c r="G129" s="275">
        <f>ROUND((IF('Ground Base'!G$154&gt;ROUND(((1-GroundCommDiscount31Up-GroundCommIncentive)*'Ground Base'!G124),2),ROUND('Ground Base'!G$154*(1+GroundFuelSurcharge),2),ROUND(((1-GroundCommDiscount31Up-GroundCommIncentive)*'Ground Base'!G124)*(1+GroundFuelSurcharge),2)))*(1+FedEx_Markup),2)</f>
        <v>74.24</v>
      </c>
      <c r="H129" s="275">
        <f>ROUND((IF('Ground Base'!H$154&gt;ROUND(((1-GroundCommDiscount31Up-GroundCommIncentive)*'Ground Base'!H124),2),ROUND('Ground Base'!H$154*(1+GroundFuelSurcharge),2),ROUND(((1-GroundCommDiscount31Up-GroundCommIncentive)*'Ground Base'!H124)*(1+GroundFuelSurcharge),2)))*(1+FedEx_Markup),2)</f>
        <v>82.12</v>
      </c>
      <c r="I129" s="275">
        <f>ROUND((IF('Ground Base'!I$154&gt;ROUND(((1-GroundAKHIDiscount)*'Ground Base'!I124),2),ROUND('Ground Base'!I$154*(1+GroundFuelSurcharge),2),ROUND(((1-GroundAKHIDiscount)*'Ground Base'!I124)*(1+GroundFuelSurcharge),2)))*(1+FedEx_Markup),2)</f>
        <v>503.59</v>
      </c>
      <c r="J129" s="275">
        <f>ROUND((IF('Ground Base'!J$154&gt;ROUND(((1-GroundAKHIDiscount)*'Ground Base'!J124),2),ROUND('Ground Base'!J$154*(1+GroundFuelSurcharge),2),ROUND(((1-GroundAKHIDiscount)*'Ground Base'!J124)*(1+GroundFuelSurcharge),2)))*(1+FedEx_Markup),2)</f>
        <v>503.59</v>
      </c>
      <c r="K129" s="275">
        <f>ROUND((IF('Ground Base'!K$154&gt;ROUND(((1-GroundZone51Discount)*'Ground Base'!K124),2),ROUND('Ground Base'!K$154*(1+GroundFuelSurcharge),2),ROUND(((1-GroundZone51Discount)*'Ground Base'!K124)*(1+GroundFuelSurcharge),2)))*(1+FedEx_Markup),2)</f>
        <v>110.46</v>
      </c>
      <c r="L129" s="275">
        <f>ROUND((IF('Ground Base'!L$154&gt;ROUND(((1-GroundZone54Discount)*'Ground Base'!L124),2),ROUND('Ground Base'!L$154*(1+GroundFuelSurcharge),2),ROUND(((1-GroundZone54Discount)*'Ground Base'!L124)*(1+GroundFuelSurcharge),2)))*(1+FedEx_Markup),2)</f>
        <v>152</v>
      </c>
    </row>
    <row r="130" ht="12.75" customHeight="1">
      <c r="A130" s="274">
        <v>123.0</v>
      </c>
      <c r="B130" s="275">
        <f>ROUND((IF('Ground Base'!B$154&gt;ROUND(((1-GroundCommDiscount31Up-GroundCommIncentive)*'Ground Base'!B125),2),ROUND('Ground Base'!B$154*(1+GroundFuelSurcharge),2),ROUND(((1-GroundCommDiscount31Up-GroundCommIncentive)*'Ground Base'!B125)*(1+GroundFuelSurcharge),2)))*(1+FedEx_Markup),2)</f>
        <v>52.52</v>
      </c>
      <c r="C130" s="275">
        <f>ROUND((IF('Ground Base'!C$154&gt;ROUND(((1-GroundCommDiscount31Up-GroundCommIncentive)*'Ground Base'!C125),2),ROUND('Ground Base'!C$154*(1+GroundFuelSurcharge),2),ROUND(((1-GroundCommDiscount31Up-GroundCommIncentive)*'Ground Base'!C125)*(1+GroundFuelSurcharge),2)))*(1+FedEx_Markup),2)</f>
        <v>53.14</v>
      </c>
      <c r="D130" s="275">
        <f>ROUND((IF('Ground Base'!D$154&gt;ROUND(((1-GroundCommDiscount31Up-GroundCommIncentive)*'Ground Base'!D125),2),ROUND('Ground Base'!D$154*(1+GroundFuelSurcharge),2),ROUND(((1-GroundCommDiscount31Up-GroundCommIncentive)*'Ground Base'!D125)*(1+GroundFuelSurcharge),2)))*(1+FedEx_Markup),2)</f>
        <v>57.43</v>
      </c>
      <c r="E130" s="275">
        <f>ROUND((IF('Ground Base'!E$154&gt;ROUND(((1-GroundCommDiscount31Up-GroundCommIncentive)*'Ground Base'!E125),2),ROUND('Ground Base'!E$154*(1+GroundFuelSurcharge),2),ROUND(((1-GroundCommDiscount31Up-GroundCommIncentive)*'Ground Base'!E125)*(1+GroundFuelSurcharge),2)))*(1+FedEx_Markup),2)</f>
        <v>60.03</v>
      </c>
      <c r="F130" s="275">
        <f>ROUND((IF('Ground Base'!F$154&gt;ROUND(((1-GroundCommDiscount31Up-GroundCommIncentive)*'Ground Base'!F125),2),ROUND('Ground Base'!F$154*(1+GroundFuelSurcharge),2),ROUND(((1-GroundCommDiscount31Up-GroundCommIncentive)*'Ground Base'!F125)*(1+GroundFuelSurcharge),2)))*(1+FedEx_Markup),2)</f>
        <v>67.7</v>
      </c>
      <c r="G130" s="275">
        <f>ROUND((IF('Ground Base'!G$154&gt;ROUND(((1-GroundCommDiscount31Up-GroundCommIncentive)*'Ground Base'!G125),2),ROUND('Ground Base'!G$154*(1+GroundFuelSurcharge),2),ROUND(((1-GroundCommDiscount31Up-GroundCommIncentive)*'Ground Base'!G125)*(1+GroundFuelSurcharge),2)))*(1+FedEx_Markup),2)</f>
        <v>75.61</v>
      </c>
      <c r="H130" s="275">
        <f>ROUND((IF('Ground Base'!H$154&gt;ROUND(((1-GroundCommDiscount31Up-GroundCommIncentive)*'Ground Base'!H125),2),ROUND('Ground Base'!H$154*(1+GroundFuelSurcharge),2),ROUND(((1-GroundCommDiscount31Up-GroundCommIncentive)*'Ground Base'!H125)*(1+GroundFuelSurcharge),2)))*(1+FedEx_Markup),2)</f>
        <v>83.25</v>
      </c>
      <c r="I130" s="275">
        <f>ROUND((IF('Ground Base'!I$154&gt;ROUND(((1-GroundAKHIDiscount)*'Ground Base'!I125),2),ROUND('Ground Base'!I$154*(1+GroundFuelSurcharge),2),ROUND(((1-GroundAKHIDiscount)*'Ground Base'!I125)*(1+GroundFuelSurcharge),2)))*(1+FedEx_Markup),2)</f>
        <v>503.6</v>
      </c>
      <c r="J130" s="275">
        <f>ROUND((IF('Ground Base'!J$154&gt;ROUND(((1-GroundAKHIDiscount)*'Ground Base'!J125),2),ROUND('Ground Base'!J$154*(1+GroundFuelSurcharge),2),ROUND(((1-GroundAKHIDiscount)*'Ground Base'!J125)*(1+GroundFuelSurcharge),2)))*(1+FedEx_Markup),2)</f>
        <v>503.6</v>
      </c>
      <c r="K130" s="275">
        <f>ROUND((IF('Ground Base'!K$154&gt;ROUND(((1-GroundZone51Discount)*'Ground Base'!K125),2),ROUND('Ground Base'!K$154*(1+GroundFuelSurcharge),2),ROUND(((1-GroundZone51Discount)*'Ground Base'!K125)*(1+GroundFuelSurcharge),2)))*(1+FedEx_Markup),2)</f>
        <v>110.47</v>
      </c>
      <c r="L130" s="275">
        <f>ROUND((IF('Ground Base'!L$154&gt;ROUND(((1-GroundZone54Discount)*'Ground Base'!L125),2),ROUND('Ground Base'!L$154*(1+GroundFuelSurcharge),2),ROUND(((1-GroundZone54Discount)*'Ground Base'!L125)*(1+GroundFuelSurcharge),2)))*(1+FedEx_Markup),2)</f>
        <v>152</v>
      </c>
    </row>
    <row r="131" ht="12.75" customHeight="1">
      <c r="A131" s="274">
        <v>124.0</v>
      </c>
      <c r="B131" s="275">
        <f>ROUND((IF('Ground Base'!B$154&gt;ROUND(((1-GroundCommDiscount31Up-GroundCommIncentive)*'Ground Base'!B126),2),ROUND('Ground Base'!B$154*(1+GroundFuelSurcharge),2),ROUND(((1-GroundCommDiscount31Up-GroundCommIncentive)*'Ground Base'!B126)*(1+GroundFuelSurcharge),2)))*(1+FedEx_Markup),2)</f>
        <v>52.53</v>
      </c>
      <c r="C131" s="275">
        <f>ROUND((IF('Ground Base'!C$154&gt;ROUND(((1-GroundCommDiscount31Up-GroundCommIncentive)*'Ground Base'!C126),2),ROUND('Ground Base'!C$154*(1+GroundFuelSurcharge),2),ROUND(((1-GroundCommDiscount31Up-GroundCommIncentive)*'Ground Base'!C126)*(1+GroundFuelSurcharge),2)))*(1+FedEx_Markup),2)</f>
        <v>53.67</v>
      </c>
      <c r="D131" s="275">
        <f>ROUND((IF('Ground Base'!D$154&gt;ROUND(((1-GroundCommDiscount31Up-GroundCommIncentive)*'Ground Base'!D126),2),ROUND('Ground Base'!D$154*(1+GroundFuelSurcharge),2),ROUND(((1-GroundCommDiscount31Up-GroundCommIncentive)*'Ground Base'!D126)*(1+GroundFuelSurcharge),2)))*(1+FedEx_Markup),2)</f>
        <v>58.03</v>
      </c>
      <c r="E131" s="275">
        <f>ROUND((IF('Ground Base'!E$154&gt;ROUND(((1-GroundCommDiscount31Up-GroundCommIncentive)*'Ground Base'!E126),2),ROUND('Ground Base'!E$154*(1+GroundFuelSurcharge),2),ROUND(((1-GroundCommDiscount31Up-GroundCommIncentive)*'Ground Base'!E126)*(1+GroundFuelSurcharge),2)))*(1+FedEx_Markup),2)</f>
        <v>60.03</v>
      </c>
      <c r="F131" s="275">
        <f>ROUND((IF('Ground Base'!F$154&gt;ROUND(((1-GroundCommDiscount31Up-GroundCommIncentive)*'Ground Base'!F126),2),ROUND('Ground Base'!F$154*(1+GroundFuelSurcharge),2),ROUND(((1-GroundCommDiscount31Up-GroundCommIncentive)*'Ground Base'!F126)*(1+GroundFuelSurcharge),2)))*(1+FedEx_Markup),2)</f>
        <v>68.15</v>
      </c>
      <c r="G131" s="275">
        <f>ROUND((IF('Ground Base'!G$154&gt;ROUND(((1-GroundCommDiscount31Up-GroundCommIncentive)*'Ground Base'!G126),2),ROUND('Ground Base'!G$154*(1+GroundFuelSurcharge),2),ROUND(((1-GroundCommDiscount31Up-GroundCommIncentive)*'Ground Base'!G126)*(1+GroundFuelSurcharge),2)))*(1+FedEx_Markup),2)</f>
        <v>75.61</v>
      </c>
      <c r="H131" s="275">
        <f>ROUND((IF('Ground Base'!H$154&gt;ROUND(((1-GroundCommDiscount31Up-GroundCommIncentive)*'Ground Base'!H126),2),ROUND('Ground Base'!H$154*(1+GroundFuelSurcharge),2),ROUND(((1-GroundCommDiscount31Up-GroundCommIncentive)*'Ground Base'!H126)*(1+GroundFuelSurcharge),2)))*(1+FedEx_Markup),2)</f>
        <v>83.25</v>
      </c>
      <c r="I131" s="275">
        <f>ROUND((IF('Ground Base'!I$154&gt;ROUND(((1-GroundAKHIDiscount)*'Ground Base'!I126),2),ROUND('Ground Base'!I$154*(1+GroundFuelSurcharge),2),ROUND(((1-GroundAKHIDiscount)*'Ground Base'!I126)*(1+GroundFuelSurcharge),2)))*(1+FedEx_Markup),2)</f>
        <v>507.33</v>
      </c>
      <c r="J131" s="275">
        <f>ROUND((IF('Ground Base'!J$154&gt;ROUND(((1-GroundAKHIDiscount)*'Ground Base'!J126),2),ROUND('Ground Base'!J$154*(1+GroundFuelSurcharge),2),ROUND(((1-GroundAKHIDiscount)*'Ground Base'!J126)*(1+GroundFuelSurcharge),2)))*(1+FedEx_Markup),2)</f>
        <v>507.33</v>
      </c>
      <c r="K131" s="275">
        <f>ROUND((IF('Ground Base'!K$154&gt;ROUND(((1-GroundZone51Discount)*'Ground Base'!K126),2),ROUND('Ground Base'!K$154*(1+GroundFuelSurcharge),2),ROUND(((1-GroundZone51Discount)*'Ground Base'!K126)*(1+GroundFuelSurcharge),2)))*(1+FedEx_Markup),2)</f>
        <v>110.48</v>
      </c>
      <c r="L131" s="275">
        <f>ROUND((IF('Ground Base'!L$154&gt;ROUND(((1-GroundZone54Discount)*'Ground Base'!L126),2),ROUND('Ground Base'!L$154*(1+GroundFuelSurcharge),2),ROUND(((1-GroundZone54Discount)*'Ground Base'!L126)*(1+GroundFuelSurcharge),2)))*(1+FedEx_Markup),2)</f>
        <v>152.03</v>
      </c>
    </row>
    <row r="132" ht="12.75" customHeight="1">
      <c r="A132" s="274">
        <v>125.0</v>
      </c>
      <c r="B132" s="275">
        <f>ROUND((IF('Ground Base'!B$154&gt;ROUND(((1-GroundCommDiscount31Up-GroundCommIncentive)*'Ground Base'!B127),2),ROUND('Ground Base'!B$154*(1+GroundFuelSurcharge),2),ROUND(((1-GroundCommDiscount31Up-GroundCommIncentive)*'Ground Base'!B127)*(1+GroundFuelSurcharge),2)))*(1+FedEx_Markup),2)</f>
        <v>53.03</v>
      </c>
      <c r="C132" s="275">
        <f>ROUND((IF('Ground Base'!C$154&gt;ROUND(((1-GroundCommDiscount31Up-GroundCommIncentive)*'Ground Base'!C127),2),ROUND('Ground Base'!C$154*(1+GroundFuelSurcharge),2),ROUND(((1-GroundCommDiscount31Up-GroundCommIncentive)*'Ground Base'!C127)*(1+GroundFuelSurcharge),2)))*(1+FedEx_Markup),2)</f>
        <v>53.68</v>
      </c>
      <c r="D132" s="275">
        <f>ROUND((IF('Ground Base'!D$154&gt;ROUND(((1-GroundCommDiscount31Up-GroundCommIncentive)*'Ground Base'!D127),2),ROUND('Ground Base'!D$154*(1+GroundFuelSurcharge),2),ROUND(((1-GroundCommDiscount31Up-GroundCommIncentive)*'Ground Base'!D127)*(1+GroundFuelSurcharge),2)))*(1+FedEx_Markup),2)</f>
        <v>58.03</v>
      </c>
      <c r="E132" s="275">
        <f>ROUND((IF('Ground Base'!E$154&gt;ROUND(((1-GroundCommDiscount31Up-GroundCommIncentive)*'Ground Base'!E127),2),ROUND('Ground Base'!E$154*(1+GroundFuelSurcharge),2),ROUND(((1-GroundCommDiscount31Up-GroundCommIncentive)*'Ground Base'!E127)*(1+GroundFuelSurcharge),2)))*(1+FedEx_Markup),2)</f>
        <v>60.04</v>
      </c>
      <c r="F132" s="275">
        <f>ROUND((IF('Ground Base'!F$154&gt;ROUND(((1-GroundCommDiscount31Up-GroundCommIncentive)*'Ground Base'!F127),2),ROUND('Ground Base'!F$154*(1+GroundFuelSurcharge),2),ROUND(((1-GroundCommDiscount31Up-GroundCommIncentive)*'Ground Base'!F127)*(1+GroundFuelSurcharge),2)))*(1+FedEx_Markup),2)</f>
        <v>68.15</v>
      </c>
      <c r="G132" s="275">
        <f>ROUND((IF('Ground Base'!G$154&gt;ROUND(((1-GroundCommDiscount31Up-GroundCommIncentive)*'Ground Base'!G127),2),ROUND('Ground Base'!G$154*(1+GroundFuelSurcharge),2),ROUND(((1-GroundCommDiscount31Up-GroundCommIncentive)*'Ground Base'!G127)*(1+GroundFuelSurcharge),2)))*(1+FedEx_Markup),2)</f>
        <v>75.62</v>
      </c>
      <c r="H132" s="275">
        <f>ROUND((IF('Ground Base'!H$154&gt;ROUND(((1-GroundCommDiscount31Up-GroundCommIncentive)*'Ground Base'!H127),2),ROUND('Ground Base'!H$154*(1+GroundFuelSurcharge),2),ROUND(((1-GroundCommDiscount31Up-GroundCommIncentive)*'Ground Base'!H127)*(1+GroundFuelSurcharge),2)))*(1+FedEx_Markup),2)</f>
        <v>83.26</v>
      </c>
      <c r="I132" s="275">
        <f>ROUND((IF('Ground Base'!I$154&gt;ROUND(((1-GroundAKHIDiscount)*'Ground Base'!I127),2),ROUND('Ground Base'!I$154*(1+GroundFuelSurcharge),2),ROUND(((1-GroundAKHIDiscount)*'Ground Base'!I127)*(1+GroundFuelSurcharge),2)))*(1+FedEx_Markup),2)</f>
        <v>511.58</v>
      </c>
      <c r="J132" s="275">
        <f>ROUND((IF('Ground Base'!J$154&gt;ROUND(((1-GroundAKHIDiscount)*'Ground Base'!J127),2),ROUND('Ground Base'!J$154*(1+GroundFuelSurcharge),2),ROUND(((1-GroundAKHIDiscount)*'Ground Base'!J127)*(1+GroundFuelSurcharge),2)))*(1+FedEx_Markup),2)</f>
        <v>511.58</v>
      </c>
      <c r="K132" s="275">
        <f>ROUND((IF('Ground Base'!K$154&gt;ROUND(((1-GroundZone51Discount)*'Ground Base'!K127),2),ROUND('Ground Base'!K$154*(1+GroundFuelSurcharge),2),ROUND(((1-GroundZone51Discount)*'Ground Base'!K127)*(1+GroundFuelSurcharge),2)))*(1+FedEx_Markup),2)</f>
        <v>110.48</v>
      </c>
      <c r="L132" s="275">
        <f>ROUND((IF('Ground Base'!L$154&gt;ROUND(((1-GroundZone54Discount)*'Ground Base'!L127),2),ROUND('Ground Base'!L$154*(1+GroundFuelSurcharge),2),ROUND(((1-GroundZone54Discount)*'Ground Base'!L127)*(1+GroundFuelSurcharge),2)))*(1+FedEx_Markup),2)</f>
        <v>152.03</v>
      </c>
    </row>
    <row r="133" ht="12.75" customHeight="1">
      <c r="A133" s="274">
        <v>126.0</v>
      </c>
      <c r="B133" s="275">
        <f>ROUND((IF('Ground Base'!B$154&gt;ROUND(((1-GroundCommDiscount31Up-GroundCommIncentive)*'Ground Base'!B128),2),ROUND('Ground Base'!B$154*(1+GroundFuelSurcharge),2),ROUND(((1-GroundCommDiscount31Up-GroundCommIncentive)*'Ground Base'!B128)*(1+GroundFuelSurcharge),2)))*(1+FedEx_Markup),2)</f>
        <v>54.1</v>
      </c>
      <c r="C133" s="275">
        <f>ROUND((IF('Ground Base'!C$154&gt;ROUND(((1-GroundCommDiscount31Up-GroundCommIncentive)*'Ground Base'!C128),2),ROUND('Ground Base'!C$154*(1+GroundFuelSurcharge),2),ROUND(((1-GroundCommDiscount31Up-GroundCommIncentive)*'Ground Base'!C128)*(1+GroundFuelSurcharge),2)))*(1+FedEx_Markup),2)</f>
        <v>54.2</v>
      </c>
      <c r="D133" s="275">
        <f>ROUND((IF('Ground Base'!D$154&gt;ROUND(((1-GroundCommDiscount31Up-GroundCommIncentive)*'Ground Base'!D128),2),ROUND('Ground Base'!D$154*(1+GroundFuelSurcharge),2),ROUND(((1-GroundCommDiscount31Up-GroundCommIncentive)*'Ground Base'!D128)*(1+GroundFuelSurcharge),2)))*(1+FedEx_Markup),2)</f>
        <v>58.63</v>
      </c>
      <c r="E133" s="275">
        <f>ROUND((IF('Ground Base'!E$154&gt;ROUND(((1-GroundCommDiscount31Up-GroundCommIncentive)*'Ground Base'!E128),2),ROUND('Ground Base'!E$154*(1+GroundFuelSurcharge),2),ROUND(((1-GroundCommDiscount31Up-GroundCommIncentive)*'Ground Base'!E128)*(1+GroundFuelSurcharge),2)))*(1+FedEx_Markup),2)</f>
        <v>60.04</v>
      </c>
      <c r="F133" s="275">
        <f>ROUND((IF('Ground Base'!F$154&gt;ROUND(((1-GroundCommDiscount31Up-GroundCommIncentive)*'Ground Base'!F128),2),ROUND('Ground Base'!F$154*(1+GroundFuelSurcharge),2),ROUND(((1-GroundCommDiscount31Up-GroundCommIncentive)*'Ground Base'!F128)*(1+GroundFuelSurcharge),2)))*(1+FedEx_Markup),2)</f>
        <v>68.55</v>
      </c>
      <c r="G133" s="275">
        <f>ROUND((IF('Ground Base'!G$154&gt;ROUND(((1-GroundCommDiscount31Up-GroundCommIncentive)*'Ground Base'!G128),2),ROUND('Ground Base'!G$154*(1+GroundFuelSurcharge),2),ROUND(((1-GroundCommDiscount31Up-GroundCommIncentive)*'Ground Base'!G128)*(1+GroundFuelSurcharge),2)))*(1+FedEx_Markup),2)</f>
        <v>75.62</v>
      </c>
      <c r="H133" s="275">
        <f>ROUND((IF('Ground Base'!H$154&gt;ROUND(((1-GroundCommDiscount31Up-GroundCommIncentive)*'Ground Base'!H128),2),ROUND('Ground Base'!H$154*(1+GroundFuelSurcharge),2),ROUND(((1-GroundCommDiscount31Up-GroundCommIncentive)*'Ground Base'!H128)*(1+GroundFuelSurcharge),2)))*(1+FedEx_Markup),2)</f>
        <v>86.19</v>
      </c>
      <c r="I133" s="275">
        <f>ROUND((IF('Ground Base'!I$154&gt;ROUND(((1-GroundAKHIDiscount)*'Ground Base'!I128),2),ROUND('Ground Base'!I$154*(1+GroundFuelSurcharge),2),ROUND(((1-GroundAKHIDiscount)*'Ground Base'!I128)*(1+GroundFuelSurcharge),2)))*(1+FedEx_Markup),2)</f>
        <v>514.75</v>
      </c>
      <c r="J133" s="275">
        <f>ROUND((IF('Ground Base'!J$154&gt;ROUND(((1-GroundAKHIDiscount)*'Ground Base'!J128),2),ROUND('Ground Base'!J$154*(1+GroundFuelSurcharge),2),ROUND(((1-GroundAKHIDiscount)*'Ground Base'!J128)*(1+GroundFuelSurcharge),2)))*(1+FedEx_Markup),2)</f>
        <v>514.75</v>
      </c>
      <c r="K133" s="275">
        <f>ROUND((IF('Ground Base'!K$154&gt;ROUND(((1-GroundZone51Discount)*'Ground Base'!K128),2),ROUND('Ground Base'!K$154*(1+GroundFuelSurcharge),2),ROUND(((1-GroundZone51Discount)*'Ground Base'!K128)*(1+GroundFuelSurcharge),2)))*(1+FedEx_Markup),2)</f>
        <v>112.71</v>
      </c>
      <c r="L133" s="275">
        <f>ROUND((IF('Ground Base'!L$154&gt;ROUND(((1-GroundZone54Discount)*'Ground Base'!L128),2),ROUND('Ground Base'!L$154*(1+GroundFuelSurcharge),2),ROUND(((1-GroundZone54Discount)*'Ground Base'!L128)*(1+GroundFuelSurcharge),2)))*(1+FedEx_Markup),2)</f>
        <v>157.39</v>
      </c>
    </row>
    <row r="134" ht="12.75" customHeight="1">
      <c r="A134" s="274">
        <v>127.0</v>
      </c>
      <c r="B134" s="275">
        <f>ROUND((IF('Ground Base'!B$154&gt;ROUND(((1-GroundCommDiscount31Up-GroundCommIncentive)*'Ground Base'!B129),2),ROUND('Ground Base'!B$154*(1+GroundFuelSurcharge),2),ROUND(((1-GroundCommDiscount31Up-GroundCommIncentive)*'Ground Base'!B129)*(1+GroundFuelSurcharge),2)))*(1+FedEx_Markup),2)</f>
        <v>54.1</v>
      </c>
      <c r="C134" s="275">
        <f>ROUND((IF('Ground Base'!C$154&gt;ROUND(((1-GroundCommDiscount31Up-GroundCommIncentive)*'Ground Base'!C129),2),ROUND('Ground Base'!C$154*(1+GroundFuelSurcharge),2),ROUND(((1-GroundCommDiscount31Up-GroundCommIncentive)*'Ground Base'!C129)*(1+GroundFuelSurcharge),2)))*(1+FedEx_Markup),2)</f>
        <v>55.14</v>
      </c>
      <c r="D134" s="275">
        <f>ROUND((IF('Ground Base'!D$154&gt;ROUND(((1-GroundCommDiscount31Up-GroundCommIncentive)*'Ground Base'!D129),2),ROUND('Ground Base'!D$154*(1+GroundFuelSurcharge),2),ROUND(((1-GroundCommDiscount31Up-GroundCommIncentive)*'Ground Base'!D129)*(1+GroundFuelSurcharge),2)))*(1+FedEx_Markup),2)</f>
        <v>59.77</v>
      </c>
      <c r="E134" s="275">
        <f>ROUND((IF('Ground Base'!E$154&gt;ROUND(((1-GroundCommDiscount31Up-GroundCommIncentive)*'Ground Base'!E129),2),ROUND('Ground Base'!E$154*(1+GroundFuelSurcharge),2),ROUND(((1-GroundCommDiscount31Up-GroundCommIncentive)*'Ground Base'!E129)*(1+GroundFuelSurcharge),2)))*(1+FedEx_Markup),2)</f>
        <v>61.41</v>
      </c>
      <c r="F134" s="275">
        <f>ROUND((IF('Ground Base'!F$154&gt;ROUND(((1-GroundCommDiscount31Up-GroundCommIncentive)*'Ground Base'!F129),2),ROUND('Ground Base'!F$154*(1+GroundFuelSurcharge),2),ROUND(((1-GroundCommDiscount31Up-GroundCommIncentive)*'Ground Base'!F129)*(1+GroundFuelSurcharge),2)))*(1+FedEx_Markup),2)</f>
        <v>70.12</v>
      </c>
      <c r="G134" s="275">
        <f>ROUND((IF('Ground Base'!G$154&gt;ROUND(((1-GroundCommDiscount31Up-GroundCommIncentive)*'Ground Base'!G129),2),ROUND('Ground Base'!G$154*(1+GroundFuelSurcharge),2),ROUND(((1-GroundCommDiscount31Up-GroundCommIncentive)*'Ground Base'!G129)*(1+GroundFuelSurcharge),2)))*(1+FedEx_Markup),2)</f>
        <v>76.99</v>
      </c>
      <c r="H134" s="275">
        <f>ROUND((IF('Ground Base'!H$154&gt;ROUND(((1-GroundCommDiscount31Up-GroundCommIncentive)*'Ground Base'!H129),2),ROUND('Ground Base'!H$154*(1+GroundFuelSurcharge),2),ROUND(((1-GroundCommDiscount31Up-GroundCommIncentive)*'Ground Base'!H129)*(1+GroundFuelSurcharge),2)))*(1+FedEx_Markup),2)</f>
        <v>86.19</v>
      </c>
      <c r="I134" s="275">
        <f>ROUND((IF('Ground Base'!I$154&gt;ROUND(((1-GroundAKHIDiscount)*'Ground Base'!I129),2),ROUND('Ground Base'!I$154*(1+GroundFuelSurcharge),2),ROUND(((1-GroundAKHIDiscount)*'Ground Base'!I129)*(1+GroundFuelSurcharge),2)))*(1+FedEx_Markup),2)</f>
        <v>518.93</v>
      </c>
      <c r="J134" s="275">
        <f>ROUND((IF('Ground Base'!J$154&gt;ROUND(((1-GroundAKHIDiscount)*'Ground Base'!J129),2),ROUND('Ground Base'!J$154*(1+GroundFuelSurcharge),2),ROUND(((1-GroundAKHIDiscount)*'Ground Base'!J129)*(1+GroundFuelSurcharge),2)))*(1+FedEx_Markup),2)</f>
        <v>518.93</v>
      </c>
      <c r="K134" s="275">
        <f>ROUND((IF('Ground Base'!K$154&gt;ROUND(((1-GroundZone51Discount)*'Ground Base'!K129),2),ROUND('Ground Base'!K$154*(1+GroundFuelSurcharge),2),ROUND(((1-GroundZone51Discount)*'Ground Base'!K129)*(1+GroundFuelSurcharge),2)))*(1+FedEx_Markup),2)</f>
        <v>112.72</v>
      </c>
      <c r="L134" s="275">
        <f>ROUND((IF('Ground Base'!L$154&gt;ROUND(((1-GroundZone54Discount)*'Ground Base'!L129),2),ROUND('Ground Base'!L$154*(1+GroundFuelSurcharge),2),ROUND(((1-GroundZone54Discount)*'Ground Base'!L129)*(1+GroundFuelSurcharge),2)))*(1+FedEx_Markup),2)</f>
        <v>157.42</v>
      </c>
    </row>
    <row r="135" ht="12.75" customHeight="1">
      <c r="A135" s="274">
        <v>128.0</v>
      </c>
      <c r="B135" s="275">
        <f>ROUND((IF('Ground Base'!B$154&gt;ROUND(((1-GroundCommDiscount31Up-GroundCommIncentive)*'Ground Base'!B130),2),ROUND('Ground Base'!B$154*(1+GroundFuelSurcharge),2),ROUND(((1-GroundCommDiscount31Up-GroundCommIncentive)*'Ground Base'!B130)*(1+GroundFuelSurcharge),2)))*(1+FedEx_Markup),2)</f>
        <v>54.6</v>
      </c>
      <c r="C135" s="275">
        <f>ROUND((IF('Ground Base'!C$154&gt;ROUND(((1-GroundCommDiscount31Up-GroundCommIncentive)*'Ground Base'!C130),2),ROUND('Ground Base'!C$154*(1+GroundFuelSurcharge),2),ROUND(((1-GroundCommDiscount31Up-GroundCommIncentive)*'Ground Base'!C130)*(1+GroundFuelSurcharge),2)))*(1+FedEx_Markup),2)</f>
        <v>55.14</v>
      </c>
      <c r="D135" s="275">
        <f>ROUND((IF('Ground Base'!D$154&gt;ROUND(((1-GroundCommDiscount31Up-GroundCommIncentive)*'Ground Base'!D130),2),ROUND('Ground Base'!D$154*(1+GroundFuelSurcharge),2),ROUND(((1-GroundCommDiscount31Up-GroundCommIncentive)*'Ground Base'!D130)*(1+GroundFuelSurcharge),2)))*(1+FedEx_Markup),2)</f>
        <v>59.77</v>
      </c>
      <c r="E135" s="275">
        <f>ROUND((IF('Ground Base'!E$154&gt;ROUND(((1-GroundCommDiscount31Up-GroundCommIncentive)*'Ground Base'!E130),2),ROUND('Ground Base'!E$154*(1+GroundFuelSurcharge),2),ROUND(((1-GroundCommDiscount31Up-GroundCommIncentive)*'Ground Base'!E130)*(1+GroundFuelSurcharge),2)))*(1+FedEx_Markup),2)</f>
        <v>61.42</v>
      </c>
      <c r="F135" s="275">
        <f>ROUND((IF('Ground Base'!F$154&gt;ROUND(((1-GroundCommDiscount31Up-GroundCommIncentive)*'Ground Base'!F130),2),ROUND('Ground Base'!F$154*(1+GroundFuelSurcharge),2),ROUND(((1-GroundCommDiscount31Up-GroundCommIncentive)*'Ground Base'!F130)*(1+GroundFuelSurcharge),2)))*(1+FedEx_Markup),2)</f>
        <v>70.12</v>
      </c>
      <c r="G135" s="275">
        <f>ROUND((IF('Ground Base'!G$154&gt;ROUND(((1-GroundCommDiscount31Up-GroundCommIncentive)*'Ground Base'!G130),2),ROUND('Ground Base'!G$154*(1+GroundFuelSurcharge),2),ROUND(((1-GroundCommDiscount31Up-GroundCommIncentive)*'Ground Base'!G130)*(1+GroundFuelSurcharge),2)))*(1+FedEx_Markup),2)</f>
        <v>76.99</v>
      </c>
      <c r="H135" s="275">
        <f>ROUND((IF('Ground Base'!H$154&gt;ROUND(((1-GroundCommDiscount31Up-GroundCommIncentive)*'Ground Base'!H130),2),ROUND('Ground Base'!H$154*(1+GroundFuelSurcharge),2),ROUND(((1-GroundCommDiscount31Up-GroundCommIncentive)*'Ground Base'!H130)*(1+GroundFuelSurcharge),2)))*(1+FedEx_Markup),2)</f>
        <v>86.66</v>
      </c>
      <c r="I135" s="275">
        <f>ROUND((IF('Ground Base'!I$154&gt;ROUND(((1-GroundAKHIDiscount)*'Ground Base'!I130),2),ROUND('Ground Base'!I$154*(1+GroundFuelSurcharge),2),ROUND(((1-GroundAKHIDiscount)*'Ground Base'!I130)*(1+GroundFuelSurcharge),2)))*(1+FedEx_Markup),2)</f>
        <v>523.15</v>
      </c>
      <c r="J135" s="275">
        <f>ROUND((IF('Ground Base'!J$154&gt;ROUND(((1-GroundAKHIDiscount)*'Ground Base'!J130),2),ROUND('Ground Base'!J$154*(1+GroundFuelSurcharge),2),ROUND(((1-GroundAKHIDiscount)*'Ground Base'!J130)*(1+GroundFuelSurcharge),2)))*(1+FedEx_Markup),2)</f>
        <v>523.15</v>
      </c>
      <c r="K135" s="275">
        <f>ROUND((IF('Ground Base'!K$154&gt;ROUND(((1-GroundZone51Discount)*'Ground Base'!K130),2),ROUND('Ground Base'!K$154*(1+GroundFuelSurcharge),2),ROUND(((1-GroundZone51Discount)*'Ground Base'!K130)*(1+GroundFuelSurcharge),2)))*(1+FedEx_Markup),2)</f>
        <v>112.73</v>
      </c>
      <c r="L135" s="275">
        <f>ROUND((IF('Ground Base'!L$154&gt;ROUND(((1-GroundZone54Discount)*'Ground Base'!L130),2),ROUND('Ground Base'!L$154*(1+GroundFuelSurcharge),2),ROUND(((1-GroundZone54Discount)*'Ground Base'!L130)*(1+GroundFuelSurcharge),2)))*(1+FedEx_Markup),2)</f>
        <v>157.42</v>
      </c>
    </row>
    <row r="136" ht="12.75" customHeight="1">
      <c r="A136" s="274">
        <v>129.0</v>
      </c>
      <c r="B136" s="275">
        <f>ROUND((IF('Ground Base'!B$154&gt;ROUND(((1-GroundCommDiscount31Up-GroundCommIncentive)*'Ground Base'!B131),2),ROUND('Ground Base'!B$154*(1+GroundFuelSurcharge),2),ROUND(((1-GroundCommDiscount31Up-GroundCommIncentive)*'Ground Base'!B131)*(1+GroundFuelSurcharge),2)))*(1+FedEx_Markup),2)</f>
        <v>55.64</v>
      </c>
      <c r="C136" s="275">
        <f>ROUND((IF('Ground Base'!C$154&gt;ROUND(((1-GroundCommDiscount31Up-GroundCommIncentive)*'Ground Base'!C131),2),ROUND('Ground Base'!C$154*(1+GroundFuelSurcharge),2),ROUND(((1-GroundCommDiscount31Up-GroundCommIncentive)*'Ground Base'!C131)*(1+GroundFuelSurcharge),2)))*(1+FedEx_Markup),2)</f>
        <v>55.86</v>
      </c>
      <c r="D136" s="275">
        <f>ROUND((IF('Ground Base'!D$154&gt;ROUND(((1-GroundCommDiscount31Up-GroundCommIncentive)*'Ground Base'!D131),2),ROUND('Ground Base'!D$154*(1+GroundFuelSurcharge),2),ROUND(((1-GroundCommDiscount31Up-GroundCommIncentive)*'Ground Base'!D131)*(1+GroundFuelSurcharge),2)))*(1+FedEx_Markup),2)</f>
        <v>59.79</v>
      </c>
      <c r="E136" s="275">
        <f>ROUND((IF('Ground Base'!E$154&gt;ROUND(((1-GroundCommDiscount31Up-GroundCommIncentive)*'Ground Base'!E131),2),ROUND('Ground Base'!E$154*(1+GroundFuelSurcharge),2),ROUND(((1-GroundCommDiscount31Up-GroundCommIncentive)*'Ground Base'!E131)*(1+GroundFuelSurcharge),2)))*(1+FedEx_Markup),2)</f>
        <v>61.84</v>
      </c>
      <c r="F136" s="275">
        <f>ROUND((IF('Ground Base'!F$154&gt;ROUND(((1-GroundCommDiscount31Up-GroundCommIncentive)*'Ground Base'!F131),2),ROUND('Ground Base'!F$154*(1+GroundFuelSurcharge),2),ROUND(((1-GroundCommDiscount31Up-GroundCommIncentive)*'Ground Base'!F131)*(1+GroundFuelSurcharge),2)))*(1+FedEx_Markup),2)</f>
        <v>70.13</v>
      </c>
      <c r="G136" s="275">
        <f>ROUND((IF('Ground Base'!G$154&gt;ROUND(((1-GroundCommDiscount31Up-GroundCommIncentive)*'Ground Base'!G131),2),ROUND('Ground Base'!G$154*(1+GroundFuelSurcharge),2),ROUND(((1-GroundCommDiscount31Up-GroundCommIncentive)*'Ground Base'!G131)*(1+GroundFuelSurcharge),2)))*(1+FedEx_Markup),2)</f>
        <v>77</v>
      </c>
      <c r="H136" s="275">
        <f>ROUND((IF('Ground Base'!H$154&gt;ROUND(((1-GroundCommDiscount31Up-GroundCommIncentive)*'Ground Base'!H131),2),ROUND('Ground Base'!H$154*(1+GroundFuelSurcharge),2),ROUND(((1-GroundCommDiscount31Up-GroundCommIncentive)*'Ground Base'!H131)*(1+GroundFuelSurcharge),2)))*(1+FedEx_Markup),2)</f>
        <v>87.49</v>
      </c>
      <c r="I136" s="275">
        <f>ROUND((IF('Ground Base'!I$154&gt;ROUND(((1-GroundAKHIDiscount)*'Ground Base'!I131),2),ROUND('Ground Base'!I$154*(1+GroundFuelSurcharge),2),ROUND(((1-GroundAKHIDiscount)*'Ground Base'!I131)*(1+GroundFuelSurcharge),2)))*(1+FedEx_Markup),2)</f>
        <v>527.38</v>
      </c>
      <c r="J136" s="275">
        <f>ROUND((IF('Ground Base'!J$154&gt;ROUND(((1-GroundAKHIDiscount)*'Ground Base'!J131),2),ROUND('Ground Base'!J$154*(1+GroundFuelSurcharge),2),ROUND(((1-GroundAKHIDiscount)*'Ground Base'!J131)*(1+GroundFuelSurcharge),2)))*(1+FedEx_Markup),2)</f>
        <v>527.38</v>
      </c>
      <c r="K136" s="275">
        <f>ROUND((IF('Ground Base'!K$154&gt;ROUND(((1-GroundZone51Discount)*'Ground Base'!K131),2),ROUND('Ground Base'!K$154*(1+GroundFuelSurcharge),2),ROUND(((1-GroundZone51Discount)*'Ground Base'!K131)*(1+GroundFuelSurcharge),2)))*(1+FedEx_Markup),2)</f>
        <v>112.75</v>
      </c>
      <c r="L136" s="275">
        <f>ROUND((IF('Ground Base'!L$154&gt;ROUND(((1-GroundZone54Discount)*'Ground Base'!L131),2),ROUND('Ground Base'!L$154*(1+GroundFuelSurcharge),2),ROUND(((1-GroundZone54Discount)*'Ground Base'!L131)*(1+GroundFuelSurcharge),2)))*(1+FedEx_Markup),2)</f>
        <v>157.44</v>
      </c>
    </row>
    <row r="137" ht="12.75" customHeight="1">
      <c r="A137" s="274">
        <v>130.0</v>
      </c>
      <c r="B137" s="275">
        <f>ROUND((IF('Ground Base'!B$154&gt;ROUND(((1-GroundCommDiscount31Up-GroundCommIncentive)*'Ground Base'!B132),2),ROUND('Ground Base'!B$154*(1+GroundFuelSurcharge),2),ROUND(((1-GroundCommDiscount31Up-GroundCommIncentive)*'Ground Base'!B132)*(1+GroundFuelSurcharge),2)))*(1+FedEx_Markup),2)</f>
        <v>55.86</v>
      </c>
      <c r="C137" s="275">
        <f>ROUND((IF('Ground Base'!C$154&gt;ROUND(((1-GroundCommDiscount31Up-GroundCommIncentive)*'Ground Base'!C132),2),ROUND('Ground Base'!C$154*(1+GroundFuelSurcharge),2),ROUND(((1-GroundCommDiscount31Up-GroundCommIncentive)*'Ground Base'!C132)*(1+GroundFuelSurcharge),2)))*(1+FedEx_Markup),2)</f>
        <v>55.87</v>
      </c>
      <c r="D137" s="275">
        <f>ROUND((IF('Ground Base'!D$154&gt;ROUND(((1-GroundCommDiscount31Up-GroundCommIncentive)*'Ground Base'!D132),2),ROUND('Ground Base'!D$154*(1+GroundFuelSurcharge),2),ROUND(((1-GroundCommDiscount31Up-GroundCommIncentive)*'Ground Base'!D132)*(1+GroundFuelSurcharge),2)))*(1+FedEx_Markup),2)</f>
        <v>60.33</v>
      </c>
      <c r="E137" s="275">
        <f>ROUND((IF('Ground Base'!E$154&gt;ROUND(((1-GroundCommDiscount31Up-GroundCommIncentive)*'Ground Base'!E132),2),ROUND('Ground Base'!E$154*(1+GroundFuelSurcharge),2),ROUND(((1-GroundCommDiscount31Up-GroundCommIncentive)*'Ground Base'!E132)*(1+GroundFuelSurcharge),2)))*(1+FedEx_Markup),2)</f>
        <v>61.85</v>
      </c>
      <c r="F137" s="275">
        <f>ROUND((IF('Ground Base'!F$154&gt;ROUND(((1-GroundCommDiscount31Up-GroundCommIncentive)*'Ground Base'!F132),2),ROUND('Ground Base'!F$154*(1+GroundFuelSurcharge),2),ROUND(((1-GroundCommDiscount31Up-GroundCommIncentive)*'Ground Base'!F132)*(1+GroundFuelSurcharge),2)))*(1+FedEx_Markup),2)</f>
        <v>70.63</v>
      </c>
      <c r="G137" s="275">
        <f>ROUND((IF('Ground Base'!G$154&gt;ROUND(((1-GroundCommDiscount31Up-GroundCommIncentive)*'Ground Base'!G132),2),ROUND('Ground Base'!G$154*(1+GroundFuelSurcharge),2),ROUND(((1-GroundCommDiscount31Up-GroundCommIncentive)*'Ground Base'!G132)*(1+GroundFuelSurcharge),2)))*(1+FedEx_Markup),2)</f>
        <v>78</v>
      </c>
      <c r="H137" s="275">
        <f>ROUND((IF('Ground Base'!H$154&gt;ROUND(((1-GroundCommDiscount31Up-GroundCommIncentive)*'Ground Base'!H132),2),ROUND('Ground Base'!H$154*(1+GroundFuelSurcharge),2),ROUND(((1-GroundCommDiscount31Up-GroundCommIncentive)*'Ground Base'!H132)*(1+GroundFuelSurcharge),2)))*(1+FedEx_Markup),2)</f>
        <v>89.5</v>
      </c>
      <c r="I137" s="275">
        <f>ROUND((IF('Ground Base'!I$154&gt;ROUND(((1-GroundAKHIDiscount)*'Ground Base'!I132),2),ROUND('Ground Base'!I$154*(1+GroundFuelSurcharge),2),ROUND(((1-GroundAKHIDiscount)*'Ground Base'!I132)*(1+GroundFuelSurcharge),2)))*(1+FedEx_Markup),2)</f>
        <v>541.82</v>
      </c>
      <c r="J137" s="275">
        <f>ROUND((IF('Ground Base'!J$154&gt;ROUND(((1-GroundAKHIDiscount)*'Ground Base'!J132),2),ROUND('Ground Base'!J$154*(1+GroundFuelSurcharge),2),ROUND(((1-GroundAKHIDiscount)*'Ground Base'!J132)*(1+GroundFuelSurcharge),2)))*(1+FedEx_Markup),2)</f>
        <v>541.82</v>
      </c>
      <c r="K137" s="275">
        <f>ROUND((IF('Ground Base'!K$154&gt;ROUND(((1-GroundZone51Discount)*'Ground Base'!K132),2),ROUND('Ground Base'!K$154*(1+GroundFuelSurcharge),2),ROUND(((1-GroundZone51Discount)*'Ground Base'!K132)*(1+GroundFuelSurcharge),2)))*(1+FedEx_Markup),2)</f>
        <v>112.76</v>
      </c>
      <c r="L137" s="275">
        <f>ROUND((IF('Ground Base'!L$154&gt;ROUND(((1-GroundZone54Discount)*'Ground Base'!L132),2),ROUND('Ground Base'!L$154*(1+GroundFuelSurcharge),2),ROUND(((1-GroundZone54Discount)*'Ground Base'!L132)*(1+GroundFuelSurcharge),2)))*(1+FedEx_Markup),2)</f>
        <v>157.45</v>
      </c>
    </row>
    <row r="138" ht="12.75" customHeight="1">
      <c r="A138" s="274">
        <v>131.0</v>
      </c>
      <c r="B138" s="275">
        <f>ROUND((IF('Ground Base'!B$154&gt;ROUND(((1-GroundCommDiscount31Up-GroundCommIncentive)*'Ground Base'!B133),2),ROUND('Ground Base'!B$154*(1+GroundFuelSurcharge),2),ROUND(((1-GroundCommDiscount31Up-GroundCommIncentive)*'Ground Base'!B133)*(1+GroundFuelSurcharge),2)))*(1+FedEx_Markup),2)</f>
        <v>56.17</v>
      </c>
      <c r="C138" s="275">
        <f>ROUND((IF('Ground Base'!C$154&gt;ROUND(((1-GroundCommDiscount31Up-GroundCommIncentive)*'Ground Base'!C133),2),ROUND('Ground Base'!C$154*(1+GroundFuelSurcharge),2),ROUND(((1-GroundCommDiscount31Up-GroundCommIncentive)*'Ground Base'!C133)*(1+GroundFuelSurcharge),2)))*(1+FedEx_Markup),2)</f>
        <v>56.74</v>
      </c>
      <c r="D138" s="275">
        <f>ROUND((IF('Ground Base'!D$154&gt;ROUND(((1-GroundCommDiscount31Up-GroundCommIncentive)*'Ground Base'!D133),2),ROUND('Ground Base'!D$154*(1+GroundFuelSurcharge),2),ROUND(((1-GroundCommDiscount31Up-GroundCommIncentive)*'Ground Base'!D133)*(1+GroundFuelSurcharge),2)))*(1+FedEx_Markup),2)</f>
        <v>61.48</v>
      </c>
      <c r="E138" s="275">
        <f>ROUND((IF('Ground Base'!E$154&gt;ROUND(((1-GroundCommDiscount31Up-GroundCommIncentive)*'Ground Base'!E133),2),ROUND('Ground Base'!E$154*(1+GroundFuelSurcharge),2),ROUND(((1-GroundCommDiscount31Up-GroundCommIncentive)*'Ground Base'!E133)*(1+GroundFuelSurcharge),2)))*(1+FedEx_Markup),2)</f>
        <v>62.86</v>
      </c>
      <c r="F138" s="275">
        <f>ROUND((IF('Ground Base'!F$154&gt;ROUND(((1-GroundCommDiscount31Up-GroundCommIncentive)*'Ground Base'!F133),2),ROUND('Ground Base'!F$154*(1+GroundFuelSurcharge),2),ROUND(((1-GroundCommDiscount31Up-GroundCommIncentive)*'Ground Base'!F133)*(1+GroundFuelSurcharge),2)))*(1+FedEx_Markup),2)</f>
        <v>71.67</v>
      </c>
      <c r="G138" s="275">
        <f>ROUND((IF('Ground Base'!G$154&gt;ROUND(((1-GroundCommDiscount31Up-GroundCommIncentive)*'Ground Base'!G133),2),ROUND('Ground Base'!G$154*(1+GroundFuelSurcharge),2),ROUND(((1-GroundCommDiscount31Up-GroundCommIncentive)*'Ground Base'!G133)*(1+GroundFuelSurcharge),2)))*(1+FedEx_Markup),2)</f>
        <v>78.74</v>
      </c>
      <c r="H138" s="275">
        <f>ROUND((IF('Ground Base'!H$154&gt;ROUND(((1-GroundCommDiscount31Up-GroundCommIncentive)*'Ground Base'!H133),2),ROUND('Ground Base'!H$154*(1+GroundFuelSurcharge),2),ROUND(((1-GroundCommDiscount31Up-GroundCommIncentive)*'Ground Base'!H133)*(1+GroundFuelSurcharge),2)))*(1+FedEx_Markup),2)</f>
        <v>89.91</v>
      </c>
      <c r="I138" s="275">
        <f>ROUND((IF('Ground Base'!I$154&gt;ROUND(((1-GroundAKHIDiscount)*'Ground Base'!I133),2),ROUND('Ground Base'!I$154*(1+GroundFuelSurcharge),2),ROUND(((1-GroundAKHIDiscount)*'Ground Base'!I133)*(1+GroundFuelSurcharge),2)))*(1+FedEx_Markup),2)</f>
        <v>541.83</v>
      </c>
      <c r="J138" s="275">
        <f>ROUND((IF('Ground Base'!J$154&gt;ROUND(((1-GroundAKHIDiscount)*'Ground Base'!J133),2),ROUND('Ground Base'!J$154*(1+GroundFuelSurcharge),2),ROUND(((1-GroundAKHIDiscount)*'Ground Base'!J133)*(1+GroundFuelSurcharge),2)))*(1+FedEx_Markup),2)</f>
        <v>541.83</v>
      </c>
      <c r="K138" s="275">
        <f>ROUND((IF('Ground Base'!K$154&gt;ROUND(((1-GroundZone51Discount)*'Ground Base'!K133),2),ROUND('Ground Base'!K$154*(1+GroundFuelSurcharge),2),ROUND(((1-GroundZone51Discount)*'Ground Base'!K133)*(1+GroundFuelSurcharge),2)))*(1+FedEx_Markup),2)</f>
        <v>115.17</v>
      </c>
      <c r="L138" s="275">
        <f>ROUND((IF('Ground Base'!L$154&gt;ROUND(((1-GroundZone54Discount)*'Ground Base'!L133),2),ROUND('Ground Base'!L$154*(1+GroundFuelSurcharge),2),ROUND(((1-GroundZone54Discount)*'Ground Base'!L133)*(1+GroundFuelSurcharge),2)))*(1+FedEx_Markup),2)</f>
        <v>161.69</v>
      </c>
    </row>
    <row r="139" ht="12.75" customHeight="1">
      <c r="A139" s="274">
        <v>132.0</v>
      </c>
      <c r="B139" s="275">
        <f>ROUND((IF('Ground Base'!B$154&gt;ROUND(((1-GroundCommDiscount31Up-GroundCommIncentive)*'Ground Base'!B134),2),ROUND('Ground Base'!B$154*(1+GroundFuelSurcharge),2),ROUND(((1-GroundCommDiscount31Up-GroundCommIncentive)*'Ground Base'!B134)*(1+GroundFuelSurcharge),2)))*(1+FedEx_Markup),2)</f>
        <v>56.76</v>
      </c>
      <c r="C139" s="275">
        <f>ROUND((IF('Ground Base'!C$154&gt;ROUND(((1-GroundCommDiscount31Up-GroundCommIncentive)*'Ground Base'!C134),2),ROUND('Ground Base'!C$154*(1+GroundFuelSurcharge),2),ROUND(((1-GroundCommDiscount31Up-GroundCommIncentive)*'Ground Base'!C134)*(1+GroundFuelSurcharge),2)))*(1+FedEx_Markup),2)</f>
        <v>56.76</v>
      </c>
      <c r="D139" s="275">
        <f>ROUND((IF('Ground Base'!D$154&gt;ROUND(((1-GroundCommDiscount31Up-GroundCommIncentive)*'Ground Base'!D134),2),ROUND('Ground Base'!D$154*(1+GroundFuelSurcharge),2),ROUND(((1-GroundCommDiscount31Up-GroundCommIncentive)*'Ground Base'!D134)*(1+GroundFuelSurcharge),2)))*(1+FedEx_Markup),2)</f>
        <v>61.48</v>
      </c>
      <c r="E139" s="275">
        <f>ROUND((IF('Ground Base'!E$154&gt;ROUND(((1-GroundCommDiscount31Up-GroundCommIncentive)*'Ground Base'!E134),2),ROUND('Ground Base'!E$154*(1+GroundFuelSurcharge),2),ROUND(((1-GroundCommDiscount31Up-GroundCommIncentive)*'Ground Base'!E134)*(1+GroundFuelSurcharge),2)))*(1+FedEx_Markup),2)</f>
        <v>63.27</v>
      </c>
      <c r="F139" s="275">
        <f>ROUND((IF('Ground Base'!F$154&gt;ROUND(((1-GroundCommDiscount31Up-GroundCommIncentive)*'Ground Base'!F134),2),ROUND('Ground Base'!F$154*(1+GroundFuelSurcharge),2),ROUND(((1-GroundCommDiscount31Up-GroundCommIncentive)*'Ground Base'!F134)*(1+GroundFuelSurcharge),2)))*(1+FedEx_Markup),2)</f>
        <v>71.68</v>
      </c>
      <c r="G139" s="275">
        <f>ROUND((IF('Ground Base'!G$154&gt;ROUND(((1-GroundCommDiscount31Up-GroundCommIncentive)*'Ground Base'!G134),2),ROUND('Ground Base'!G$154*(1+GroundFuelSurcharge),2),ROUND(((1-GroundCommDiscount31Up-GroundCommIncentive)*'Ground Base'!G134)*(1+GroundFuelSurcharge),2)))*(1+FedEx_Markup),2)</f>
        <v>78.75</v>
      </c>
      <c r="H139" s="275">
        <f>ROUND((IF('Ground Base'!H$154&gt;ROUND(((1-GroundCommDiscount31Up-GroundCommIncentive)*'Ground Base'!H134),2),ROUND('Ground Base'!H$154*(1+GroundFuelSurcharge),2),ROUND(((1-GroundCommDiscount31Up-GroundCommIncentive)*'Ground Base'!H134)*(1+GroundFuelSurcharge),2)))*(1+FedEx_Markup),2)</f>
        <v>89.92</v>
      </c>
      <c r="I139" s="275">
        <f>ROUND((IF('Ground Base'!I$154&gt;ROUND(((1-GroundAKHIDiscount)*'Ground Base'!I134),2),ROUND('Ground Base'!I$154*(1+GroundFuelSurcharge),2),ROUND(((1-GroundAKHIDiscount)*'Ground Base'!I134)*(1+GroundFuelSurcharge),2)))*(1+FedEx_Markup),2)</f>
        <v>546.7</v>
      </c>
      <c r="J139" s="275">
        <f>ROUND((IF('Ground Base'!J$154&gt;ROUND(((1-GroundAKHIDiscount)*'Ground Base'!J134),2),ROUND('Ground Base'!J$154*(1+GroundFuelSurcharge),2),ROUND(((1-GroundAKHIDiscount)*'Ground Base'!J134)*(1+GroundFuelSurcharge),2)))*(1+FedEx_Markup),2)</f>
        <v>546.7</v>
      </c>
      <c r="K139" s="275">
        <f>ROUND((IF('Ground Base'!K$154&gt;ROUND(((1-GroundZone51Discount)*'Ground Base'!K134),2),ROUND('Ground Base'!K$154*(1+GroundFuelSurcharge),2),ROUND(((1-GroundZone51Discount)*'Ground Base'!K134)*(1+GroundFuelSurcharge),2)))*(1+FedEx_Markup),2)</f>
        <v>115.17</v>
      </c>
      <c r="L139" s="275">
        <f>ROUND((IF('Ground Base'!L$154&gt;ROUND(((1-GroundZone54Discount)*'Ground Base'!L134),2),ROUND('Ground Base'!L$154*(1+GroundFuelSurcharge),2),ROUND(((1-GroundZone54Discount)*'Ground Base'!L134)*(1+GroundFuelSurcharge),2)))*(1+FedEx_Markup),2)</f>
        <v>161.7</v>
      </c>
    </row>
    <row r="140" ht="12.75" customHeight="1">
      <c r="A140" s="274">
        <v>133.0</v>
      </c>
      <c r="B140" s="275">
        <f>ROUND((IF('Ground Base'!B$154&gt;ROUND(((1-GroundCommDiscount31Up-GroundCommIncentive)*'Ground Base'!B135),2),ROUND('Ground Base'!B$154*(1+GroundFuelSurcharge),2),ROUND(((1-GroundCommDiscount31Up-GroundCommIncentive)*'Ground Base'!B135)*(1+GroundFuelSurcharge),2)))*(1+FedEx_Markup),2)</f>
        <v>57.24</v>
      </c>
      <c r="C140" s="275">
        <f>ROUND((IF('Ground Base'!C$154&gt;ROUND(((1-GroundCommDiscount31Up-GroundCommIncentive)*'Ground Base'!C135),2),ROUND('Ground Base'!C$154*(1+GroundFuelSurcharge),2),ROUND(((1-GroundCommDiscount31Up-GroundCommIncentive)*'Ground Base'!C135)*(1+GroundFuelSurcharge),2)))*(1+FedEx_Markup),2)</f>
        <v>57.4</v>
      </c>
      <c r="D140" s="275">
        <f>ROUND((IF('Ground Base'!D$154&gt;ROUND(((1-GroundCommDiscount31Up-GroundCommIncentive)*'Ground Base'!D135),2),ROUND('Ground Base'!D$154*(1+GroundFuelSurcharge),2),ROUND(((1-GroundCommDiscount31Up-GroundCommIncentive)*'Ground Base'!D135)*(1+GroundFuelSurcharge),2)))*(1+FedEx_Markup),2)</f>
        <v>61.49</v>
      </c>
      <c r="E140" s="275">
        <f>ROUND((IF('Ground Base'!E$154&gt;ROUND(((1-GroundCommDiscount31Up-GroundCommIncentive)*'Ground Base'!E135),2),ROUND('Ground Base'!E$154*(1+GroundFuelSurcharge),2),ROUND(((1-GroundCommDiscount31Up-GroundCommIncentive)*'Ground Base'!E135)*(1+GroundFuelSurcharge),2)))*(1+FedEx_Markup),2)</f>
        <v>63.27</v>
      </c>
      <c r="F140" s="275">
        <f>ROUND((IF('Ground Base'!F$154&gt;ROUND(((1-GroundCommDiscount31Up-GroundCommIncentive)*'Ground Base'!F135),2),ROUND('Ground Base'!F$154*(1+GroundFuelSurcharge),2),ROUND(((1-GroundCommDiscount31Up-GroundCommIncentive)*'Ground Base'!F135)*(1+GroundFuelSurcharge),2)))*(1+FedEx_Markup),2)</f>
        <v>72.05</v>
      </c>
      <c r="G140" s="275">
        <f>ROUND((IF('Ground Base'!G$154&gt;ROUND(((1-GroundCommDiscount31Up-GroundCommIncentive)*'Ground Base'!G135),2),ROUND('Ground Base'!G$154*(1+GroundFuelSurcharge),2),ROUND(((1-GroundCommDiscount31Up-GroundCommIncentive)*'Ground Base'!G135)*(1+GroundFuelSurcharge),2)))*(1+FedEx_Markup),2)</f>
        <v>78.75</v>
      </c>
      <c r="H140" s="275">
        <f>ROUND((IF('Ground Base'!H$154&gt;ROUND(((1-GroundCommDiscount31Up-GroundCommIncentive)*'Ground Base'!H135),2),ROUND('Ground Base'!H$154*(1+GroundFuelSurcharge),2),ROUND(((1-GroundCommDiscount31Up-GroundCommIncentive)*'Ground Base'!H135)*(1+GroundFuelSurcharge),2)))*(1+FedEx_Markup),2)</f>
        <v>89.92</v>
      </c>
      <c r="I140" s="275">
        <f>ROUND((IF('Ground Base'!I$154&gt;ROUND(((1-GroundAKHIDiscount)*'Ground Base'!I135),2),ROUND('Ground Base'!I$154*(1+GroundFuelSurcharge),2),ROUND(((1-GroundAKHIDiscount)*'Ground Base'!I135)*(1+GroundFuelSurcharge),2)))*(1+FedEx_Markup),2)</f>
        <v>549.99</v>
      </c>
      <c r="J140" s="275">
        <f>ROUND((IF('Ground Base'!J$154&gt;ROUND(((1-GroundAKHIDiscount)*'Ground Base'!J135),2),ROUND('Ground Base'!J$154*(1+GroundFuelSurcharge),2),ROUND(((1-GroundAKHIDiscount)*'Ground Base'!J135)*(1+GroundFuelSurcharge),2)))*(1+FedEx_Markup),2)</f>
        <v>549.99</v>
      </c>
      <c r="K140" s="275">
        <f>ROUND((IF('Ground Base'!K$154&gt;ROUND(((1-GroundZone51Discount)*'Ground Base'!K135),2),ROUND('Ground Base'!K$154*(1+GroundFuelSurcharge),2),ROUND(((1-GroundZone51Discount)*'Ground Base'!K135)*(1+GroundFuelSurcharge),2)))*(1+FedEx_Markup),2)</f>
        <v>115.18</v>
      </c>
      <c r="L140" s="275">
        <f>ROUND((IF('Ground Base'!L$154&gt;ROUND(((1-GroundZone54Discount)*'Ground Base'!L135),2),ROUND('Ground Base'!L$154*(1+GroundFuelSurcharge),2),ROUND(((1-GroundZone54Discount)*'Ground Base'!L135)*(1+GroundFuelSurcharge),2)))*(1+FedEx_Markup),2)</f>
        <v>161.71</v>
      </c>
    </row>
    <row r="141" ht="12.75" customHeight="1">
      <c r="A141" s="274">
        <v>134.0</v>
      </c>
      <c r="B141" s="275">
        <f>ROUND((IF('Ground Base'!B$154&gt;ROUND(((1-GroundCommDiscount31Up-GroundCommIncentive)*'Ground Base'!B136),2),ROUND('Ground Base'!B$154*(1+GroundFuelSurcharge),2),ROUND(((1-GroundCommDiscount31Up-GroundCommIncentive)*'Ground Base'!B136)*(1+GroundFuelSurcharge),2)))*(1+FedEx_Markup),2)</f>
        <v>58.31</v>
      </c>
      <c r="C141" s="275">
        <f>ROUND((IF('Ground Base'!C$154&gt;ROUND(((1-GroundCommDiscount31Up-GroundCommIncentive)*'Ground Base'!C136),2),ROUND('Ground Base'!C$154*(1+GroundFuelSurcharge),2),ROUND(((1-GroundCommDiscount31Up-GroundCommIncentive)*'Ground Base'!C136)*(1+GroundFuelSurcharge),2)))*(1+FedEx_Markup),2)</f>
        <v>58.37</v>
      </c>
      <c r="D141" s="275">
        <f>ROUND((IF('Ground Base'!D$154&gt;ROUND(((1-GroundCommDiscount31Up-GroundCommIncentive)*'Ground Base'!D136),2),ROUND('Ground Base'!D$154*(1+GroundFuelSurcharge),2),ROUND(((1-GroundCommDiscount31Up-GroundCommIncentive)*'Ground Base'!D136)*(1+GroundFuelSurcharge),2)))*(1+FedEx_Markup),2)</f>
        <v>62.7</v>
      </c>
      <c r="E141" s="275">
        <f>ROUND((IF('Ground Base'!E$154&gt;ROUND(((1-GroundCommDiscount31Up-GroundCommIncentive)*'Ground Base'!E136),2),ROUND('Ground Base'!E$154*(1+GroundFuelSurcharge),2),ROUND(((1-GroundCommDiscount31Up-GroundCommIncentive)*'Ground Base'!E136)*(1+GroundFuelSurcharge),2)))*(1+FedEx_Markup),2)</f>
        <v>64.41</v>
      </c>
      <c r="F141" s="275">
        <f>ROUND((IF('Ground Base'!F$154&gt;ROUND(((1-GroundCommDiscount31Up-GroundCommIncentive)*'Ground Base'!F136),2),ROUND('Ground Base'!F$154*(1+GroundFuelSurcharge),2),ROUND(((1-GroundCommDiscount31Up-GroundCommIncentive)*'Ground Base'!F136)*(1+GroundFuelSurcharge),2)))*(1+FedEx_Markup),2)</f>
        <v>73.3</v>
      </c>
      <c r="G141" s="275">
        <f>ROUND((IF('Ground Base'!G$154&gt;ROUND(((1-GroundCommDiscount31Up-GroundCommIncentive)*'Ground Base'!G136),2),ROUND('Ground Base'!G$154*(1+GroundFuelSurcharge),2),ROUND(((1-GroundCommDiscount31Up-GroundCommIncentive)*'Ground Base'!G136)*(1+GroundFuelSurcharge),2)))*(1+FedEx_Markup),2)</f>
        <v>80.05</v>
      </c>
      <c r="H141" s="275">
        <f>ROUND((IF('Ground Base'!H$154&gt;ROUND(((1-GroundCommDiscount31Up-GroundCommIncentive)*'Ground Base'!H136),2),ROUND('Ground Base'!H$154*(1+GroundFuelSurcharge),2),ROUND(((1-GroundCommDiscount31Up-GroundCommIncentive)*'Ground Base'!H136)*(1+GroundFuelSurcharge),2)))*(1+FedEx_Markup),2)</f>
        <v>89.93</v>
      </c>
      <c r="I141" s="275">
        <f>ROUND((IF('Ground Base'!I$154&gt;ROUND(((1-GroundAKHIDiscount)*'Ground Base'!I136),2),ROUND('Ground Base'!I$154*(1+GroundFuelSurcharge),2),ROUND(((1-GroundAKHIDiscount)*'Ground Base'!I136)*(1+GroundFuelSurcharge),2)))*(1+FedEx_Markup),2)</f>
        <v>550.01</v>
      </c>
      <c r="J141" s="275">
        <f>ROUND((IF('Ground Base'!J$154&gt;ROUND(((1-GroundAKHIDiscount)*'Ground Base'!J136),2),ROUND('Ground Base'!J$154*(1+GroundFuelSurcharge),2),ROUND(((1-GroundAKHIDiscount)*'Ground Base'!J136)*(1+GroundFuelSurcharge),2)))*(1+FedEx_Markup),2)</f>
        <v>550.01</v>
      </c>
      <c r="K141" s="275">
        <f>ROUND((IF('Ground Base'!K$154&gt;ROUND(((1-GroundZone51Discount)*'Ground Base'!K136),2),ROUND('Ground Base'!K$154*(1+GroundFuelSurcharge),2),ROUND(((1-GroundZone51Discount)*'Ground Base'!K136)*(1+GroundFuelSurcharge),2)))*(1+FedEx_Markup),2)</f>
        <v>115.18</v>
      </c>
      <c r="L141" s="275">
        <f>ROUND((IF('Ground Base'!L$154&gt;ROUND(((1-GroundZone54Discount)*'Ground Base'!L136),2),ROUND('Ground Base'!L$154*(1+GroundFuelSurcharge),2),ROUND(((1-GroundZone54Discount)*'Ground Base'!L136)*(1+GroundFuelSurcharge),2)))*(1+FedEx_Markup),2)</f>
        <v>161.71</v>
      </c>
    </row>
    <row r="142" ht="12.75" customHeight="1">
      <c r="A142" s="274">
        <v>135.0</v>
      </c>
      <c r="B142" s="275">
        <f>ROUND((IF('Ground Base'!B$154&gt;ROUND(((1-GroundCommDiscount31Up-GroundCommIncentive)*'Ground Base'!B137),2),ROUND('Ground Base'!B$154*(1+GroundFuelSurcharge),2),ROUND(((1-GroundCommDiscount31Up-GroundCommIncentive)*'Ground Base'!B137)*(1+GroundFuelSurcharge),2)))*(1+FedEx_Markup),2)</f>
        <v>58.75</v>
      </c>
      <c r="C142" s="275">
        <f>ROUND((IF('Ground Base'!C$154&gt;ROUND(((1-GroundCommDiscount31Up-GroundCommIncentive)*'Ground Base'!C137),2),ROUND('Ground Base'!C$154*(1+GroundFuelSurcharge),2),ROUND(((1-GroundCommDiscount31Up-GroundCommIncentive)*'Ground Base'!C137)*(1+GroundFuelSurcharge),2)))*(1+FedEx_Markup),2)</f>
        <v>59.54</v>
      </c>
      <c r="D142" s="275">
        <f>ROUND((IF('Ground Base'!D$154&gt;ROUND(((1-GroundCommDiscount31Up-GroundCommIncentive)*'Ground Base'!D137),2),ROUND('Ground Base'!D$154*(1+GroundFuelSurcharge),2),ROUND(((1-GroundCommDiscount31Up-GroundCommIncentive)*'Ground Base'!D137)*(1+GroundFuelSurcharge),2)))*(1+FedEx_Markup),2)</f>
        <v>63.85</v>
      </c>
      <c r="E142" s="275">
        <f>ROUND((IF('Ground Base'!E$154&gt;ROUND(((1-GroundCommDiscount31Up-GroundCommIncentive)*'Ground Base'!E137),2),ROUND('Ground Base'!E$154*(1+GroundFuelSurcharge),2),ROUND(((1-GroundCommDiscount31Up-GroundCommIncentive)*'Ground Base'!E137)*(1+GroundFuelSurcharge),2)))*(1+FedEx_Markup),2)</f>
        <v>65.56</v>
      </c>
      <c r="F142" s="275">
        <f>ROUND((IF('Ground Base'!F$154&gt;ROUND(((1-GroundCommDiscount31Up-GroundCommIncentive)*'Ground Base'!F137),2),ROUND('Ground Base'!F$154*(1+GroundFuelSurcharge),2),ROUND(((1-GroundCommDiscount31Up-GroundCommIncentive)*'Ground Base'!F137)*(1+GroundFuelSurcharge),2)))*(1+FedEx_Markup),2)</f>
        <v>74.2</v>
      </c>
      <c r="G142" s="275">
        <f>ROUND((IF('Ground Base'!G$154&gt;ROUND(((1-GroundCommDiscount31Up-GroundCommIncentive)*'Ground Base'!G137),2),ROUND('Ground Base'!G$154*(1+GroundFuelSurcharge),2),ROUND(((1-GroundCommDiscount31Up-GroundCommIncentive)*'Ground Base'!G137)*(1+GroundFuelSurcharge),2)))*(1+FedEx_Markup),2)</f>
        <v>80.47</v>
      </c>
      <c r="H142" s="275">
        <f>ROUND((IF('Ground Base'!H$154&gt;ROUND(((1-GroundCommDiscount31Up-GroundCommIncentive)*'Ground Base'!H137),2),ROUND('Ground Base'!H$154*(1+GroundFuelSurcharge),2),ROUND(((1-GroundCommDiscount31Up-GroundCommIncentive)*'Ground Base'!H137)*(1+GroundFuelSurcharge),2)))*(1+FedEx_Markup),2)</f>
        <v>90.37</v>
      </c>
      <c r="I142" s="275">
        <f>ROUND((IF('Ground Base'!I$154&gt;ROUND(((1-GroundAKHIDiscount)*'Ground Base'!I137),2),ROUND('Ground Base'!I$154*(1+GroundFuelSurcharge),2),ROUND(((1-GroundAKHIDiscount)*'Ground Base'!I137)*(1+GroundFuelSurcharge),2)))*(1+FedEx_Markup),2)</f>
        <v>554.16</v>
      </c>
      <c r="J142" s="275">
        <f>ROUND((IF('Ground Base'!J$154&gt;ROUND(((1-GroundAKHIDiscount)*'Ground Base'!J137),2),ROUND('Ground Base'!J$154*(1+GroundFuelSurcharge),2),ROUND(((1-GroundAKHIDiscount)*'Ground Base'!J137)*(1+GroundFuelSurcharge),2)))*(1+FedEx_Markup),2)</f>
        <v>554.16</v>
      </c>
      <c r="K142" s="275">
        <f>ROUND((IF('Ground Base'!K$154&gt;ROUND(((1-GroundZone51Discount)*'Ground Base'!K137),2),ROUND('Ground Base'!K$154*(1+GroundFuelSurcharge),2),ROUND(((1-GroundZone51Discount)*'Ground Base'!K137)*(1+GroundFuelSurcharge),2)))*(1+FedEx_Markup),2)</f>
        <v>115.2</v>
      </c>
      <c r="L142" s="275">
        <f>ROUND((IF('Ground Base'!L$154&gt;ROUND(((1-GroundZone54Discount)*'Ground Base'!L137),2),ROUND('Ground Base'!L$154*(1+GroundFuelSurcharge),2),ROUND(((1-GroundZone54Discount)*'Ground Base'!L137)*(1+GroundFuelSurcharge),2)))*(1+FedEx_Markup),2)</f>
        <v>161.72</v>
      </c>
    </row>
    <row r="143" ht="12.75" customHeight="1">
      <c r="A143" s="274">
        <v>136.0</v>
      </c>
      <c r="B143" s="275">
        <f>ROUND((IF('Ground Base'!B$154&gt;ROUND(((1-GroundCommDiscount31Up-GroundCommIncentive)*'Ground Base'!B138),2),ROUND('Ground Base'!B$154*(1+GroundFuelSurcharge),2),ROUND(((1-GroundCommDiscount31Up-GroundCommIncentive)*'Ground Base'!B138)*(1+GroundFuelSurcharge),2)))*(1+FedEx_Markup),2)</f>
        <v>59.18</v>
      </c>
      <c r="C143" s="275">
        <f>ROUND((IF('Ground Base'!C$154&gt;ROUND(((1-GroundCommDiscount31Up-GroundCommIncentive)*'Ground Base'!C138),2),ROUND('Ground Base'!C$154*(1+GroundFuelSurcharge),2),ROUND(((1-GroundCommDiscount31Up-GroundCommIncentive)*'Ground Base'!C138)*(1+GroundFuelSurcharge),2)))*(1+FedEx_Markup),2)</f>
        <v>59.54</v>
      </c>
      <c r="D143" s="275">
        <f>ROUND((IF('Ground Base'!D$154&gt;ROUND(((1-GroundCommDiscount31Up-GroundCommIncentive)*'Ground Base'!D138),2),ROUND('Ground Base'!D$154*(1+GroundFuelSurcharge),2),ROUND(((1-GroundCommDiscount31Up-GroundCommIncentive)*'Ground Base'!D138)*(1+GroundFuelSurcharge),2)))*(1+FedEx_Markup),2)</f>
        <v>64.27</v>
      </c>
      <c r="E143" s="275">
        <f>ROUND((IF('Ground Base'!E$154&gt;ROUND(((1-GroundCommDiscount31Up-GroundCommIncentive)*'Ground Base'!E138),2),ROUND('Ground Base'!E$154*(1+GroundFuelSurcharge),2),ROUND(((1-GroundCommDiscount31Up-GroundCommIncentive)*'Ground Base'!E138)*(1+GroundFuelSurcharge),2)))*(1+FedEx_Markup),2)</f>
        <v>66.13</v>
      </c>
      <c r="F143" s="275">
        <f>ROUND((IF('Ground Base'!F$154&gt;ROUND(((1-GroundCommDiscount31Up-GroundCommIncentive)*'Ground Base'!F138),2),ROUND('Ground Base'!F$154*(1+GroundFuelSurcharge),2),ROUND(((1-GroundCommDiscount31Up-GroundCommIncentive)*'Ground Base'!F138)*(1+GroundFuelSurcharge),2)))*(1+FedEx_Markup),2)</f>
        <v>74.2</v>
      </c>
      <c r="G143" s="275">
        <f>ROUND((IF('Ground Base'!G$154&gt;ROUND(((1-GroundCommDiscount31Up-GroundCommIncentive)*'Ground Base'!G138),2),ROUND('Ground Base'!G$154*(1+GroundFuelSurcharge),2),ROUND(((1-GroundCommDiscount31Up-GroundCommIncentive)*'Ground Base'!G138)*(1+GroundFuelSurcharge),2)))*(1+FedEx_Markup),2)</f>
        <v>81.72</v>
      </c>
      <c r="H143" s="275">
        <f>ROUND((IF('Ground Base'!H$154&gt;ROUND(((1-GroundCommDiscount31Up-GroundCommIncentive)*'Ground Base'!H138),2),ROUND('Ground Base'!H$154*(1+GroundFuelSurcharge),2),ROUND(((1-GroundCommDiscount31Up-GroundCommIncentive)*'Ground Base'!H138)*(1+GroundFuelSurcharge),2)))*(1+FedEx_Markup),2)</f>
        <v>90.99</v>
      </c>
      <c r="I143" s="275">
        <f>ROUND((IF('Ground Base'!I$154&gt;ROUND(((1-GroundAKHIDiscount)*'Ground Base'!I138),2),ROUND('Ground Base'!I$154*(1+GroundFuelSurcharge),2),ROUND(((1-GroundAKHIDiscount)*'Ground Base'!I138)*(1+GroundFuelSurcharge),2)))*(1+FedEx_Markup),2)</f>
        <v>558.38</v>
      </c>
      <c r="J143" s="275">
        <f>ROUND((IF('Ground Base'!J$154&gt;ROUND(((1-GroundAKHIDiscount)*'Ground Base'!J138),2),ROUND('Ground Base'!J$154*(1+GroundFuelSurcharge),2),ROUND(((1-GroundAKHIDiscount)*'Ground Base'!J138)*(1+GroundFuelSurcharge),2)))*(1+FedEx_Markup),2)</f>
        <v>558.38</v>
      </c>
      <c r="K143" s="275">
        <f>ROUND((IF('Ground Base'!K$154&gt;ROUND(((1-GroundZone51Discount)*'Ground Base'!K138),2),ROUND('Ground Base'!K$154*(1+GroundFuelSurcharge),2),ROUND(((1-GroundZone51Discount)*'Ground Base'!K138)*(1+GroundFuelSurcharge),2)))*(1+FedEx_Markup),2)</f>
        <v>117.54</v>
      </c>
      <c r="L143" s="275">
        <f>ROUND((IF('Ground Base'!L$154&gt;ROUND(((1-GroundZone54Discount)*'Ground Base'!L138),2),ROUND('Ground Base'!L$154*(1+GroundFuelSurcharge),2),ROUND(((1-GroundZone54Discount)*'Ground Base'!L138)*(1+GroundFuelSurcharge),2)))*(1+FedEx_Markup),2)</f>
        <v>166.89</v>
      </c>
    </row>
    <row r="144" ht="12.75" customHeight="1">
      <c r="A144" s="274">
        <v>137.0</v>
      </c>
      <c r="B144" s="275">
        <f>ROUND((IF('Ground Base'!B$154&gt;ROUND(((1-GroundCommDiscount31Up-GroundCommIncentive)*'Ground Base'!B139),2),ROUND('Ground Base'!B$154*(1+GroundFuelSurcharge),2),ROUND(((1-GroundCommDiscount31Up-GroundCommIncentive)*'Ground Base'!B139)*(1+GroundFuelSurcharge),2)))*(1+FedEx_Markup),2)</f>
        <v>59.19</v>
      </c>
      <c r="C144" s="275">
        <f>ROUND((IF('Ground Base'!C$154&gt;ROUND(((1-GroundCommDiscount31Up-GroundCommIncentive)*'Ground Base'!C139),2),ROUND('Ground Base'!C$154*(1+GroundFuelSurcharge),2),ROUND(((1-GroundCommDiscount31Up-GroundCommIncentive)*'Ground Base'!C139)*(1+GroundFuelSurcharge),2)))*(1+FedEx_Markup),2)</f>
        <v>59.67</v>
      </c>
      <c r="D144" s="275">
        <f>ROUND((IF('Ground Base'!D$154&gt;ROUND(((1-GroundCommDiscount31Up-GroundCommIncentive)*'Ground Base'!D139),2),ROUND('Ground Base'!D$154*(1+GroundFuelSurcharge),2),ROUND(((1-GroundCommDiscount31Up-GroundCommIncentive)*'Ground Base'!D139)*(1+GroundFuelSurcharge),2)))*(1+FedEx_Markup),2)</f>
        <v>65.98</v>
      </c>
      <c r="E144" s="275">
        <f>ROUND((IF('Ground Base'!E$154&gt;ROUND(((1-GroundCommDiscount31Up-GroundCommIncentive)*'Ground Base'!E139),2),ROUND('Ground Base'!E$154*(1+GroundFuelSurcharge),2),ROUND(((1-GroundCommDiscount31Up-GroundCommIncentive)*'Ground Base'!E139)*(1+GroundFuelSurcharge),2)))*(1+FedEx_Markup),2)</f>
        <v>66.61</v>
      </c>
      <c r="F144" s="275">
        <f>ROUND((IF('Ground Base'!F$154&gt;ROUND(((1-GroundCommDiscount31Up-GroundCommIncentive)*'Ground Base'!F139),2),ROUND('Ground Base'!F$154*(1+GroundFuelSurcharge),2),ROUND(((1-GroundCommDiscount31Up-GroundCommIncentive)*'Ground Base'!F139)*(1+GroundFuelSurcharge),2)))*(1+FedEx_Markup),2)</f>
        <v>74.21</v>
      </c>
      <c r="G144" s="275">
        <f>ROUND((IF('Ground Base'!G$154&gt;ROUND(((1-GroundCommDiscount31Up-GroundCommIncentive)*'Ground Base'!G139),2),ROUND('Ground Base'!G$154*(1+GroundFuelSurcharge),2),ROUND(((1-GroundCommDiscount31Up-GroundCommIncentive)*'Ground Base'!G139)*(1+GroundFuelSurcharge),2)))*(1+FedEx_Markup),2)</f>
        <v>81.73</v>
      </c>
      <c r="H144" s="275">
        <f>ROUND((IF('Ground Base'!H$154&gt;ROUND(((1-GroundCommDiscount31Up-GroundCommIncentive)*'Ground Base'!H139),2),ROUND('Ground Base'!H$154*(1+GroundFuelSurcharge),2),ROUND(((1-GroundCommDiscount31Up-GroundCommIncentive)*'Ground Base'!H139)*(1+GroundFuelSurcharge),2)))*(1+FedEx_Markup),2)</f>
        <v>91</v>
      </c>
      <c r="I144" s="275">
        <f>ROUND((IF('Ground Base'!I$154&gt;ROUND(((1-GroundAKHIDiscount)*'Ground Base'!I139),2),ROUND('Ground Base'!I$154*(1+GroundFuelSurcharge),2),ROUND(((1-GroundAKHIDiscount)*'Ground Base'!I139)*(1+GroundFuelSurcharge),2)))*(1+FedEx_Markup),2)</f>
        <v>573.37</v>
      </c>
      <c r="J144" s="275">
        <f>ROUND((IF('Ground Base'!J$154&gt;ROUND(((1-GroundAKHIDiscount)*'Ground Base'!J139),2),ROUND('Ground Base'!J$154*(1+GroundFuelSurcharge),2),ROUND(((1-GroundAKHIDiscount)*'Ground Base'!J139)*(1+GroundFuelSurcharge),2)))*(1+FedEx_Markup),2)</f>
        <v>573.37</v>
      </c>
      <c r="K144" s="275">
        <f>ROUND((IF('Ground Base'!K$154&gt;ROUND(((1-GroundZone51Discount)*'Ground Base'!K139),2),ROUND('Ground Base'!K$154*(1+GroundFuelSurcharge),2),ROUND(((1-GroundZone51Discount)*'Ground Base'!K139)*(1+GroundFuelSurcharge),2)))*(1+FedEx_Markup),2)</f>
        <v>117.55</v>
      </c>
      <c r="L144" s="275">
        <f>ROUND((IF('Ground Base'!L$154&gt;ROUND(((1-GroundZone54Discount)*'Ground Base'!L139),2),ROUND('Ground Base'!L$154*(1+GroundFuelSurcharge),2),ROUND(((1-GroundZone54Discount)*'Ground Base'!L139)*(1+GroundFuelSurcharge),2)))*(1+FedEx_Markup),2)</f>
        <v>166.9</v>
      </c>
    </row>
    <row r="145" ht="12.75" customHeight="1">
      <c r="A145" s="274">
        <v>138.0</v>
      </c>
      <c r="B145" s="275">
        <f>ROUND((IF('Ground Base'!B$154&gt;ROUND(((1-GroundCommDiscount31Up-GroundCommIncentive)*'Ground Base'!B140),2),ROUND('Ground Base'!B$154*(1+GroundFuelSurcharge),2),ROUND(((1-GroundCommDiscount31Up-GroundCommIncentive)*'Ground Base'!B140)*(1+GroundFuelSurcharge),2)))*(1+FedEx_Markup),2)</f>
        <v>60.29</v>
      </c>
      <c r="C145" s="275">
        <f>ROUND((IF('Ground Base'!C$154&gt;ROUND(((1-GroundCommDiscount31Up-GroundCommIncentive)*'Ground Base'!C140),2),ROUND('Ground Base'!C$154*(1+GroundFuelSurcharge),2),ROUND(((1-GroundCommDiscount31Up-GroundCommIncentive)*'Ground Base'!C140)*(1+GroundFuelSurcharge),2)))*(1+FedEx_Markup),2)</f>
        <v>61.2</v>
      </c>
      <c r="D145" s="275">
        <f>ROUND((IF('Ground Base'!D$154&gt;ROUND(((1-GroundCommDiscount31Up-GroundCommIncentive)*'Ground Base'!D140),2),ROUND('Ground Base'!D$154*(1+GroundFuelSurcharge),2),ROUND(((1-GroundCommDiscount31Up-GroundCommIncentive)*'Ground Base'!D140)*(1+GroundFuelSurcharge),2)))*(1+FedEx_Markup),2)</f>
        <v>66.3</v>
      </c>
      <c r="E145" s="275">
        <f>ROUND((IF('Ground Base'!E$154&gt;ROUND(((1-GroundCommDiscount31Up-GroundCommIncentive)*'Ground Base'!E140),2),ROUND('Ground Base'!E$154*(1+GroundFuelSurcharge),2),ROUND(((1-GroundCommDiscount31Up-GroundCommIncentive)*'Ground Base'!E140)*(1+GroundFuelSurcharge),2)))*(1+FedEx_Markup),2)</f>
        <v>67.16</v>
      </c>
      <c r="F145" s="275">
        <f>ROUND((IF('Ground Base'!F$154&gt;ROUND(((1-GroundCommDiscount31Up-GroundCommIncentive)*'Ground Base'!F140),2),ROUND('Ground Base'!F$154*(1+GroundFuelSurcharge),2),ROUND(((1-GroundCommDiscount31Up-GroundCommIncentive)*'Ground Base'!F140)*(1+GroundFuelSurcharge),2)))*(1+FedEx_Markup),2)</f>
        <v>75.73</v>
      </c>
      <c r="G145" s="275">
        <f>ROUND((IF('Ground Base'!G$154&gt;ROUND(((1-GroundCommDiscount31Up-GroundCommIncentive)*'Ground Base'!G140),2),ROUND('Ground Base'!G$154*(1+GroundFuelSurcharge),2),ROUND(((1-GroundCommDiscount31Up-GroundCommIncentive)*'Ground Base'!G140)*(1+GroundFuelSurcharge),2)))*(1+FedEx_Markup),2)</f>
        <v>82.42</v>
      </c>
      <c r="H145" s="275">
        <f>ROUND((IF('Ground Base'!H$154&gt;ROUND(((1-GroundCommDiscount31Up-GroundCommIncentive)*'Ground Base'!H140),2),ROUND('Ground Base'!H$154*(1+GroundFuelSurcharge),2),ROUND(((1-GroundCommDiscount31Up-GroundCommIncentive)*'Ground Base'!H140)*(1+GroundFuelSurcharge),2)))*(1+FedEx_Markup),2)</f>
        <v>93.5</v>
      </c>
      <c r="I145" s="275">
        <f>ROUND((IF('Ground Base'!I$154&gt;ROUND(((1-GroundAKHIDiscount)*'Ground Base'!I140),2),ROUND('Ground Base'!I$154*(1+GroundFuelSurcharge),2),ROUND(((1-GroundAKHIDiscount)*'Ground Base'!I140)*(1+GroundFuelSurcharge),2)))*(1+FedEx_Markup),2)</f>
        <v>576.43</v>
      </c>
      <c r="J145" s="275">
        <f>ROUND((IF('Ground Base'!J$154&gt;ROUND(((1-GroundAKHIDiscount)*'Ground Base'!J140),2),ROUND('Ground Base'!J$154*(1+GroundFuelSurcharge),2),ROUND(((1-GroundAKHIDiscount)*'Ground Base'!J140)*(1+GroundFuelSurcharge),2)))*(1+FedEx_Markup),2)</f>
        <v>576.43</v>
      </c>
      <c r="K145" s="275">
        <f>ROUND((IF('Ground Base'!K$154&gt;ROUND(((1-GroundZone51Discount)*'Ground Base'!K140),2),ROUND('Ground Base'!K$154*(1+GroundFuelSurcharge),2),ROUND(((1-GroundZone51Discount)*'Ground Base'!K140)*(1+GroundFuelSurcharge),2)))*(1+FedEx_Markup),2)</f>
        <v>117.56</v>
      </c>
      <c r="L145" s="275">
        <f>ROUND((IF('Ground Base'!L$154&gt;ROUND(((1-GroundZone54Discount)*'Ground Base'!L140),2),ROUND('Ground Base'!L$154*(1+GroundFuelSurcharge),2),ROUND(((1-GroundZone54Discount)*'Ground Base'!L140)*(1+GroundFuelSurcharge),2)))*(1+FedEx_Markup),2)</f>
        <v>166.9</v>
      </c>
    </row>
    <row r="146" ht="12.75" customHeight="1">
      <c r="A146" s="274">
        <v>139.0</v>
      </c>
      <c r="B146" s="275">
        <f>ROUND((IF('Ground Base'!B$154&gt;ROUND(((1-GroundCommDiscount31Up-GroundCommIncentive)*'Ground Base'!B141),2),ROUND('Ground Base'!B$154*(1+GroundFuelSurcharge),2),ROUND(((1-GroundCommDiscount31Up-GroundCommIncentive)*'Ground Base'!B141)*(1+GroundFuelSurcharge),2)))*(1+FedEx_Markup),2)</f>
        <v>61.41</v>
      </c>
      <c r="C146" s="275">
        <f>ROUND((IF('Ground Base'!C$154&gt;ROUND(((1-GroundCommDiscount31Up-GroundCommIncentive)*'Ground Base'!C141),2),ROUND('Ground Base'!C$154*(1+GroundFuelSurcharge),2),ROUND(((1-GroundCommDiscount31Up-GroundCommIncentive)*'Ground Base'!C141)*(1+GroundFuelSurcharge),2)))*(1+FedEx_Markup),2)</f>
        <v>61.42</v>
      </c>
      <c r="D146" s="275">
        <f>ROUND((IF('Ground Base'!D$154&gt;ROUND(((1-GroundCommDiscount31Up-GroundCommIncentive)*'Ground Base'!D141),2),ROUND('Ground Base'!D$154*(1+GroundFuelSurcharge),2),ROUND(((1-GroundCommDiscount31Up-GroundCommIncentive)*'Ground Base'!D141)*(1+GroundFuelSurcharge),2)))*(1+FedEx_Markup),2)</f>
        <v>66.32</v>
      </c>
      <c r="E146" s="275">
        <f>ROUND((IF('Ground Base'!E$154&gt;ROUND(((1-GroundCommDiscount31Up-GroundCommIncentive)*'Ground Base'!E141),2),ROUND('Ground Base'!E$154*(1+GroundFuelSurcharge),2),ROUND(((1-GroundCommDiscount31Up-GroundCommIncentive)*'Ground Base'!E141)*(1+GroundFuelSurcharge),2)))*(1+FedEx_Markup),2)</f>
        <v>67.17</v>
      </c>
      <c r="F146" s="275">
        <f>ROUND((IF('Ground Base'!F$154&gt;ROUND(((1-GroundCommDiscount31Up-GroundCommIncentive)*'Ground Base'!F141),2),ROUND('Ground Base'!F$154*(1+GroundFuelSurcharge),2),ROUND(((1-GroundCommDiscount31Up-GroundCommIncentive)*'Ground Base'!F141)*(1+GroundFuelSurcharge),2)))*(1+FedEx_Markup),2)</f>
        <v>75.74</v>
      </c>
      <c r="G146" s="275">
        <f>ROUND((IF('Ground Base'!G$154&gt;ROUND(((1-GroundCommDiscount31Up-GroundCommIncentive)*'Ground Base'!G141),2),ROUND('Ground Base'!G$154*(1+GroundFuelSurcharge),2),ROUND(((1-GroundCommDiscount31Up-GroundCommIncentive)*'Ground Base'!G141)*(1+GroundFuelSurcharge),2)))*(1+FedEx_Markup),2)</f>
        <v>83.95</v>
      </c>
      <c r="H146" s="275">
        <f>ROUND((IF('Ground Base'!H$154&gt;ROUND(((1-GroundCommDiscount31Up-GroundCommIncentive)*'Ground Base'!H141),2),ROUND('Ground Base'!H$154*(1+GroundFuelSurcharge),2),ROUND(((1-GroundCommDiscount31Up-GroundCommIncentive)*'Ground Base'!H141)*(1+GroundFuelSurcharge),2)))*(1+FedEx_Markup),2)</f>
        <v>93.52</v>
      </c>
      <c r="I146" s="275">
        <f>ROUND((IF('Ground Base'!I$154&gt;ROUND(((1-GroundAKHIDiscount)*'Ground Base'!I141),2),ROUND('Ground Base'!I$154*(1+GroundFuelSurcharge),2),ROUND(((1-GroundAKHIDiscount)*'Ground Base'!I141)*(1+GroundFuelSurcharge),2)))*(1+FedEx_Markup),2)</f>
        <v>576.43</v>
      </c>
      <c r="J146" s="275">
        <f>ROUND((IF('Ground Base'!J$154&gt;ROUND(((1-GroundAKHIDiscount)*'Ground Base'!J141),2),ROUND('Ground Base'!J$154*(1+GroundFuelSurcharge),2),ROUND(((1-GroundAKHIDiscount)*'Ground Base'!J141)*(1+GroundFuelSurcharge),2)))*(1+FedEx_Markup),2)</f>
        <v>576.43</v>
      </c>
      <c r="K146" s="275">
        <f>ROUND((IF('Ground Base'!K$154&gt;ROUND(((1-GroundZone51Discount)*'Ground Base'!K141),2),ROUND('Ground Base'!K$154*(1+GroundFuelSurcharge),2),ROUND(((1-GroundZone51Discount)*'Ground Base'!K141)*(1+GroundFuelSurcharge),2)))*(1+FedEx_Markup),2)</f>
        <v>117.56</v>
      </c>
      <c r="L146" s="275">
        <f>ROUND((IF('Ground Base'!L$154&gt;ROUND(((1-GroundZone54Discount)*'Ground Base'!L141),2),ROUND('Ground Base'!L$154*(1+GroundFuelSurcharge),2),ROUND(((1-GroundZone54Discount)*'Ground Base'!L141)*(1+GroundFuelSurcharge),2)))*(1+FedEx_Markup),2)</f>
        <v>166.91</v>
      </c>
    </row>
    <row r="147" ht="12.75" customHeight="1">
      <c r="A147" s="274">
        <v>140.0</v>
      </c>
      <c r="B147" s="275">
        <f>ROUND((IF('Ground Base'!B$154&gt;ROUND(((1-GroundCommDiscount31Up-GroundCommIncentive)*'Ground Base'!B142),2),ROUND('Ground Base'!B$154*(1+GroundFuelSurcharge),2),ROUND(((1-GroundCommDiscount31Up-GroundCommIncentive)*'Ground Base'!B142)*(1+GroundFuelSurcharge),2)))*(1+FedEx_Markup),2)</f>
        <v>61.93</v>
      </c>
      <c r="C147" s="275">
        <f>ROUND((IF('Ground Base'!C$154&gt;ROUND(((1-GroundCommDiscount31Up-GroundCommIncentive)*'Ground Base'!C142),2),ROUND('Ground Base'!C$154*(1+GroundFuelSurcharge),2),ROUND(((1-GroundCommDiscount31Up-GroundCommIncentive)*'Ground Base'!C142)*(1+GroundFuelSurcharge),2)))*(1+FedEx_Markup),2)</f>
        <v>62.4</v>
      </c>
      <c r="D147" s="275">
        <f>ROUND((IF('Ground Base'!D$154&gt;ROUND(((1-GroundCommDiscount31Up-GroundCommIncentive)*'Ground Base'!D142),2),ROUND('Ground Base'!D$154*(1+GroundFuelSurcharge),2),ROUND(((1-GroundCommDiscount31Up-GroundCommIncentive)*'Ground Base'!D142)*(1+GroundFuelSurcharge),2)))*(1+FedEx_Markup),2)</f>
        <v>66.96</v>
      </c>
      <c r="E147" s="275">
        <f>ROUND((IF('Ground Base'!E$154&gt;ROUND(((1-GroundCommDiscount31Up-GroundCommIncentive)*'Ground Base'!E142),2),ROUND('Ground Base'!E$154*(1+GroundFuelSurcharge),2),ROUND(((1-GroundCommDiscount31Up-GroundCommIncentive)*'Ground Base'!E142)*(1+GroundFuelSurcharge),2)))*(1+FedEx_Markup),2)</f>
        <v>68.22</v>
      </c>
      <c r="F147" s="275">
        <f>ROUND((IF('Ground Base'!F$154&gt;ROUND(((1-GroundCommDiscount31Up-GroundCommIncentive)*'Ground Base'!F142),2),ROUND('Ground Base'!F$154*(1+GroundFuelSurcharge),2),ROUND(((1-GroundCommDiscount31Up-GroundCommIncentive)*'Ground Base'!F142)*(1+GroundFuelSurcharge),2)))*(1+FedEx_Markup),2)</f>
        <v>76.56</v>
      </c>
      <c r="G147" s="275">
        <f>ROUND((IF('Ground Base'!G$154&gt;ROUND(((1-GroundCommDiscount31Up-GroundCommIncentive)*'Ground Base'!G142),2),ROUND('Ground Base'!G$154*(1+GroundFuelSurcharge),2),ROUND(((1-GroundCommDiscount31Up-GroundCommIncentive)*'Ground Base'!G142)*(1+GroundFuelSurcharge),2)))*(1+FedEx_Markup),2)</f>
        <v>83.96</v>
      </c>
      <c r="H147" s="275">
        <f>ROUND((IF('Ground Base'!H$154&gt;ROUND(((1-GroundCommDiscount31Up-GroundCommIncentive)*'Ground Base'!H142),2),ROUND('Ground Base'!H$154*(1+GroundFuelSurcharge),2),ROUND(((1-GroundCommDiscount31Up-GroundCommIncentive)*'Ground Base'!H142)*(1+GroundFuelSurcharge),2)))*(1+FedEx_Markup),2)</f>
        <v>93.52</v>
      </c>
      <c r="I147" s="275">
        <f>ROUND((IF('Ground Base'!I$154&gt;ROUND(((1-GroundAKHIDiscount)*'Ground Base'!I142),2),ROUND('Ground Base'!I$154*(1+GroundFuelSurcharge),2),ROUND(((1-GroundAKHIDiscount)*'Ground Base'!I142)*(1+GroundFuelSurcharge),2)))*(1+FedEx_Markup),2)</f>
        <v>576.44</v>
      </c>
      <c r="J147" s="275">
        <f>ROUND((IF('Ground Base'!J$154&gt;ROUND(((1-GroundAKHIDiscount)*'Ground Base'!J142),2),ROUND('Ground Base'!J$154*(1+GroundFuelSurcharge),2),ROUND(((1-GroundAKHIDiscount)*'Ground Base'!J142)*(1+GroundFuelSurcharge),2)))*(1+FedEx_Markup),2)</f>
        <v>576.44</v>
      </c>
      <c r="K147" s="275">
        <f>ROUND((IF('Ground Base'!K$154&gt;ROUND(((1-GroundZone51Discount)*'Ground Base'!K142),2),ROUND('Ground Base'!K$154*(1+GroundFuelSurcharge),2),ROUND(((1-GroundZone51Discount)*'Ground Base'!K142)*(1+GroundFuelSurcharge),2)))*(1+FedEx_Markup),2)</f>
        <v>117.58</v>
      </c>
      <c r="L147" s="275">
        <f>ROUND((IF('Ground Base'!L$154&gt;ROUND(((1-GroundZone54Discount)*'Ground Base'!L142),2),ROUND('Ground Base'!L$154*(1+GroundFuelSurcharge),2),ROUND(((1-GroundZone54Discount)*'Ground Base'!L142)*(1+GroundFuelSurcharge),2)))*(1+FedEx_Markup),2)</f>
        <v>166.92</v>
      </c>
    </row>
    <row r="148" ht="12.75" customHeight="1">
      <c r="A148" s="274">
        <v>141.0</v>
      </c>
      <c r="B148" s="275">
        <f>ROUND((IF('Ground Base'!B$154&gt;ROUND(((1-GroundCommDiscount31Up-GroundCommIncentive)*'Ground Base'!B143),2),ROUND('Ground Base'!B$154*(1+GroundFuelSurcharge),2),ROUND(((1-GroundCommDiscount31Up-GroundCommIncentive)*'Ground Base'!B143)*(1+GroundFuelSurcharge),2)))*(1+FedEx_Markup),2)</f>
        <v>61.93</v>
      </c>
      <c r="C148" s="275">
        <f>ROUND((IF('Ground Base'!C$154&gt;ROUND(((1-GroundCommDiscount31Up-GroundCommIncentive)*'Ground Base'!C143),2),ROUND('Ground Base'!C$154*(1+GroundFuelSurcharge),2),ROUND(((1-GroundCommDiscount31Up-GroundCommIncentive)*'Ground Base'!C143)*(1+GroundFuelSurcharge),2)))*(1+FedEx_Markup),2)</f>
        <v>62.41</v>
      </c>
      <c r="D148" s="275">
        <f>ROUND((IF('Ground Base'!D$154&gt;ROUND(((1-GroundCommDiscount31Up-GroundCommIncentive)*'Ground Base'!D143),2),ROUND('Ground Base'!D$154*(1+GroundFuelSurcharge),2),ROUND(((1-GroundCommDiscount31Up-GroundCommIncentive)*'Ground Base'!D143)*(1+GroundFuelSurcharge),2)))*(1+FedEx_Markup),2)</f>
        <v>67.55</v>
      </c>
      <c r="E148" s="275">
        <f>ROUND((IF('Ground Base'!E$154&gt;ROUND(((1-GroundCommDiscount31Up-GroundCommIncentive)*'Ground Base'!E143),2),ROUND('Ground Base'!E$154*(1+GroundFuelSurcharge),2),ROUND(((1-GroundCommDiscount31Up-GroundCommIncentive)*'Ground Base'!E143)*(1+GroundFuelSurcharge),2)))*(1+FedEx_Markup),2)</f>
        <v>68.23</v>
      </c>
      <c r="F148" s="275">
        <f>ROUND((IF('Ground Base'!F$154&gt;ROUND(((1-GroundCommDiscount31Up-GroundCommIncentive)*'Ground Base'!F143),2),ROUND('Ground Base'!F$154*(1+GroundFuelSurcharge),2),ROUND(((1-GroundCommDiscount31Up-GroundCommIncentive)*'Ground Base'!F143)*(1+GroundFuelSurcharge),2)))*(1+FedEx_Markup),2)</f>
        <v>76.56</v>
      </c>
      <c r="G148" s="275">
        <f>ROUND((IF('Ground Base'!G$154&gt;ROUND(((1-GroundCommDiscount31Up-GroundCommIncentive)*'Ground Base'!G143),2),ROUND('Ground Base'!G$154*(1+GroundFuelSurcharge),2),ROUND(((1-GroundCommDiscount31Up-GroundCommIncentive)*'Ground Base'!G143)*(1+GroundFuelSurcharge),2)))*(1+FedEx_Markup),2)</f>
        <v>83.96</v>
      </c>
      <c r="H148" s="275">
        <f>ROUND((IF('Ground Base'!H$154&gt;ROUND(((1-GroundCommDiscount31Up-GroundCommIncentive)*'Ground Base'!H143),2),ROUND('Ground Base'!H$154*(1+GroundFuelSurcharge),2),ROUND(((1-GroundCommDiscount31Up-GroundCommIncentive)*'Ground Base'!H143)*(1+GroundFuelSurcharge),2)))*(1+FedEx_Markup),2)</f>
        <v>94.4</v>
      </c>
      <c r="I148" s="275">
        <f>ROUND((IF('Ground Base'!I$154&gt;ROUND(((1-GroundAKHIDiscount)*'Ground Base'!I143),2),ROUND('Ground Base'!I$154*(1+GroundFuelSurcharge),2),ROUND(((1-GroundAKHIDiscount)*'Ground Base'!I143)*(1+GroundFuelSurcharge),2)))*(1+FedEx_Markup),2)</f>
        <v>577.92</v>
      </c>
      <c r="J148" s="275">
        <f>ROUND((IF('Ground Base'!J$154&gt;ROUND(((1-GroundAKHIDiscount)*'Ground Base'!J143),2),ROUND('Ground Base'!J$154*(1+GroundFuelSurcharge),2),ROUND(((1-GroundAKHIDiscount)*'Ground Base'!J143)*(1+GroundFuelSurcharge),2)))*(1+FedEx_Markup),2)</f>
        <v>577.92</v>
      </c>
      <c r="K148" s="275">
        <f>ROUND((IF('Ground Base'!K$154&gt;ROUND(((1-GroundZone51Discount)*'Ground Base'!K143),2),ROUND('Ground Base'!K$154*(1+GroundFuelSurcharge),2),ROUND(((1-GroundZone51Discount)*'Ground Base'!K143)*(1+GroundFuelSurcharge),2)))*(1+FedEx_Markup),2)</f>
        <v>119.77</v>
      </c>
      <c r="L148" s="275">
        <f>ROUND((IF('Ground Base'!L$154&gt;ROUND(((1-GroundZone54Discount)*'Ground Base'!L143),2),ROUND('Ground Base'!L$154*(1+GroundFuelSurcharge),2),ROUND(((1-GroundZone54Discount)*'Ground Base'!L143)*(1+GroundFuelSurcharge),2)))*(1+FedEx_Markup),2)</f>
        <v>172.51</v>
      </c>
    </row>
    <row r="149" ht="12.75" customHeight="1">
      <c r="A149" s="274">
        <v>142.0</v>
      </c>
      <c r="B149" s="275">
        <f>ROUND((IF('Ground Base'!B$154&gt;ROUND(((1-GroundCommDiscount31Up-GroundCommIncentive)*'Ground Base'!B144),2),ROUND('Ground Base'!B$154*(1+GroundFuelSurcharge),2),ROUND(((1-GroundCommDiscount31Up-GroundCommIncentive)*'Ground Base'!B144)*(1+GroundFuelSurcharge),2)))*(1+FedEx_Markup),2)</f>
        <v>62.72</v>
      </c>
      <c r="C149" s="275">
        <f>ROUND((IF('Ground Base'!C$154&gt;ROUND(((1-GroundCommDiscount31Up-GroundCommIncentive)*'Ground Base'!C144),2),ROUND('Ground Base'!C$154*(1+GroundFuelSurcharge),2),ROUND(((1-GroundCommDiscount31Up-GroundCommIncentive)*'Ground Base'!C144)*(1+GroundFuelSurcharge),2)))*(1+FedEx_Markup),2)</f>
        <v>62.73</v>
      </c>
      <c r="D149" s="275">
        <f>ROUND((IF('Ground Base'!D$154&gt;ROUND(((1-GroundCommDiscount31Up-GroundCommIncentive)*'Ground Base'!D144),2),ROUND('Ground Base'!D$154*(1+GroundFuelSurcharge),2),ROUND(((1-GroundCommDiscount31Up-GroundCommIncentive)*'Ground Base'!D144)*(1+GroundFuelSurcharge),2)))*(1+FedEx_Markup),2)</f>
        <v>68.16</v>
      </c>
      <c r="E149" s="275">
        <f>ROUND((IF('Ground Base'!E$154&gt;ROUND(((1-GroundCommDiscount31Up-GroundCommIncentive)*'Ground Base'!E144),2),ROUND('Ground Base'!E$154*(1+GroundFuelSurcharge),2),ROUND(((1-GroundCommDiscount31Up-GroundCommIncentive)*'Ground Base'!E144)*(1+GroundFuelSurcharge),2)))*(1+FedEx_Markup),2)</f>
        <v>69.32</v>
      </c>
      <c r="F149" s="275">
        <f>ROUND((IF('Ground Base'!F$154&gt;ROUND(((1-GroundCommDiscount31Up-GroundCommIncentive)*'Ground Base'!F144),2),ROUND('Ground Base'!F$154*(1+GroundFuelSurcharge),2),ROUND(((1-GroundCommDiscount31Up-GroundCommIncentive)*'Ground Base'!F144)*(1+GroundFuelSurcharge),2)))*(1+FedEx_Markup),2)</f>
        <v>77.69</v>
      </c>
      <c r="G149" s="275">
        <f>ROUND((IF('Ground Base'!G$154&gt;ROUND(((1-GroundCommDiscount31Up-GroundCommIncentive)*'Ground Base'!G144),2),ROUND('Ground Base'!G$154*(1+GroundFuelSurcharge),2),ROUND(((1-GroundCommDiscount31Up-GroundCommIncentive)*'Ground Base'!G144)*(1+GroundFuelSurcharge),2)))*(1+FedEx_Markup),2)</f>
        <v>84.34</v>
      </c>
      <c r="H149" s="275">
        <f>ROUND((IF('Ground Base'!H$154&gt;ROUND(((1-GroundCommDiscount31Up-GroundCommIncentive)*'Ground Base'!H144),2),ROUND('Ground Base'!H$154*(1+GroundFuelSurcharge),2),ROUND(((1-GroundCommDiscount31Up-GroundCommIncentive)*'Ground Base'!H144)*(1+GroundFuelSurcharge),2)))*(1+FedEx_Markup),2)</f>
        <v>94.42</v>
      </c>
      <c r="I149" s="275">
        <f>ROUND((IF('Ground Base'!I$154&gt;ROUND(((1-GroundAKHIDiscount)*'Ground Base'!I144),2),ROUND('Ground Base'!I$154*(1+GroundFuelSurcharge),2),ROUND(((1-GroundAKHIDiscount)*'Ground Base'!I144)*(1+GroundFuelSurcharge),2)))*(1+FedEx_Markup),2)</f>
        <v>587.56</v>
      </c>
      <c r="J149" s="275">
        <f>ROUND((IF('Ground Base'!J$154&gt;ROUND(((1-GroundAKHIDiscount)*'Ground Base'!J144),2),ROUND('Ground Base'!J$154*(1+GroundFuelSurcharge),2),ROUND(((1-GroundAKHIDiscount)*'Ground Base'!J144)*(1+GroundFuelSurcharge),2)))*(1+FedEx_Markup),2)</f>
        <v>587.56</v>
      </c>
      <c r="K149" s="275">
        <f>ROUND((IF('Ground Base'!K$154&gt;ROUND(((1-GroundZone51Discount)*'Ground Base'!K144),2),ROUND('Ground Base'!K$154*(1+GroundFuelSurcharge),2),ROUND(((1-GroundZone51Discount)*'Ground Base'!K144)*(1+GroundFuelSurcharge),2)))*(1+FedEx_Markup),2)</f>
        <v>119.78</v>
      </c>
      <c r="L149" s="275">
        <f>ROUND((IF('Ground Base'!L$154&gt;ROUND(((1-GroundZone54Discount)*'Ground Base'!L144),2),ROUND('Ground Base'!L$154*(1+GroundFuelSurcharge),2),ROUND(((1-GroundZone54Discount)*'Ground Base'!L144)*(1+GroundFuelSurcharge),2)))*(1+FedEx_Markup),2)</f>
        <v>172.52</v>
      </c>
    </row>
    <row r="150" ht="12.75" customHeight="1">
      <c r="A150" s="274">
        <v>143.0</v>
      </c>
      <c r="B150" s="275">
        <f>ROUND((IF('Ground Base'!B$154&gt;ROUND(((1-GroundCommDiscount31Up-GroundCommIncentive)*'Ground Base'!B145),2),ROUND('Ground Base'!B$154*(1+GroundFuelSurcharge),2),ROUND(((1-GroundCommDiscount31Up-GroundCommIncentive)*'Ground Base'!B145)*(1+GroundFuelSurcharge),2)))*(1+FedEx_Markup),2)</f>
        <v>62.73</v>
      </c>
      <c r="C150" s="275">
        <f>ROUND((IF('Ground Base'!C$154&gt;ROUND(((1-GroundCommDiscount31Up-GroundCommIncentive)*'Ground Base'!C145),2),ROUND('Ground Base'!C$154*(1+GroundFuelSurcharge),2),ROUND(((1-GroundCommDiscount31Up-GroundCommIncentive)*'Ground Base'!C145)*(1+GroundFuelSurcharge),2)))*(1+FedEx_Markup),2)</f>
        <v>62.73</v>
      </c>
      <c r="D150" s="275">
        <f>ROUND((IF('Ground Base'!D$154&gt;ROUND(((1-GroundCommDiscount31Up-GroundCommIncentive)*'Ground Base'!D145),2),ROUND('Ground Base'!D$154*(1+GroundFuelSurcharge),2),ROUND(((1-GroundCommDiscount31Up-GroundCommIncentive)*'Ground Base'!D145)*(1+GroundFuelSurcharge),2)))*(1+FedEx_Markup),2)</f>
        <v>68.16</v>
      </c>
      <c r="E150" s="275">
        <f>ROUND((IF('Ground Base'!E$154&gt;ROUND(((1-GroundCommDiscount31Up-GroundCommIncentive)*'Ground Base'!E145),2),ROUND('Ground Base'!E$154*(1+GroundFuelSurcharge),2),ROUND(((1-GroundCommDiscount31Up-GroundCommIncentive)*'Ground Base'!E145)*(1+GroundFuelSurcharge),2)))*(1+FedEx_Markup),2)</f>
        <v>69.33</v>
      </c>
      <c r="F150" s="275">
        <f>ROUND((IF('Ground Base'!F$154&gt;ROUND(((1-GroundCommDiscount31Up-GroundCommIncentive)*'Ground Base'!F145),2),ROUND('Ground Base'!F$154*(1+GroundFuelSurcharge),2),ROUND(((1-GroundCommDiscount31Up-GroundCommIncentive)*'Ground Base'!F145)*(1+GroundFuelSurcharge),2)))*(1+FedEx_Markup),2)</f>
        <v>77.71</v>
      </c>
      <c r="G150" s="275">
        <f>ROUND((IF('Ground Base'!G$154&gt;ROUND(((1-GroundCommDiscount31Up-GroundCommIncentive)*'Ground Base'!G145),2),ROUND('Ground Base'!G$154*(1+GroundFuelSurcharge),2),ROUND(((1-GroundCommDiscount31Up-GroundCommIncentive)*'Ground Base'!G145)*(1+GroundFuelSurcharge),2)))*(1+FedEx_Markup),2)</f>
        <v>84.35</v>
      </c>
      <c r="H150" s="275">
        <f>ROUND((IF('Ground Base'!H$154&gt;ROUND(((1-GroundCommDiscount31Up-GroundCommIncentive)*'Ground Base'!H145),2),ROUND('Ground Base'!H$154*(1+GroundFuelSurcharge),2),ROUND(((1-GroundCommDiscount31Up-GroundCommIncentive)*'Ground Base'!H145)*(1+GroundFuelSurcharge),2)))*(1+FedEx_Markup),2)</f>
        <v>94.42</v>
      </c>
      <c r="I150" s="275">
        <f>ROUND((IF('Ground Base'!I$154&gt;ROUND(((1-GroundAKHIDiscount)*'Ground Base'!I145),2),ROUND('Ground Base'!I$154*(1+GroundFuelSurcharge),2),ROUND(((1-GroundAKHIDiscount)*'Ground Base'!I145)*(1+GroundFuelSurcharge),2)))*(1+FedEx_Markup),2)</f>
        <v>591.54</v>
      </c>
      <c r="J150" s="275">
        <f>ROUND((IF('Ground Base'!J$154&gt;ROUND(((1-GroundAKHIDiscount)*'Ground Base'!J145),2),ROUND('Ground Base'!J$154*(1+GroundFuelSurcharge),2),ROUND(((1-GroundAKHIDiscount)*'Ground Base'!J145)*(1+GroundFuelSurcharge),2)))*(1+FedEx_Markup),2)</f>
        <v>591.54</v>
      </c>
      <c r="K150" s="275">
        <f>ROUND((IF('Ground Base'!K$154&gt;ROUND(((1-GroundZone51Discount)*'Ground Base'!K145),2),ROUND('Ground Base'!K$154*(1+GroundFuelSurcharge),2),ROUND(((1-GroundZone51Discount)*'Ground Base'!K145)*(1+GroundFuelSurcharge),2)))*(1+FedEx_Markup),2)</f>
        <v>119.8</v>
      </c>
      <c r="L150" s="275">
        <f>ROUND((IF('Ground Base'!L$154&gt;ROUND(((1-GroundZone54Discount)*'Ground Base'!L145),2),ROUND('Ground Base'!L$154*(1+GroundFuelSurcharge),2),ROUND(((1-GroundZone54Discount)*'Ground Base'!L145)*(1+GroundFuelSurcharge),2)))*(1+FedEx_Markup),2)</f>
        <v>172.53</v>
      </c>
    </row>
    <row r="151" ht="12.75" customHeight="1">
      <c r="A151" s="274">
        <v>144.0</v>
      </c>
      <c r="B151" s="275">
        <f>ROUND((IF('Ground Base'!B$154&gt;ROUND(((1-GroundCommDiscount31Up-GroundCommIncentive)*'Ground Base'!B146),2),ROUND('Ground Base'!B$154*(1+GroundFuelSurcharge),2),ROUND(((1-GroundCommDiscount31Up-GroundCommIncentive)*'Ground Base'!B146)*(1+GroundFuelSurcharge),2)))*(1+FedEx_Markup),2)</f>
        <v>64.5</v>
      </c>
      <c r="C151" s="275">
        <f>ROUND((IF('Ground Base'!C$154&gt;ROUND(((1-GroundCommDiscount31Up-GroundCommIncentive)*'Ground Base'!C146),2),ROUND('Ground Base'!C$154*(1+GroundFuelSurcharge),2),ROUND(((1-GroundCommDiscount31Up-GroundCommIncentive)*'Ground Base'!C146)*(1+GroundFuelSurcharge),2)))*(1+FedEx_Markup),2)</f>
        <v>65.37</v>
      </c>
      <c r="D151" s="275">
        <f>ROUND((IF('Ground Base'!D$154&gt;ROUND(((1-GroundCommDiscount31Up-GroundCommIncentive)*'Ground Base'!D146),2),ROUND('Ground Base'!D$154*(1+GroundFuelSurcharge),2),ROUND(((1-GroundCommDiscount31Up-GroundCommIncentive)*'Ground Base'!D146)*(1+GroundFuelSurcharge),2)))*(1+FedEx_Markup),2)</f>
        <v>70.15</v>
      </c>
      <c r="E151" s="275">
        <f>ROUND((IF('Ground Base'!E$154&gt;ROUND(((1-GroundCommDiscount31Up-GroundCommIncentive)*'Ground Base'!E146),2),ROUND('Ground Base'!E$154*(1+GroundFuelSurcharge),2),ROUND(((1-GroundCommDiscount31Up-GroundCommIncentive)*'Ground Base'!E146)*(1+GroundFuelSurcharge),2)))*(1+FedEx_Markup),2)</f>
        <v>71.51</v>
      </c>
      <c r="F151" s="275">
        <f>ROUND((IF('Ground Base'!F$154&gt;ROUND(((1-GroundCommDiscount31Up-GroundCommIncentive)*'Ground Base'!F146),2),ROUND('Ground Base'!F$154*(1+GroundFuelSurcharge),2),ROUND(((1-GroundCommDiscount31Up-GroundCommIncentive)*'Ground Base'!F146)*(1+GroundFuelSurcharge),2)))*(1+FedEx_Markup),2)</f>
        <v>79.78</v>
      </c>
      <c r="G151" s="275">
        <f>ROUND((IF('Ground Base'!G$154&gt;ROUND(((1-GroundCommDiscount31Up-GroundCommIncentive)*'Ground Base'!G146),2),ROUND('Ground Base'!G$154*(1+GroundFuelSurcharge),2),ROUND(((1-GroundCommDiscount31Up-GroundCommIncentive)*'Ground Base'!G146)*(1+GroundFuelSurcharge),2)))*(1+FedEx_Markup),2)</f>
        <v>87.34</v>
      </c>
      <c r="H151" s="275">
        <f>ROUND((IF('Ground Base'!H$154&gt;ROUND(((1-GroundCommDiscount31Up-GroundCommIncentive)*'Ground Base'!H146),2),ROUND('Ground Base'!H$154*(1+GroundFuelSurcharge),2),ROUND(((1-GroundCommDiscount31Up-GroundCommIncentive)*'Ground Base'!H146)*(1+GroundFuelSurcharge),2)))*(1+FedEx_Markup),2)</f>
        <v>97.72</v>
      </c>
      <c r="I151" s="275">
        <f>ROUND((IF('Ground Base'!I$154&gt;ROUND(((1-GroundAKHIDiscount)*'Ground Base'!I146),2),ROUND('Ground Base'!I$154*(1+GroundFuelSurcharge),2),ROUND(((1-GroundAKHIDiscount)*'Ground Base'!I146)*(1+GroundFuelSurcharge),2)))*(1+FedEx_Markup),2)</f>
        <v>595.6</v>
      </c>
      <c r="J151" s="275">
        <f>ROUND((IF('Ground Base'!J$154&gt;ROUND(((1-GroundAKHIDiscount)*'Ground Base'!J146),2),ROUND('Ground Base'!J$154*(1+GroundFuelSurcharge),2),ROUND(((1-GroundAKHIDiscount)*'Ground Base'!J146)*(1+GroundFuelSurcharge),2)))*(1+FedEx_Markup),2)</f>
        <v>595.6</v>
      </c>
      <c r="K151" s="275">
        <f>ROUND((IF('Ground Base'!K$154&gt;ROUND(((1-GroundZone51Discount)*'Ground Base'!K146),2),ROUND('Ground Base'!K$154*(1+GroundFuelSurcharge),2),ROUND(((1-GroundZone51Discount)*'Ground Base'!K146)*(1+GroundFuelSurcharge),2)))*(1+FedEx_Markup),2)</f>
        <v>119.81</v>
      </c>
      <c r="L151" s="275">
        <f>ROUND((IF('Ground Base'!L$154&gt;ROUND(((1-GroundZone54Discount)*'Ground Base'!L146),2),ROUND('Ground Base'!L$154*(1+GroundFuelSurcharge),2),ROUND(((1-GroundZone54Discount)*'Ground Base'!L146)*(1+GroundFuelSurcharge),2)))*(1+FedEx_Markup),2)</f>
        <v>172.53</v>
      </c>
    </row>
    <row r="152" ht="12.75" customHeight="1">
      <c r="A152" s="274">
        <v>145.0</v>
      </c>
      <c r="B152" s="275">
        <f>ROUND((IF('Ground Base'!B$154&gt;ROUND(((1-GroundCommDiscount31Up-GroundCommIncentive)*'Ground Base'!B147),2),ROUND('Ground Base'!B$154*(1+GroundFuelSurcharge),2),ROUND(((1-GroundCommDiscount31Up-GroundCommIncentive)*'Ground Base'!B147)*(1+GroundFuelSurcharge),2)))*(1+FedEx_Markup),2)</f>
        <v>64.5</v>
      </c>
      <c r="C152" s="275">
        <f>ROUND((IF('Ground Base'!C$154&gt;ROUND(((1-GroundCommDiscount31Up-GroundCommIncentive)*'Ground Base'!C147),2),ROUND('Ground Base'!C$154*(1+GroundFuelSurcharge),2),ROUND(((1-GroundCommDiscount31Up-GroundCommIncentive)*'Ground Base'!C147)*(1+GroundFuelSurcharge),2)))*(1+FedEx_Markup),2)</f>
        <v>66.02</v>
      </c>
      <c r="D152" s="275">
        <f>ROUND((IF('Ground Base'!D$154&gt;ROUND(((1-GroundCommDiscount31Up-GroundCommIncentive)*'Ground Base'!D147),2),ROUND('Ground Base'!D$154*(1+GroundFuelSurcharge),2),ROUND(((1-GroundCommDiscount31Up-GroundCommIncentive)*'Ground Base'!D147)*(1+GroundFuelSurcharge),2)))*(1+FedEx_Markup),2)</f>
        <v>70.16</v>
      </c>
      <c r="E152" s="275">
        <f>ROUND((IF('Ground Base'!E$154&gt;ROUND(((1-GroundCommDiscount31Up-GroundCommIncentive)*'Ground Base'!E147),2),ROUND('Ground Base'!E$154*(1+GroundFuelSurcharge),2),ROUND(((1-GroundCommDiscount31Up-GroundCommIncentive)*'Ground Base'!E147)*(1+GroundFuelSurcharge),2)))*(1+FedEx_Markup),2)</f>
        <v>71.51</v>
      </c>
      <c r="F152" s="275">
        <f>ROUND((IF('Ground Base'!F$154&gt;ROUND(((1-GroundCommDiscount31Up-GroundCommIncentive)*'Ground Base'!F147),2),ROUND('Ground Base'!F$154*(1+GroundFuelSurcharge),2),ROUND(((1-GroundCommDiscount31Up-GroundCommIncentive)*'Ground Base'!F147)*(1+GroundFuelSurcharge),2)))*(1+FedEx_Markup),2)</f>
        <v>80.96</v>
      </c>
      <c r="G152" s="275">
        <f>ROUND((IF('Ground Base'!G$154&gt;ROUND(((1-GroundCommDiscount31Up-GroundCommIncentive)*'Ground Base'!G147),2),ROUND('Ground Base'!G$154*(1+GroundFuelSurcharge),2),ROUND(((1-GroundCommDiscount31Up-GroundCommIncentive)*'Ground Base'!G147)*(1+GroundFuelSurcharge),2)))*(1+FedEx_Markup),2)</f>
        <v>87.54</v>
      </c>
      <c r="H152" s="275">
        <f>ROUND((IF('Ground Base'!H$154&gt;ROUND(((1-GroundCommDiscount31Up-GroundCommIncentive)*'Ground Base'!H147),2),ROUND('Ground Base'!H$154*(1+GroundFuelSurcharge),2),ROUND(((1-GroundCommDiscount31Up-GroundCommIncentive)*'Ground Base'!H147)*(1+GroundFuelSurcharge),2)))*(1+FedEx_Markup),2)</f>
        <v>97.72</v>
      </c>
      <c r="I152" s="275">
        <f>ROUND((IF('Ground Base'!I$154&gt;ROUND(((1-GroundAKHIDiscount)*'Ground Base'!I147),2),ROUND('Ground Base'!I$154*(1+GroundFuelSurcharge),2),ROUND(((1-GroundAKHIDiscount)*'Ground Base'!I147)*(1+GroundFuelSurcharge),2)))*(1+FedEx_Markup),2)</f>
        <v>595.61</v>
      </c>
      <c r="J152" s="275">
        <f>ROUND((IF('Ground Base'!J$154&gt;ROUND(((1-GroundAKHIDiscount)*'Ground Base'!J147),2),ROUND('Ground Base'!J$154*(1+GroundFuelSurcharge),2),ROUND(((1-GroundAKHIDiscount)*'Ground Base'!J147)*(1+GroundFuelSurcharge),2)))*(1+FedEx_Markup),2)</f>
        <v>595.61</v>
      </c>
      <c r="K152" s="275">
        <f>ROUND((IF('Ground Base'!K$154&gt;ROUND(((1-GroundZone51Discount)*'Ground Base'!K147),2),ROUND('Ground Base'!K$154*(1+GroundFuelSurcharge),2),ROUND(((1-GroundZone51Discount)*'Ground Base'!K147)*(1+GroundFuelSurcharge),2)))*(1+FedEx_Markup),2)</f>
        <v>119.83</v>
      </c>
      <c r="L152" s="275">
        <f>ROUND((IF('Ground Base'!L$154&gt;ROUND(((1-GroundZone54Discount)*'Ground Base'!L147),2),ROUND('Ground Base'!L$154*(1+GroundFuelSurcharge),2),ROUND(((1-GroundZone54Discount)*'Ground Base'!L147)*(1+GroundFuelSurcharge),2)))*(1+FedEx_Markup),2)</f>
        <v>174.21</v>
      </c>
    </row>
    <row r="153" ht="12.75" customHeight="1">
      <c r="A153" s="274">
        <v>146.0</v>
      </c>
      <c r="B153" s="275">
        <f>ROUND((IF('Ground Base'!B$154&gt;ROUND(((1-GroundCommDiscount31Up-GroundCommIncentive)*'Ground Base'!B148),2),ROUND('Ground Base'!B$154*(1+GroundFuelSurcharge),2),ROUND(((1-GroundCommDiscount31Up-GroundCommIncentive)*'Ground Base'!B148)*(1+GroundFuelSurcharge),2)))*(1+FedEx_Markup),2)</f>
        <v>64.52</v>
      </c>
      <c r="C153" s="275">
        <f>ROUND((IF('Ground Base'!C$154&gt;ROUND(((1-GroundCommDiscount31Up-GroundCommIncentive)*'Ground Base'!C148),2),ROUND('Ground Base'!C$154*(1+GroundFuelSurcharge),2),ROUND(((1-GroundCommDiscount31Up-GroundCommIncentive)*'Ground Base'!C148)*(1+GroundFuelSurcharge),2)))*(1+FedEx_Markup),2)</f>
        <v>66.03</v>
      </c>
      <c r="D153" s="275">
        <f>ROUND((IF('Ground Base'!D$154&gt;ROUND(((1-GroundCommDiscount31Up-GroundCommIncentive)*'Ground Base'!D148),2),ROUND('Ground Base'!D$154*(1+GroundFuelSurcharge),2),ROUND(((1-GroundCommDiscount31Up-GroundCommIncentive)*'Ground Base'!D148)*(1+GroundFuelSurcharge),2)))*(1+FedEx_Markup),2)</f>
        <v>70.16</v>
      </c>
      <c r="E153" s="275">
        <f>ROUND((IF('Ground Base'!E$154&gt;ROUND(((1-GroundCommDiscount31Up-GroundCommIncentive)*'Ground Base'!E148),2),ROUND('Ground Base'!E$154*(1+GroundFuelSurcharge),2),ROUND(((1-GroundCommDiscount31Up-GroundCommIncentive)*'Ground Base'!E148)*(1+GroundFuelSurcharge),2)))*(1+FedEx_Markup),2)</f>
        <v>71.52</v>
      </c>
      <c r="F153" s="275">
        <f>ROUND((IF('Ground Base'!F$154&gt;ROUND(((1-GroundCommDiscount31Up-GroundCommIncentive)*'Ground Base'!F148),2),ROUND('Ground Base'!F$154*(1+GroundFuelSurcharge),2),ROUND(((1-GroundCommDiscount31Up-GroundCommIncentive)*'Ground Base'!F148)*(1+GroundFuelSurcharge),2)))*(1+FedEx_Markup),2)</f>
        <v>80.97</v>
      </c>
      <c r="G153" s="275">
        <f>ROUND((IF('Ground Base'!G$154&gt;ROUND(((1-GroundCommDiscount31Up-GroundCommIncentive)*'Ground Base'!G148),2),ROUND('Ground Base'!G$154*(1+GroundFuelSurcharge),2),ROUND(((1-GroundCommDiscount31Up-GroundCommIncentive)*'Ground Base'!G148)*(1+GroundFuelSurcharge),2)))*(1+FedEx_Markup),2)</f>
        <v>87.55</v>
      </c>
      <c r="H153" s="275">
        <f>ROUND((IF('Ground Base'!H$154&gt;ROUND(((1-GroundCommDiscount31Up-GroundCommIncentive)*'Ground Base'!H148),2),ROUND('Ground Base'!H$154*(1+GroundFuelSurcharge),2),ROUND(((1-GroundCommDiscount31Up-GroundCommIncentive)*'Ground Base'!H148)*(1+GroundFuelSurcharge),2)))*(1+FedEx_Markup),2)</f>
        <v>97.73</v>
      </c>
      <c r="I153" s="275">
        <f>ROUND((IF('Ground Base'!I$154&gt;ROUND(((1-GroundAKHIDiscount)*'Ground Base'!I148),2),ROUND('Ground Base'!I$154*(1+GroundFuelSurcharge),2),ROUND(((1-GroundAKHIDiscount)*'Ground Base'!I148)*(1+GroundFuelSurcharge),2)))*(1+FedEx_Markup),2)</f>
        <v>598.37</v>
      </c>
      <c r="J153" s="275">
        <f>ROUND((IF('Ground Base'!J$154&gt;ROUND(((1-GroundAKHIDiscount)*'Ground Base'!J148),2),ROUND('Ground Base'!J$154*(1+GroundFuelSurcharge),2),ROUND(((1-GroundAKHIDiscount)*'Ground Base'!J148)*(1+GroundFuelSurcharge),2)))*(1+FedEx_Markup),2)</f>
        <v>598.37</v>
      </c>
      <c r="K153" s="275">
        <f>ROUND((IF('Ground Base'!K$154&gt;ROUND(((1-GroundZone51Discount)*'Ground Base'!K148),2),ROUND('Ground Base'!K$154*(1+GroundFuelSurcharge),2),ROUND(((1-GroundZone51Discount)*'Ground Base'!K148)*(1+GroundFuelSurcharge),2)))*(1+FedEx_Markup),2)</f>
        <v>122.27</v>
      </c>
      <c r="L153" s="275">
        <f>ROUND((IF('Ground Base'!L$154&gt;ROUND(((1-GroundZone54Discount)*'Ground Base'!L148),2),ROUND('Ground Base'!L$154*(1+GroundFuelSurcharge),2),ROUND(((1-GroundZone54Discount)*'Ground Base'!L148)*(1+GroundFuelSurcharge),2)))*(1+FedEx_Markup),2)</f>
        <v>177.77</v>
      </c>
    </row>
    <row r="154" ht="12.75" customHeight="1">
      <c r="A154" s="274">
        <v>147.0</v>
      </c>
      <c r="B154" s="275">
        <f>ROUND((IF('Ground Base'!B$154&gt;ROUND(((1-GroundCommDiscount31Up-GroundCommIncentive)*'Ground Base'!B149),2),ROUND('Ground Base'!B$154*(1+GroundFuelSurcharge),2),ROUND(((1-GroundCommDiscount31Up-GroundCommIncentive)*'Ground Base'!B149)*(1+GroundFuelSurcharge),2)))*(1+FedEx_Markup),2)</f>
        <v>65.3</v>
      </c>
      <c r="C154" s="275">
        <f>ROUND((IF('Ground Base'!C$154&gt;ROUND(((1-GroundCommDiscount31Up-GroundCommIncentive)*'Ground Base'!C149),2),ROUND('Ground Base'!C$154*(1+GroundFuelSurcharge),2),ROUND(((1-GroundCommDiscount31Up-GroundCommIncentive)*'Ground Base'!C149)*(1+GroundFuelSurcharge),2)))*(1+FedEx_Markup),2)</f>
        <v>66.68</v>
      </c>
      <c r="D154" s="275">
        <f>ROUND((IF('Ground Base'!D$154&gt;ROUND(((1-GroundCommDiscount31Up-GroundCommIncentive)*'Ground Base'!D149),2),ROUND('Ground Base'!D$154*(1+GroundFuelSurcharge),2),ROUND(((1-GroundCommDiscount31Up-GroundCommIncentive)*'Ground Base'!D149)*(1+GroundFuelSurcharge),2)))*(1+FedEx_Markup),2)</f>
        <v>71.4</v>
      </c>
      <c r="E154" s="275">
        <f>ROUND((IF('Ground Base'!E$154&gt;ROUND(((1-GroundCommDiscount31Up-GroundCommIncentive)*'Ground Base'!E149),2),ROUND('Ground Base'!E$154*(1+GroundFuelSurcharge),2),ROUND(((1-GroundCommDiscount31Up-GroundCommIncentive)*'Ground Base'!E149)*(1+GroundFuelSurcharge),2)))*(1+FedEx_Markup),2)</f>
        <v>72.23</v>
      </c>
      <c r="F154" s="275">
        <f>ROUND((IF('Ground Base'!F$154&gt;ROUND(((1-GroundCommDiscount31Up-GroundCommIncentive)*'Ground Base'!F149),2),ROUND('Ground Base'!F$154*(1+GroundFuelSurcharge),2),ROUND(((1-GroundCommDiscount31Up-GroundCommIncentive)*'Ground Base'!F149)*(1+GroundFuelSurcharge),2)))*(1+FedEx_Markup),2)</f>
        <v>81.55</v>
      </c>
      <c r="G154" s="275">
        <f>ROUND((IF('Ground Base'!G$154&gt;ROUND(((1-GroundCommDiscount31Up-GroundCommIncentive)*'Ground Base'!G149),2),ROUND('Ground Base'!G$154*(1+GroundFuelSurcharge),2),ROUND(((1-GroundCommDiscount31Up-GroundCommIncentive)*'Ground Base'!G149)*(1+GroundFuelSurcharge),2)))*(1+FedEx_Markup),2)</f>
        <v>87.55</v>
      </c>
      <c r="H154" s="275">
        <f>ROUND((IF('Ground Base'!H$154&gt;ROUND(((1-GroundCommDiscount31Up-GroundCommIncentive)*'Ground Base'!H149),2),ROUND('Ground Base'!H$154*(1+GroundFuelSurcharge),2),ROUND(((1-GroundCommDiscount31Up-GroundCommIncentive)*'Ground Base'!H149)*(1+GroundFuelSurcharge),2)))*(1+FedEx_Markup),2)</f>
        <v>98.62</v>
      </c>
      <c r="I154" s="275">
        <f>ROUND((IF('Ground Base'!I$154&gt;ROUND(((1-GroundAKHIDiscount)*'Ground Base'!I149),2),ROUND('Ground Base'!I$154*(1+GroundFuelSurcharge),2),ROUND(((1-GroundAKHIDiscount)*'Ground Base'!I149)*(1+GroundFuelSurcharge),2)))*(1+FedEx_Markup),2)</f>
        <v>612.63</v>
      </c>
      <c r="J154" s="275">
        <f>ROUND((IF('Ground Base'!J$154&gt;ROUND(((1-GroundAKHIDiscount)*'Ground Base'!J149),2),ROUND('Ground Base'!J$154*(1+GroundFuelSurcharge),2),ROUND(((1-GroundAKHIDiscount)*'Ground Base'!J149)*(1+GroundFuelSurcharge),2)))*(1+FedEx_Markup),2)</f>
        <v>612.63</v>
      </c>
      <c r="K154" s="275">
        <f>ROUND((IF('Ground Base'!K$154&gt;ROUND(((1-GroundZone51Discount)*'Ground Base'!K149),2),ROUND('Ground Base'!K$154*(1+GroundFuelSurcharge),2),ROUND(((1-GroundZone51Discount)*'Ground Base'!K149)*(1+GroundFuelSurcharge),2)))*(1+FedEx_Markup),2)</f>
        <v>122.27</v>
      </c>
      <c r="L154" s="275">
        <f>ROUND((IF('Ground Base'!L$154&gt;ROUND(((1-GroundZone54Discount)*'Ground Base'!L149),2),ROUND('Ground Base'!L$154*(1+GroundFuelSurcharge),2),ROUND(((1-GroundZone54Discount)*'Ground Base'!L149)*(1+GroundFuelSurcharge),2)))*(1+FedEx_Markup),2)</f>
        <v>177.79</v>
      </c>
    </row>
    <row r="155" ht="12.75" customHeight="1">
      <c r="A155" s="274">
        <v>148.0</v>
      </c>
      <c r="B155" s="275">
        <f>ROUND((IF('Ground Base'!B$154&gt;ROUND(((1-GroundCommDiscount31Up-GroundCommIncentive)*'Ground Base'!B150),2),ROUND('Ground Base'!B$154*(1+GroundFuelSurcharge),2),ROUND(((1-GroundCommDiscount31Up-GroundCommIncentive)*'Ground Base'!B150)*(1+GroundFuelSurcharge),2)))*(1+FedEx_Markup),2)</f>
        <v>65.3</v>
      </c>
      <c r="C155" s="275">
        <f>ROUND((IF('Ground Base'!C$154&gt;ROUND(((1-GroundCommDiscount31Up-GroundCommIncentive)*'Ground Base'!C150),2),ROUND('Ground Base'!C$154*(1+GroundFuelSurcharge),2),ROUND(((1-GroundCommDiscount31Up-GroundCommIncentive)*'Ground Base'!C150)*(1+GroundFuelSurcharge),2)))*(1+FedEx_Markup),2)</f>
        <v>67.08</v>
      </c>
      <c r="D155" s="275">
        <f>ROUND((IF('Ground Base'!D$154&gt;ROUND(((1-GroundCommDiscount31Up-GroundCommIncentive)*'Ground Base'!D150),2),ROUND('Ground Base'!D$154*(1+GroundFuelSurcharge),2),ROUND(((1-GroundCommDiscount31Up-GroundCommIncentive)*'Ground Base'!D150)*(1+GroundFuelSurcharge),2)))*(1+FedEx_Markup),2)</f>
        <v>71.48</v>
      </c>
      <c r="E155" s="275">
        <f>ROUND((IF('Ground Base'!E$154&gt;ROUND(((1-GroundCommDiscount31Up-GroundCommIncentive)*'Ground Base'!E150),2),ROUND('Ground Base'!E$154*(1+GroundFuelSurcharge),2),ROUND(((1-GroundCommDiscount31Up-GroundCommIncentive)*'Ground Base'!E150)*(1+GroundFuelSurcharge),2)))*(1+FedEx_Markup),2)</f>
        <v>72.24</v>
      </c>
      <c r="F155" s="275">
        <f>ROUND((IF('Ground Base'!F$154&gt;ROUND(((1-GroundCommDiscount31Up-GroundCommIncentive)*'Ground Base'!F150),2),ROUND('Ground Base'!F$154*(1+GroundFuelSurcharge),2),ROUND(((1-GroundCommDiscount31Up-GroundCommIncentive)*'Ground Base'!F150)*(1+GroundFuelSurcharge),2)))*(1+FedEx_Markup),2)</f>
        <v>81.56</v>
      </c>
      <c r="G155" s="275">
        <f>ROUND((IF('Ground Base'!G$154&gt;ROUND(((1-GroundCommDiscount31Up-GroundCommIncentive)*'Ground Base'!G150),2),ROUND('Ground Base'!G$154*(1+GroundFuelSurcharge),2),ROUND(((1-GroundCommDiscount31Up-GroundCommIncentive)*'Ground Base'!G150)*(1+GroundFuelSurcharge),2)))*(1+FedEx_Markup),2)</f>
        <v>87.56</v>
      </c>
      <c r="H155" s="275">
        <f>ROUND((IF('Ground Base'!H$154&gt;ROUND(((1-GroundCommDiscount31Up-GroundCommIncentive)*'Ground Base'!H150),2),ROUND('Ground Base'!H$154*(1+GroundFuelSurcharge),2),ROUND(((1-GroundCommDiscount31Up-GroundCommIncentive)*'Ground Base'!H150)*(1+GroundFuelSurcharge),2)))*(1+FedEx_Markup),2)</f>
        <v>98.64</v>
      </c>
      <c r="I155" s="275">
        <f>ROUND((IF('Ground Base'!I$154&gt;ROUND(((1-GroundAKHIDiscount)*'Ground Base'!I150),2),ROUND('Ground Base'!I$154*(1+GroundFuelSurcharge),2),ROUND(((1-GroundAKHIDiscount)*'Ground Base'!I150)*(1+GroundFuelSurcharge),2)))*(1+FedEx_Markup),2)</f>
        <v>612.64</v>
      </c>
      <c r="J155" s="275">
        <f>ROUND((IF('Ground Base'!J$154&gt;ROUND(((1-GroundAKHIDiscount)*'Ground Base'!J150),2),ROUND('Ground Base'!J$154*(1+GroundFuelSurcharge),2),ROUND(((1-GroundAKHIDiscount)*'Ground Base'!J150)*(1+GroundFuelSurcharge),2)))*(1+FedEx_Markup),2)</f>
        <v>612.64</v>
      </c>
      <c r="K155" s="275">
        <f>ROUND((IF('Ground Base'!K$154&gt;ROUND(((1-GroundZone51Discount)*'Ground Base'!K150),2),ROUND('Ground Base'!K$154*(1+GroundFuelSurcharge),2),ROUND(((1-GroundZone51Discount)*'Ground Base'!K150)*(1+GroundFuelSurcharge),2)))*(1+FedEx_Markup),2)</f>
        <v>122.28</v>
      </c>
      <c r="L155" s="275">
        <f>ROUND((IF('Ground Base'!L$154&gt;ROUND(((1-GroundZone54Discount)*'Ground Base'!L150),2),ROUND('Ground Base'!L$154*(1+GroundFuelSurcharge),2),ROUND(((1-GroundZone54Discount)*'Ground Base'!L150)*(1+GroundFuelSurcharge),2)))*(1+FedEx_Markup),2)</f>
        <v>177.79</v>
      </c>
    </row>
    <row r="156" ht="12.75" customHeight="1">
      <c r="A156" s="274">
        <v>149.0</v>
      </c>
      <c r="B156" s="275">
        <f>ROUND((IF('Ground Base'!B$154&gt;ROUND(((1-GroundCommDiscount31Up-GroundCommIncentive)*'Ground Base'!B151),2),ROUND('Ground Base'!B$154*(1+GroundFuelSurcharge),2),ROUND(((1-GroundCommDiscount31Up-GroundCommIncentive)*'Ground Base'!B151)*(1+GroundFuelSurcharge),2)))*(1+FedEx_Markup),2)</f>
        <v>65.31</v>
      </c>
      <c r="C156" s="275">
        <f>ROUND((IF('Ground Base'!C$154&gt;ROUND(((1-GroundCommDiscount31Up-GroundCommIncentive)*'Ground Base'!C151),2),ROUND('Ground Base'!C$154*(1+GroundFuelSurcharge),2),ROUND(((1-GroundCommDiscount31Up-GroundCommIncentive)*'Ground Base'!C151)*(1+GroundFuelSurcharge),2)))*(1+FedEx_Markup),2)</f>
        <v>67.08</v>
      </c>
      <c r="D156" s="275">
        <f>ROUND((IF('Ground Base'!D$154&gt;ROUND(((1-GroundCommDiscount31Up-GroundCommIncentive)*'Ground Base'!D151),2),ROUND('Ground Base'!D$154*(1+GroundFuelSurcharge),2),ROUND(((1-GroundCommDiscount31Up-GroundCommIncentive)*'Ground Base'!D151)*(1+GroundFuelSurcharge),2)))*(1+FedEx_Markup),2)</f>
        <v>72.46</v>
      </c>
      <c r="E156" s="275">
        <f>ROUND((IF('Ground Base'!E$154&gt;ROUND(((1-GroundCommDiscount31Up-GroundCommIncentive)*'Ground Base'!E151),2),ROUND('Ground Base'!E$154*(1+GroundFuelSurcharge),2),ROUND(((1-GroundCommDiscount31Up-GroundCommIncentive)*'Ground Base'!E151)*(1+GroundFuelSurcharge),2)))*(1+FedEx_Markup),2)</f>
        <v>73.37</v>
      </c>
      <c r="F156" s="275">
        <f>ROUND((IF('Ground Base'!F$154&gt;ROUND(((1-GroundCommDiscount31Up-GroundCommIncentive)*'Ground Base'!F151),2),ROUND('Ground Base'!F$154*(1+GroundFuelSurcharge),2),ROUND(((1-GroundCommDiscount31Up-GroundCommIncentive)*'Ground Base'!F151)*(1+GroundFuelSurcharge),2)))*(1+FedEx_Markup),2)</f>
        <v>81.82</v>
      </c>
      <c r="G156" s="275">
        <f>ROUND((IF('Ground Base'!G$154&gt;ROUND(((1-GroundCommDiscount31Up-GroundCommIncentive)*'Ground Base'!G151),2),ROUND('Ground Base'!G$154*(1+GroundFuelSurcharge),2),ROUND(((1-GroundCommDiscount31Up-GroundCommIncentive)*'Ground Base'!G151)*(1+GroundFuelSurcharge),2)))*(1+FedEx_Markup),2)</f>
        <v>88.39</v>
      </c>
      <c r="H156" s="275">
        <f>ROUND((IF('Ground Base'!H$154&gt;ROUND(((1-GroundCommDiscount31Up-GroundCommIncentive)*'Ground Base'!H151),2),ROUND('Ground Base'!H$154*(1+GroundFuelSurcharge),2),ROUND(((1-GroundCommDiscount31Up-GroundCommIncentive)*'Ground Base'!H151)*(1+GroundFuelSurcharge),2)))*(1+FedEx_Markup),2)</f>
        <v>99.57</v>
      </c>
      <c r="I156" s="275">
        <f>ROUND((IF('Ground Base'!I$154&gt;ROUND(((1-GroundAKHIDiscount)*'Ground Base'!I151),2),ROUND('Ground Base'!I$154*(1+GroundFuelSurcharge),2),ROUND(((1-GroundAKHIDiscount)*'Ground Base'!I151)*(1+GroundFuelSurcharge),2)))*(1+FedEx_Markup),2)</f>
        <v>613.94</v>
      </c>
      <c r="J156" s="275">
        <f>ROUND((IF('Ground Base'!J$154&gt;ROUND(((1-GroundAKHIDiscount)*'Ground Base'!J151),2),ROUND('Ground Base'!J$154*(1+GroundFuelSurcharge),2),ROUND(((1-GroundAKHIDiscount)*'Ground Base'!J151)*(1+GroundFuelSurcharge),2)))*(1+FedEx_Markup),2)</f>
        <v>613.94</v>
      </c>
      <c r="K156" s="275">
        <f>ROUND((IF('Ground Base'!K$154&gt;ROUND(((1-GroundZone51Discount)*'Ground Base'!K151),2),ROUND('Ground Base'!K$154*(1+GroundFuelSurcharge),2),ROUND(((1-GroundZone51Discount)*'Ground Base'!K151)*(1+GroundFuelSurcharge),2)))*(1+FedEx_Markup),2)</f>
        <v>122.29</v>
      </c>
      <c r="L156" s="275">
        <f>ROUND((IF('Ground Base'!L$154&gt;ROUND(((1-GroundZone54Discount)*'Ground Base'!L151),2),ROUND('Ground Base'!L$154*(1+GroundFuelSurcharge),2),ROUND(((1-GroundZone54Discount)*'Ground Base'!L151)*(1+GroundFuelSurcharge),2)))*(1+FedEx_Markup),2)</f>
        <v>177.8</v>
      </c>
    </row>
    <row r="157" ht="12.75" customHeight="1">
      <c r="A157" s="274">
        <v>150.0</v>
      </c>
      <c r="B157" s="275">
        <f>ROUND((IF('Ground Base'!B$154&gt;ROUND(((1-GroundCommDiscount31Up-GroundCommIncentive)*'Ground Base'!B152),2),ROUND('Ground Base'!B$154*(1+GroundFuelSurcharge),2),ROUND(((1-GroundCommDiscount31Up-GroundCommIncentive)*'Ground Base'!B152)*(1+GroundFuelSurcharge),2)))*(1+FedEx_Markup),2)</f>
        <v>65.31</v>
      </c>
      <c r="C157" s="275">
        <f>ROUND((IF('Ground Base'!C$154&gt;ROUND(((1-GroundCommDiscount31Up-GroundCommIncentive)*'Ground Base'!C152),2),ROUND('Ground Base'!C$154*(1+GroundFuelSurcharge),2),ROUND(((1-GroundCommDiscount31Up-GroundCommIncentive)*'Ground Base'!C152)*(1+GroundFuelSurcharge),2)))*(1+FedEx_Markup),2)</f>
        <v>67.09</v>
      </c>
      <c r="D157" s="275">
        <f>ROUND((IF('Ground Base'!D$154&gt;ROUND(((1-GroundCommDiscount31Up-GroundCommIncentive)*'Ground Base'!D152),2),ROUND('Ground Base'!D$154*(1+GroundFuelSurcharge),2),ROUND(((1-GroundCommDiscount31Up-GroundCommIncentive)*'Ground Base'!D152)*(1+GroundFuelSurcharge),2)))*(1+FedEx_Markup),2)</f>
        <v>72.47</v>
      </c>
      <c r="E157" s="275">
        <f>ROUND((IF('Ground Base'!E$154&gt;ROUND(((1-GroundCommDiscount31Up-GroundCommIncentive)*'Ground Base'!E152),2),ROUND('Ground Base'!E$154*(1+GroundFuelSurcharge),2),ROUND(((1-GroundCommDiscount31Up-GroundCommIncentive)*'Ground Base'!E152)*(1+GroundFuelSurcharge),2)))*(1+FedEx_Markup),2)</f>
        <v>74.42</v>
      </c>
      <c r="F157" s="275">
        <f>ROUND((IF('Ground Base'!F$154&gt;ROUND(((1-GroundCommDiscount31Up-GroundCommIncentive)*'Ground Base'!F152),2),ROUND('Ground Base'!F$154*(1+GroundFuelSurcharge),2),ROUND(((1-GroundCommDiscount31Up-GroundCommIncentive)*'Ground Base'!F152)*(1+GroundFuelSurcharge),2)))*(1+FedEx_Markup),2)</f>
        <v>81.83</v>
      </c>
      <c r="G157" s="275">
        <f>ROUND((IF('Ground Base'!G$154&gt;ROUND(((1-GroundCommDiscount31Up-GroundCommIncentive)*'Ground Base'!G152),2),ROUND('Ground Base'!G$154*(1+GroundFuelSurcharge),2),ROUND(((1-GroundCommDiscount31Up-GroundCommIncentive)*'Ground Base'!G152)*(1+GroundFuelSurcharge),2)))*(1+FedEx_Markup),2)</f>
        <v>88.39</v>
      </c>
      <c r="H157" s="275">
        <f>ROUND((IF('Ground Base'!H$154&gt;ROUND(((1-GroundCommDiscount31Up-GroundCommIncentive)*'Ground Base'!H152),2),ROUND('Ground Base'!H$154*(1+GroundFuelSurcharge),2),ROUND(((1-GroundCommDiscount31Up-GroundCommIncentive)*'Ground Base'!H152)*(1+GroundFuelSurcharge),2)))*(1+FedEx_Markup),2)</f>
        <v>99.58</v>
      </c>
      <c r="I157" s="275">
        <f>ROUND((IF('Ground Base'!I$154&gt;ROUND(((1-GroundAKHIDiscount)*'Ground Base'!I152),2),ROUND('Ground Base'!I$154*(1+GroundFuelSurcharge),2),ROUND(((1-GroundAKHIDiscount)*'Ground Base'!I152)*(1+GroundFuelSurcharge),2)))*(1+FedEx_Markup),2)</f>
        <v>618.16</v>
      </c>
      <c r="J157" s="275">
        <f>ROUND((IF('Ground Base'!J$154&gt;ROUND(((1-GroundAKHIDiscount)*'Ground Base'!J152),2),ROUND('Ground Base'!J$154*(1+GroundFuelSurcharge),2),ROUND(((1-GroundAKHIDiscount)*'Ground Base'!J152)*(1+GroundFuelSurcharge),2)))*(1+FedEx_Markup),2)</f>
        <v>618.16</v>
      </c>
      <c r="K157" s="275">
        <f>ROUND((IF('Ground Base'!K$154&gt;ROUND(((1-GroundZone51Discount)*'Ground Base'!K152),2),ROUND('Ground Base'!K$154*(1+GroundFuelSurcharge),2),ROUND(((1-GroundZone51Discount)*'Ground Base'!K152)*(1+GroundFuelSurcharge),2)))*(1+FedEx_Markup),2)</f>
        <v>122.29</v>
      </c>
      <c r="L157" s="275">
        <f>ROUND((IF('Ground Base'!L$154&gt;ROUND(((1-GroundZone54Discount)*'Ground Base'!L152),2),ROUND('Ground Base'!L$154*(1+GroundFuelSurcharge),2),ROUND(((1-GroundZone54Discount)*'Ground Base'!L152)*(1+GroundFuelSurcharge),2)))*(1+FedEx_Markup),2)</f>
        <v>177.81</v>
      </c>
    </row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3:G3"/>
  </mergeCells>
  <conditionalFormatting sqref="A8:L157">
    <cfRule type="expression" dxfId="0" priority="1">
      <formula>MOD(ROW(),2)=0</formula>
    </cfRule>
  </conditionalFormatting>
  <printOptions/>
  <pageMargins bottom="0.57" footer="0.0" header="0.0" left="0.75" right="0.75" top="0.51"/>
  <pageSetup scale="92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63300"/>
    <pageSetUpPr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6.0"/>
    <col customWidth="1" min="2" max="2" width="6.75"/>
    <col customWidth="1" min="3" max="3" width="6.88"/>
    <col customWidth="1" min="4" max="6" width="6.38"/>
    <col customWidth="1" min="7" max="7" width="7.88"/>
    <col customWidth="1" min="8" max="8" width="6.38"/>
    <col customWidth="1" min="9" max="12" width="7.25"/>
    <col customWidth="1" min="13" max="13" width="3.63"/>
    <col customWidth="1" min="14" max="14" width="24.63"/>
    <col customWidth="1" min="15" max="26" width="8.63"/>
  </cols>
  <sheetData>
    <row r="1" ht="12.75" customHeight="1">
      <c r="A1" s="264" t="s">
        <v>113</v>
      </c>
      <c r="B1" s="265"/>
      <c r="C1" s="265"/>
      <c r="D1" s="265"/>
    </row>
    <row r="2" ht="12.75" customHeight="1">
      <c r="A2" s="264" t="s">
        <v>114</v>
      </c>
      <c r="B2" s="265"/>
      <c r="C2" s="265"/>
      <c r="D2" s="266"/>
    </row>
    <row r="3" ht="12.75" customHeight="1">
      <c r="A3" s="277"/>
      <c r="B3" s="277"/>
      <c r="C3" s="277"/>
      <c r="D3" s="277"/>
    </row>
    <row r="4" ht="12.75" customHeight="1">
      <c r="B4" s="268" t="s">
        <v>115</v>
      </c>
      <c r="F4" s="269"/>
    </row>
    <row r="5" ht="12.75" customHeight="1">
      <c r="B5" s="270" t="s">
        <v>116</v>
      </c>
      <c r="F5" s="269"/>
    </row>
    <row r="6" ht="12.75" customHeight="1">
      <c r="A6" s="271" t="s">
        <v>1</v>
      </c>
      <c r="B6" s="272" t="s">
        <v>0</v>
      </c>
      <c r="C6" s="272" t="s">
        <v>0</v>
      </c>
      <c r="D6" s="272" t="s">
        <v>0</v>
      </c>
      <c r="E6" s="272" t="s">
        <v>0</v>
      </c>
      <c r="F6" s="272" t="s">
        <v>0</v>
      </c>
      <c r="G6" s="272" t="s">
        <v>0</v>
      </c>
      <c r="H6" s="272" t="s">
        <v>0</v>
      </c>
      <c r="I6" s="272" t="s">
        <v>14</v>
      </c>
      <c r="J6" s="272" t="s">
        <v>15</v>
      </c>
      <c r="K6" s="272" t="s">
        <v>16</v>
      </c>
      <c r="L6" s="272" t="s">
        <v>16</v>
      </c>
    </row>
    <row r="7" ht="12.75" customHeight="1">
      <c r="A7" s="271" t="s">
        <v>80</v>
      </c>
      <c r="B7" s="273">
        <v>2.0</v>
      </c>
      <c r="C7" s="273">
        <v>3.0</v>
      </c>
      <c r="D7" s="273">
        <v>4.0</v>
      </c>
      <c r="E7" s="273">
        <v>5.0</v>
      </c>
      <c r="F7" s="273">
        <v>6.0</v>
      </c>
      <c r="G7" s="273">
        <v>7.0</v>
      </c>
      <c r="H7" s="273">
        <v>8.0</v>
      </c>
      <c r="I7" s="273">
        <v>9.0</v>
      </c>
      <c r="J7" s="273">
        <v>17.0</v>
      </c>
      <c r="K7" s="273">
        <v>51.0</v>
      </c>
      <c r="L7" s="273">
        <v>54.0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274" t="s">
        <v>117</v>
      </c>
      <c r="B8" s="275">
        <f>ROUND((IF('Ground Base'!B$154&gt;ROUND(((1-GroundResDiscount01to05)*'Ground Base'!B3),2),ROUND(('Ground Base'!B$154+GroundResidentialFee)*(1+GroundFuelSurcharge),2),ROUND((((1-GroundResDiscount01to05-GroundResIncentive)*'Ground Base'!B3)+GroundResidentialFee)*(1+GroundFuelSurcharge),2)))*(1+FedEx_Markup),2)</f>
        <v>16.53</v>
      </c>
      <c r="C8" s="275">
        <f>ROUND((IF('Ground Base'!C$154&gt;ROUND(((1-GroundResDiscount01to05)*'Ground Base'!C3),2),ROUND(('Ground Base'!C$154+GroundResidentialFee)*(1+GroundFuelSurcharge),2),ROUND((((1-GroundResDiscount01to05-GroundResIncentive)*'Ground Base'!C3)+GroundResidentialFee)*(1+GroundFuelSurcharge),2)))*(1+FedEx_Markup),2)</f>
        <v>16.53</v>
      </c>
      <c r="D8" s="275">
        <f>ROUND((IF('Ground Base'!D$154&gt;ROUND(((1-GroundResDiscount01to05)*'Ground Base'!D3),2),ROUND(('Ground Base'!D$154+GroundResidentialFee)*(1+GroundFuelSurcharge),2),ROUND((((1-GroundResDiscount01to05-GroundResIncentive)*'Ground Base'!D3)+GroundResidentialFee)*(1+GroundFuelSurcharge),2)))*(1+FedEx_Markup),2)</f>
        <v>16.53</v>
      </c>
      <c r="E8" s="275">
        <f>ROUND((IF('Ground Base'!E$154&gt;ROUND(((1-GroundResDiscount01to05)*'Ground Base'!E3),2),ROUND(('Ground Base'!E$154+GroundResidentialFee)*(1+GroundFuelSurcharge),2),ROUND((((1-GroundResDiscount01to05-GroundResIncentive)*'Ground Base'!E3)+GroundResidentialFee)*(1+GroundFuelSurcharge),2)))*(1+FedEx_Markup),2)</f>
        <v>16.53</v>
      </c>
      <c r="F8" s="275">
        <f>ROUND((IF('Ground Base'!F$154&gt;ROUND(((1-GroundResDiscount01to05)*'Ground Base'!F3),2),ROUND(('Ground Base'!F$154+GroundResidentialFee)*(1+GroundFuelSurcharge),2),ROUND((((1-GroundResDiscount01to05-GroundResIncentive)*'Ground Base'!F3)+GroundResidentialFee)*(1+GroundFuelSurcharge),2)))*(1+FedEx_Markup),2)</f>
        <v>16.53</v>
      </c>
      <c r="G8" s="275">
        <f>ROUND((IF('Ground Base'!G$154&gt;ROUND(((1-GroundResDiscount01to05)*'Ground Base'!G3),2),ROUND(('Ground Base'!G$154+GroundResidentialFee)*(1+GroundFuelSurcharge),2),ROUND((((1-GroundResDiscount01to05-GroundResIncentive)*'Ground Base'!G3)+GroundResidentialFee)*(1+GroundFuelSurcharge),2)))*(1+FedEx_Markup),2)</f>
        <v>16.53</v>
      </c>
      <c r="H8" s="275">
        <f>ROUND((IF('Ground Base'!H$154&gt;ROUND(((1-GroundResDiscount01to05)*'Ground Base'!H3),2),ROUND(('Ground Base'!H$154+GroundResidentialFee)*(1+GroundFuelSurcharge),2),ROUND((((1-GroundResDiscount01to05-GroundResIncentive)*'Ground Base'!H3)+GroundResidentialFee)*(1+GroundFuelSurcharge),2)))*(1+FedEx_Markup),2)</f>
        <v>16.53</v>
      </c>
      <c r="I8" s="275">
        <f>ROUND((IF('Ground Base'!I$154&gt;ROUND(((1-GroundAKHIDiscount)*'Ground Base'!I3),2),ROUND(('Ground Base'!I$154+GroundResidentialFee)*(1+GroundFuelSurcharge),2),ROUND((((1-GroundAKHIDiscount)*'Ground Base'!I3)+GroundResidentialFee)*(1+GroundFuelSurcharge),2)))*(1+FedEx_Markup),2)</f>
        <v>44.48</v>
      </c>
      <c r="J8" s="275">
        <f>ROUND((IF('Ground Base'!J$154&gt;ROUND(((1-GroundAKHIDiscount)*'Ground Base'!J3),2),ROUND(('Ground Base'!J$154+GroundResidentialFee)*(1+GroundFuelSurcharge),2),ROUND((((1-GroundAKHIDiscount)*'Ground Base'!J3)+GroundResidentialFee)*(1+GroundFuelSurcharge),2)))*(1+FedEx_Markup),2)</f>
        <v>44.48</v>
      </c>
      <c r="K8" s="275">
        <f>ROUND((IF('Ground Base'!K$154&gt;ROUND(((1-GroundZone51Discount)*'Ground Base'!K3),2),ROUND(('Ground Base'!K$154+GroundResidentialFee)*(1+GroundFuelSurcharge),2),ROUND((((1-GroundZone51Discount)*'Ground Base'!K3)+GroundResidentialFee)*(1+GroundFuelSurcharge),2)))*(1+FedEx_Markup),2)</f>
        <v>32.64</v>
      </c>
      <c r="L8" s="275">
        <f>ROUND((IF('Ground Base'!L$154&gt;ROUND(((1-GroundZone54Discount)*'Ground Base'!L3),2),ROUND(('Ground Base'!L$154+GroundResidentialFee)*(1+GroundFuelSurcharge),2),ROUND((((1-GroundZone54Discount)*'Ground Base'!L3)+GroundResidentialFee)*(1+GroundFuelSurcharge),2)))*(1+FedEx_Markup),2)</f>
        <v>40.41</v>
      </c>
      <c r="M8" s="8"/>
      <c r="N8" s="4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274">
        <v>2.0</v>
      </c>
      <c r="B9" s="275">
        <f>IFERROR(__xludf.DUMMYFUNCTION("ROUND((IF(SINGLE('Ground Base'!B$154)&gt;ROUND(((1-GroundResDiscount01to05-GroundResIncentive)*'Ground Base'!B4),2),ROUND((SINGLE('Ground Base'!B$154)+GroundResidentialFee)*(1+GroundFuelSurcharge),2),ROUND((((1-GroundResDiscount01to05-GroundResIncentive)*'Gr"&amp;"ound Base'!B4)+GroundResidentialFee)*(1+GroundFuelSurcharge),2)))*(1+FedEx_Markup),2)"),16.53)</f>
        <v>16.53</v>
      </c>
      <c r="C9" s="275">
        <f>IFERROR(__xludf.DUMMYFUNCTION("ROUND((IF(SINGLE('Ground Base'!C$154)&gt;ROUND(((1-GroundResDiscount01to05-GroundResIncentive)*'Ground Base'!C4),2),ROUND((SINGLE('Ground Base'!C$154)+GroundResidentialFee)*(1+GroundFuelSurcharge),2),ROUND((((1-GroundResDiscount01to05-GroundResIncentive)*'Gr"&amp;"ound Base'!C4)+GroundResidentialFee)*(1+GroundFuelSurcharge),2)))*(1+FedEx_Markup),2)"),16.53)</f>
        <v>16.53</v>
      </c>
      <c r="D9" s="275">
        <f>IFERROR(__xludf.DUMMYFUNCTION("ROUND((IF(SINGLE('Ground Base'!D$154)&gt;ROUND(((1-GroundResDiscount01to05-GroundResIncentive)*'Ground Base'!D4),2),ROUND((SINGLE('Ground Base'!D$154)+GroundResidentialFee)*(1+GroundFuelSurcharge),2),ROUND((((1-GroundResDiscount01to05-GroundResIncentive)*'Gr"&amp;"ound Base'!D4)+GroundResidentialFee)*(1+GroundFuelSurcharge),2)))*(1+FedEx_Markup),2)"),16.53)</f>
        <v>16.53</v>
      </c>
      <c r="E9" s="275">
        <f>IFERROR(__xludf.DUMMYFUNCTION("ROUND((IF(SINGLE('Ground Base'!E$154)&gt;ROUND(((1-GroundResDiscount01to05-GroundResIncentive)*'Ground Base'!E4),2),ROUND((SINGLE('Ground Base'!E$154)+GroundResidentialFee)*(1+GroundFuelSurcharge),2),ROUND((((1-GroundResDiscount01to05-GroundResIncentive)*'Gr"&amp;"ound Base'!E4)+GroundResidentialFee)*(1+GroundFuelSurcharge),2)))*(1+FedEx_Markup),2)"),16.53)</f>
        <v>16.53</v>
      </c>
      <c r="F9" s="275">
        <f>IFERROR(__xludf.DUMMYFUNCTION("ROUND((IF(SINGLE('Ground Base'!F$154)&gt;ROUND(((1-GroundResDiscount01to05-GroundResIncentive)*'Ground Base'!F4),2),ROUND((SINGLE('Ground Base'!F$154)+GroundResidentialFee)*(1+GroundFuelSurcharge),2),ROUND((((1-GroundResDiscount01to05-GroundResIncentive)*'Gr"&amp;"ound Base'!F4)+GroundResidentialFee)*(1+GroundFuelSurcharge),2)))*(1+FedEx_Markup),2)"),16.53)</f>
        <v>16.53</v>
      </c>
      <c r="G9" s="275">
        <f>IFERROR(__xludf.DUMMYFUNCTION("ROUND((IF(SINGLE('Ground Base'!G$154)&gt;ROUND(((1-GroundResDiscount01to05-GroundResIncentive)*'Ground Base'!G4),2),ROUND((SINGLE('Ground Base'!G$154)+GroundResidentialFee)*(1+GroundFuelSurcharge),2),ROUND((((1-GroundResDiscount01to05-GroundResIncentive)*'Gr"&amp;"ound Base'!G4)+GroundResidentialFee)*(1+GroundFuelSurcharge),2)))*(1+FedEx_Markup),2)"),16.53)</f>
        <v>16.53</v>
      </c>
      <c r="H9" s="275">
        <f>IFERROR(__xludf.DUMMYFUNCTION("ROUND((IF(SINGLE('Ground Base'!H$154)&gt;ROUND(((1-GroundResDiscount01to05-GroundResIncentive)*'Ground Base'!H4),2),ROUND((SINGLE('Ground Base'!H$154)+GroundResidentialFee)*(1+GroundFuelSurcharge),2),ROUND((((1-GroundResDiscount01to05-GroundResIncentive)*'Gr"&amp;"ound Base'!H4)+GroundResidentialFee)*(1+GroundFuelSurcharge),2)))*(1+FedEx_Markup),2)"),16.53)</f>
        <v>16.53</v>
      </c>
      <c r="I9" s="275">
        <f>ROUND((IF('Ground Base'!I$154&gt;ROUND(((1-GroundAKHIDiscount)*'Ground Base'!I4),2),ROUND(('Ground Base'!I$154+GroundResidentialFee)*(1+GroundFuelSurcharge),2),ROUND((((1-GroundAKHIDiscount)*'Ground Base'!I4)+GroundResidentialFee)*(1+GroundFuelSurcharge),2)))*(1+FedEx_Markup),2)</f>
        <v>49.15</v>
      </c>
      <c r="J9" s="275">
        <f>ROUND((IF('Ground Base'!J$154&gt;ROUND(((1-GroundAKHIDiscount)*'Ground Base'!J4),2),ROUND(('Ground Base'!J$154+GroundResidentialFee)*(1+GroundFuelSurcharge),2),ROUND((((1-GroundAKHIDiscount)*'Ground Base'!J4)+GroundResidentialFee)*(1+GroundFuelSurcharge),2)))*(1+FedEx_Markup),2)</f>
        <v>49.15</v>
      </c>
      <c r="K9" s="275">
        <f>ROUND((IF('Ground Base'!K$154&gt;ROUND(((1-GroundZone51Discount)*'Ground Base'!K4),2),ROUND(('Ground Base'!K$154+GroundResidentialFee)*(1+GroundFuelSurcharge),2),ROUND((((1-GroundZone51Discount)*'Ground Base'!K4)+GroundResidentialFee)*(1+GroundFuelSurcharge),2)))*(1+FedEx_Markup),2)</f>
        <v>32.64</v>
      </c>
      <c r="L9" s="275">
        <f>ROUND((IF('Ground Base'!L$154&gt;ROUND(((1-GroundZone54Discount)*'Ground Base'!L4),2),ROUND(('Ground Base'!L$154+GroundResidentialFee)*(1+GroundFuelSurcharge),2),ROUND((((1-GroundZone54Discount)*'Ground Base'!L4)+GroundResidentialFee)*(1+GroundFuelSurcharge),2)))*(1+FedEx_Markup),2)</f>
        <v>40.41</v>
      </c>
      <c r="M9" s="12"/>
      <c r="N9" s="4"/>
      <c r="O9" s="27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274">
        <v>3.0</v>
      </c>
      <c r="B10" s="275">
        <f>IFERROR(__xludf.DUMMYFUNCTION("ROUND((IF(SINGLE('Ground Base'!B$154)&gt;ROUND(((1-GroundResDiscount01to05-GroundResIncentive)*'Ground Base'!B5),2),ROUND((SINGLE('Ground Base'!B$154)+GroundResidentialFee)*(1+GroundFuelSurcharge),2),ROUND((((1-GroundResDiscount01to05-GroundResIncentive)*'Gr"&amp;"ound Base'!B5)+GroundResidentialFee)*(1+GroundFuelSurcharge),2)))*(1+FedEx_Markup),2)"),16.53)</f>
        <v>16.53</v>
      </c>
      <c r="C10" s="275">
        <f>IFERROR(__xludf.DUMMYFUNCTION("ROUND((IF(SINGLE('Ground Base'!C$154)&gt;ROUND(((1-GroundResDiscount01to05-GroundResIncentive)*'Ground Base'!C5),2),ROUND((SINGLE('Ground Base'!C$154)+GroundResidentialFee)*(1+GroundFuelSurcharge),2),ROUND((((1-GroundResDiscount01to05-GroundResIncentive)*'Gr"&amp;"ound Base'!C5)+GroundResidentialFee)*(1+GroundFuelSurcharge),2)))*(1+FedEx_Markup),2)"),16.53)</f>
        <v>16.53</v>
      </c>
      <c r="D10" s="275">
        <f>IFERROR(__xludf.DUMMYFUNCTION("ROUND((IF(SINGLE('Ground Base'!D$154)&gt;ROUND(((1-GroundResDiscount01to05-GroundResIncentive)*'Ground Base'!D5),2),ROUND((SINGLE('Ground Base'!D$154)+GroundResidentialFee)*(1+GroundFuelSurcharge),2),ROUND((((1-GroundResDiscount01to05-GroundResIncentive)*'Gr"&amp;"ound Base'!D5)+GroundResidentialFee)*(1+GroundFuelSurcharge),2)))*(1+FedEx_Markup),2)"),16.53)</f>
        <v>16.53</v>
      </c>
      <c r="E10" s="275">
        <f>IFERROR(__xludf.DUMMYFUNCTION("ROUND((IF(SINGLE('Ground Base'!E$154)&gt;ROUND(((1-GroundResDiscount01to05-GroundResIncentive)*'Ground Base'!E5),2),ROUND((SINGLE('Ground Base'!E$154)+GroundResidentialFee)*(1+GroundFuelSurcharge),2),ROUND((((1-GroundResDiscount01to05-GroundResIncentive)*'Gr"&amp;"ound Base'!E5)+GroundResidentialFee)*(1+GroundFuelSurcharge),2)))*(1+FedEx_Markup),2)"),16.53)</f>
        <v>16.53</v>
      </c>
      <c r="F10" s="275">
        <f>IFERROR(__xludf.DUMMYFUNCTION("ROUND((IF(SINGLE('Ground Base'!F$154)&gt;ROUND(((1-GroundResDiscount01to05-GroundResIncentive)*'Ground Base'!F5),2),ROUND((SINGLE('Ground Base'!F$154)+GroundResidentialFee)*(1+GroundFuelSurcharge),2),ROUND((((1-GroundResDiscount01to05-GroundResIncentive)*'Gr"&amp;"ound Base'!F5)+GroundResidentialFee)*(1+GroundFuelSurcharge),2)))*(1+FedEx_Markup),2)"),16.53)</f>
        <v>16.53</v>
      </c>
      <c r="G10" s="275">
        <f>IFERROR(__xludf.DUMMYFUNCTION("ROUND((IF(SINGLE('Ground Base'!G$154)&gt;ROUND(((1-GroundResDiscount01to05-GroundResIncentive)*'Ground Base'!G5),2),ROUND((SINGLE('Ground Base'!G$154)+GroundResidentialFee)*(1+GroundFuelSurcharge),2),ROUND((((1-GroundResDiscount01to05-GroundResIncentive)*'Gr"&amp;"ound Base'!G5)+GroundResidentialFee)*(1+GroundFuelSurcharge),2)))*(1+FedEx_Markup),2)"),16.53)</f>
        <v>16.53</v>
      </c>
      <c r="H10" s="275">
        <f>IFERROR(__xludf.DUMMYFUNCTION("ROUND((IF(SINGLE('Ground Base'!H$154)&gt;ROUND(((1-GroundResDiscount01to05-GroundResIncentive)*'Ground Base'!H5),2),ROUND((SINGLE('Ground Base'!H$154)+GroundResidentialFee)*(1+GroundFuelSurcharge),2),ROUND((((1-GroundResDiscount01to05-GroundResIncentive)*'Gr"&amp;"ound Base'!H5)+GroundResidentialFee)*(1+GroundFuelSurcharge),2)))*(1+FedEx_Markup),2)"),16.53)</f>
        <v>16.53</v>
      </c>
      <c r="I10" s="275">
        <f>ROUND((IF('Ground Base'!I$154&gt;ROUND(((1-GroundAKHIDiscount)*'Ground Base'!I5),2),ROUND(('Ground Base'!I$154+GroundResidentialFee)*(1+GroundFuelSurcharge),2),ROUND((((1-GroundAKHIDiscount)*'Ground Base'!I5)+GroundResidentialFee)*(1+GroundFuelSurcharge),2)))*(1+FedEx_Markup),2)</f>
        <v>53.18</v>
      </c>
      <c r="J10" s="275">
        <f>ROUND((IF('Ground Base'!J$154&gt;ROUND(((1-GroundAKHIDiscount)*'Ground Base'!J5),2),ROUND(('Ground Base'!J$154+GroundResidentialFee)*(1+GroundFuelSurcharge),2),ROUND((((1-GroundAKHIDiscount)*'Ground Base'!J5)+GroundResidentialFee)*(1+GroundFuelSurcharge),2)))*(1+FedEx_Markup),2)</f>
        <v>53.18</v>
      </c>
      <c r="K10" s="275">
        <f>ROUND((IF('Ground Base'!K$154&gt;ROUND(((1-GroundZone51Discount)*'Ground Base'!K5),2),ROUND(('Ground Base'!K$154+GroundResidentialFee)*(1+GroundFuelSurcharge),2),ROUND((((1-GroundZone51Discount)*'Ground Base'!K5)+GroundResidentialFee)*(1+GroundFuelSurcharge),2)))*(1+FedEx_Markup),2)</f>
        <v>32.64</v>
      </c>
      <c r="L10" s="275">
        <f>ROUND((IF('Ground Base'!L$154&gt;ROUND(((1-GroundZone54Discount)*'Ground Base'!L5),2),ROUND(('Ground Base'!L$154+GroundResidentialFee)*(1+GroundFuelSurcharge),2),ROUND((((1-GroundZone54Discount)*'Ground Base'!L5)+GroundResidentialFee)*(1+GroundFuelSurcharge),2)))*(1+FedEx_Markup),2)</f>
        <v>40.41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274">
        <v>4.0</v>
      </c>
      <c r="B11" s="275">
        <f>IFERROR(__xludf.DUMMYFUNCTION("ROUND((IF(SINGLE('Ground Base'!B$154)&gt;ROUND(((1-GroundResDiscount01to05-GroundResIncentive)*'Ground Base'!B6),2),ROUND((SINGLE('Ground Base'!B$154)+GroundResidentialFee)*(1+GroundFuelSurcharge),2),ROUND((((1-GroundResDiscount01to05-GroundResIncentive)*'Gr"&amp;"ound Base'!B6)+GroundResidentialFee)*(1+GroundFuelSurcharge),2)))*(1+FedEx_Markup),2)"),16.53)</f>
        <v>16.53</v>
      </c>
      <c r="C11" s="275">
        <f>IFERROR(__xludf.DUMMYFUNCTION("ROUND((IF(SINGLE('Ground Base'!C$154)&gt;ROUND(((1-GroundResDiscount01to05-GroundResIncentive)*'Ground Base'!C6),2),ROUND((SINGLE('Ground Base'!C$154)+GroundResidentialFee)*(1+GroundFuelSurcharge),2),ROUND((((1-GroundResDiscount01to05-GroundResIncentive)*'Gr"&amp;"ound Base'!C6)+GroundResidentialFee)*(1+GroundFuelSurcharge),2)))*(1+FedEx_Markup),2)"),16.53)</f>
        <v>16.53</v>
      </c>
      <c r="D11" s="275">
        <f>IFERROR(__xludf.DUMMYFUNCTION("ROUND((IF(SINGLE('Ground Base'!D$154)&gt;ROUND(((1-GroundResDiscount01to05-GroundResIncentive)*'Ground Base'!D6),2),ROUND((SINGLE('Ground Base'!D$154)+GroundResidentialFee)*(1+GroundFuelSurcharge),2),ROUND((((1-GroundResDiscount01to05-GroundResIncentive)*'Gr"&amp;"ound Base'!D6)+GroundResidentialFee)*(1+GroundFuelSurcharge),2)))*(1+FedEx_Markup),2)"),16.53)</f>
        <v>16.53</v>
      </c>
      <c r="E11" s="275">
        <f>IFERROR(__xludf.DUMMYFUNCTION("ROUND((IF(SINGLE('Ground Base'!E$154)&gt;ROUND(((1-GroundResDiscount01to05-GroundResIncentive)*'Ground Base'!E6),2),ROUND((SINGLE('Ground Base'!E$154)+GroundResidentialFee)*(1+GroundFuelSurcharge),2),ROUND((((1-GroundResDiscount01to05-GroundResIncentive)*'Gr"&amp;"ound Base'!E6)+GroundResidentialFee)*(1+GroundFuelSurcharge),2)))*(1+FedEx_Markup),2)"),16.53)</f>
        <v>16.53</v>
      </c>
      <c r="F11" s="275">
        <f>IFERROR(__xludf.DUMMYFUNCTION("ROUND((IF(SINGLE('Ground Base'!F$154)&gt;ROUND(((1-GroundResDiscount01to05-GroundResIncentive)*'Ground Base'!F6),2),ROUND((SINGLE('Ground Base'!F$154)+GroundResidentialFee)*(1+GroundFuelSurcharge),2),ROUND((((1-GroundResDiscount01to05-GroundResIncentive)*'Gr"&amp;"ound Base'!F6)+GroundResidentialFee)*(1+GroundFuelSurcharge),2)))*(1+FedEx_Markup),2)"),16.53)</f>
        <v>16.53</v>
      </c>
      <c r="G11" s="275">
        <f>IFERROR(__xludf.DUMMYFUNCTION("ROUND((IF(SINGLE('Ground Base'!G$154)&gt;ROUND(((1-GroundResDiscount01to05-GroundResIncentive)*'Ground Base'!G6),2),ROUND((SINGLE('Ground Base'!G$154)+GroundResidentialFee)*(1+GroundFuelSurcharge),2),ROUND((((1-GroundResDiscount01to05-GroundResIncentive)*'Gr"&amp;"ound Base'!G6)+GroundResidentialFee)*(1+GroundFuelSurcharge),2)))*(1+FedEx_Markup),2)"),16.53)</f>
        <v>16.53</v>
      </c>
      <c r="H11" s="275">
        <f>IFERROR(__xludf.DUMMYFUNCTION("ROUND((IF(SINGLE('Ground Base'!H$154)&gt;ROUND(((1-GroundResDiscount01to05-GroundResIncentive)*'Ground Base'!H6),2),ROUND((SINGLE('Ground Base'!H$154)+GroundResidentialFee)*(1+GroundFuelSurcharge),2),ROUND((((1-GroundResDiscount01to05-GroundResIncentive)*'Gr"&amp;"ound Base'!H6)+GroundResidentialFee)*(1+GroundFuelSurcharge),2)))*(1+FedEx_Markup),2)"),16.77)</f>
        <v>16.77</v>
      </c>
      <c r="I11" s="275">
        <f>ROUND((IF('Ground Base'!I$154&gt;ROUND(((1-GroundAKHIDiscount)*'Ground Base'!I6),2),ROUND(('Ground Base'!I$154+GroundResidentialFee)*(1+GroundFuelSurcharge),2),ROUND((((1-GroundAKHIDiscount)*'Ground Base'!I6)+GroundResidentialFee)*(1+GroundFuelSurcharge),2)))*(1+FedEx_Markup),2)</f>
        <v>58.11</v>
      </c>
      <c r="J11" s="275">
        <f>ROUND((IF('Ground Base'!J$154&gt;ROUND(((1-GroundAKHIDiscount)*'Ground Base'!J6),2),ROUND(('Ground Base'!J$154+GroundResidentialFee)*(1+GroundFuelSurcharge),2),ROUND((((1-GroundAKHIDiscount)*'Ground Base'!J6)+GroundResidentialFee)*(1+GroundFuelSurcharge),2)))*(1+FedEx_Markup),2)</f>
        <v>58.11</v>
      </c>
      <c r="K11" s="275">
        <f>ROUND((IF('Ground Base'!K$154&gt;ROUND(((1-GroundZone51Discount)*'Ground Base'!K6),2),ROUND(('Ground Base'!K$154+GroundResidentialFee)*(1+GroundFuelSurcharge),2),ROUND((((1-GroundZone51Discount)*'Ground Base'!K6)+GroundResidentialFee)*(1+GroundFuelSurcharge),2)))*(1+FedEx_Markup),2)</f>
        <v>32.64</v>
      </c>
      <c r="L11" s="275">
        <f>ROUND((IF('Ground Base'!L$154&gt;ROUND(((1-GroundZone54Discount)*'Ground Base'!L6),2),ROUND(('Ground Base'!L$154+GroundResidentialFee)*(1+GroundFuelSurcharge),2),ROUND((((1-GroundZone54Discount)*'Ground Base'!L6)+GroundResidentialFee)*(1+GroundFuelSurcharge),2)))*(1+FedEx_Markup),2)</f>
        <v>40.41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4">
        <v>5.0</v>
      </c>
      <c r="B12" s="275">
        <f>IFERROR(__xludf.DUMMYFUNCTION("ROUND((IF(SINGLE('Ground Base'!B$154)&gt;ROUND(((1-GroundResDiscount01to05-GroundResIncentive)*'Ground Base'!B7),2),ROUND((SINGLE('Ground Base'!B$154)+GroundResidentialFee)*(1+GroundFuelSurcharge),2),ROUND((((1-GroundResDiscount01to05-GroundResIncentive)*'Gr"&amp;"ound Base'!B7)+GroundResidentialFee)*(1+GroundFuelSurcharge),2)))*(1+FedEx_Markup),2)"),16.53)</f>
        <v>16.53</v>
      </c>
      <c r="C12" s="275">
        <f>IFERROR(__xludf.DUMMYFUNCTION("ROUND((IF(SINGLE('Ground Base'!C$154)&gt;ROUND(((1-GroundResDiscount01to05-GroundResIncentive)*'Ground Base'!C7),2),ROUND((SINGLE('Ground Base'!C$154)+GroundResidentialFee)*(1+GroundFuelSurcharge),2),ROUND((((1-GroundResDiscount01to05-GroundResIncentive)*'Gr"&amp;"ound Base'!C7)+GroundResidentialFee)*(1+GroundFuelSurcharge),2)))*(1+FedEx_Markup),2)"),16.53)</f>
        <v>16.53</v>
      </c>
      <c r="D12" s="275">
        <f>IFERROR(__xludf.DUMMYFUNCTION("ROUND((IF(SINGLE('Ground Base'!D$154)&gt;ROUND(((1-GroundResDiscount01to05-GroundResIncentive)*'Ground Base'!D7),2),ROUND((SINGLE('Ground Base'!D$154)+GroundResidentialFee)*(1+GroundFuelSurcharge),2),ROUND((((1-GroundResDiscount01to05-GroundResIncentive)*'Gr"&amp;"ound Base'!D7)+GroundResidentialFee)*(1+GroundFuelSurcharge),2)))*(1+FedEx_Markup),2)"),16.53)</f>
        <v>16.53</v>
      </c>
      <c r="E12" s="275">
        <f>IFERROR(__xludf.DUMMYFUNCTION("ROUND((IF(SINGLE('Ground Base'!E$154)&gt;ROUND(((1-GroundResDiscount01to05-GroundResIncentive)*'Ground Base'!E7),2),ROUND((SINGLE('Ground Base'!E$154)+GroundResidentialFee)*(1+GroundFuelSurcharge),2),ROUND((((1-GroundResDiscount01to05-GroundResIncentive)*'Gr"&amp;"ound Base'!E7)+GroundResidentialFee)*(1+GroundFuelSurcharge),2)))*(1+FedEx_Markup),2)"),16.53)</f>
        <v>16.53</v>
      </c>
      <c r="F12" s="275">
        <f>IFERROR(__xludf.DUMMYFUNCTION("ROUND((IF(SINGLE('Ground Base'!F$154)&gt;ROUND(((1-GroundResDiscount01to05-GroundResIncentive)*'Ground Base'!F7),2),ROUND((SINGLE('Ground Base'!F$154)+GroundResidentialFee)*(1+GroundFuelSurcharge),2),ROUND((((1-GroundResDiscount01to05-GroundResIncentive)*'Gr"&amp;"ound Base'!F7)+GroundResidentialFee)*(1+GroundFuelSurcharge),2)))*(1+FedEx_Markup),2)"),16.53)</f>
        <v>16.53</v>
      </c>
      <c r="G12" s="275">
        <f>IFERROR(__xludf.DUMMYFUNCTION("ROUND((IF(SINGLE('Ground Base'!G$154)&gt;ROUND(((1-GroundResDiscount01to05-GroundResIncentive)*'Ground Base'!G7),2),ROUND((SINGLE('Ground Base'!G$154)+GroundResidentialFee)*(1+GroundFuelSurcharge),2),ROUND((((1-GroundResDiscount01to05-GroundResIncentive)*'Gr"&amp;"ound Base'!G7)+GroundResidentialFee)*(1+GroundFuelSurcharge),2)))*(1+FedEx_Markup),2)"),16.76)</f>
        <v>16.76</v>
      </c>
      <c r="H12" s="275">
        <f>IFERROR(__xludf.DUMMYFUNCTION("ROUND((IF(SINGLE('Ground Base'!H$154)&gt;ROUND(((1-GroundResDiscount01to05-GroundResIncentive)*'Ground Base'!H7),2),ROUND((SINGLE('Ground Base'!H$154)+GroundResidentialFee)*(1+GroundFuelSurcharge),2),ROUND((((1-GroundResDiscount01to05-GroundResIncentive)*'Gr"&amp;"ound Base'!H7)+GroundResidentialFee)*(1+GroundFuelSurcharge),2)))*(1+FedEx_Markup),2)"),17.58)</f>
        <v>17.58</v>
      </c>
      <c r="I12" s="275">
        <f>ROUND((IF('Ground Base'!I$154&gt;ROUND(((1-GroundAKHIDiscount)*'Ground Base'!I7),2),ROUND(('Ground Base'!I$154+GroundResidentialFee)*(1+GroundFuelSurcharge),2),ROUND((((1-GroundAKHIDiscount)*'Ground Base'!I7)+GroundResidentialFee)*(1+GroundFuelSurcharge),2)))*(1+FedEx_Markup),2)</f>
        <v>62.74</v>
      </c>
      <c r="J12" s="275">
        <f>ROUND((IF('Ground Base'!J$154&gt;ROUND(((1-GroundAKHIDiscount)*'Ground Base'!J7),2),ROUND(('Ground Base'!J$154+GroundResidentialFee)*(1+GroundFuelSurcharge),2),ROUND((((1-GroundAKHIDiscount)*'Ground Base'!J7)+GroundResidentialFee)*(1+GroundFuelSurcharge),2)))*(1+FedEx_Markup),2)</f>
        <v>62.74</v>
      </c>
      <c r="K12" s="275">
        <f>ROUND((IF('Ground Base'!K$154&gt;ROUND(((1-GroundZone51Discount)*'Ground Base'!K7),2),ROUND(('Ground Base'!K$154+GroundResidentialFee)*(1+GroundFuelSurcharge),2),ROUND((((1-GroundZone51Discount)*'Ground Base'!K7)+GroundResidentialFee)*(1+GroundFuelSurcharge),2)))*(1+FedEx_Markup),2)</f>
        <v>32.64</v>
      </c>
      <c r="L12" s="275">
        <f>ROUND((IF('Ground Base'!L$154&gt;ROUND(((1-GroundZone54Discount)*'Ground Base'!L7),2),ROUND(('Ground Base'!L$154+GroundResidentialFee)*(1+GroundFuelSurcharge),2),ROUND((((1-GroundZone54Discount)*'Ground Base'!L7)+GroundResidentialFee)*(1+GroundFuelSurcharge),2)))*(1+FedEx_Markup),2)</f>
        <v>40.41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274">
        <v>6.0</v>
      </c>
      <c r="B13" s="275">
        <f>IFERROR(__xludf.DUMMYFUNCTION("ROUND((IF(SINGLE('Ground Base'!B$154)&gt;ROUND(((1-GroundResDiscount06to10-GroundResIncentive)*'Ground Base'!B8),2),ROUND((SINGLE('Ground Base'!B$154)+GroundResidentialFee)*(1+GroundFuelSurcharge),2),ROUND((((1-GroundResDiscount06to10-GroundResIncentive)*'Gr"&amp;"ound Base'!B8)+GroundResidentialFee)*(1+GroundFuelSurcharge),2)))*(1+FedEx_Markup),2)"),16.53)</f>
        <v>16.53</v>
      </c>
      <c r="C13" s="275">
        <f>IFERROR(__xludf.DUMMYFUNCTION("ROUND((IF(SINGLE('Ground Base'!C$154)&gt;ROUND(((1-GroundResDiscount06to10-GroundResIncentive)*'Ground Base'!C8),2),ROUND((SINGLE('Ground Base'!C$154)+GroundResidentialFee)*(1+GroundFuelSurcharge),2),ROUND((((1-GroundResDiscount06to10-GroundResIncentive)*'Gr"&amp;"ound Base'!C8)+GroundResidentialFee)*(1+GroundFuelSurcharge),2)))*(1+FedEx_Markup),2)"),16.53)</f>
        <v>16.53</v>
      </c>
      <c r="D13" s="275">
        <f>IFERROR(__xludf.DUMMYFUNCTION("ROUND((IF(SINGLE('Ground Base'!D$154)&gt;ROUND(((1-GroundResDiscount06to10-GroundResIncentive)*'Ground Base'!D8),2),ROUND((SINGLE('Ground Base'!D$154)+GroundResidentialFee)*(1+GroundFuelSurcharge),2),ROUND((((1-GroundResDiscount06to10-GroundResIncentive)*'Gr"&amp;"ound Base'!D8)+GroundResidentialFee)*(1+GroundFuelSurcharge),2)))*(1+FedEx_Markup),2)"),16.53)</f>
        <v>16.53</v>
      </c>
      <c r="E13" s="275">
        <f>IFERROR(__xludf.DUMMYFUNCTION("ROUND((IF(SINGLE('Ground Base'!E$154)&gt;ROUND(((1-GroundResDiscount06to10-GroundResIncentive)*'Ground Base'!E8),2),ROUND((SINGLE('Ground Base'!E$154)+GroundResidentialFee)*(1+GroundFuelSurcharge),2),ROUND((((1-GroundResDiscount06to10-GroundResIncentive)*'Gr"&amp;"ound Base'!E8)+GroundResidentialFee)*(1+GroundFuelSurcharge),2)))*(1+FedEx_Markup),2)"),16.53)</f>
        <v>16.53</v>
      </c>
      <c r="F13" s="275">
        <f>IFERROR(__xludf.DUMMYFUNCTION("ROUND((IF(SINGLE('Ground Base'!F$154)&gt;ROUND(((1-GroundResDiscount06to10-GroundResIncentive)*'Ground Base'!F8),2),ROUND((SINGLE('Ground Base'!F$154)+GroundResidentialFee)*(1+GroundFuelSurcharge),2),ROUND((((1-GroundResDiscount06to10-GroundResIncentive)*'Gr"&amp;"ound Base'!F8)+GroundResidentialFee)*(1+GroundFuelSurcharge),2)))*(1+FedEx_Markup),2)"),16.53)</f>
        <v>16.53</v>
      </c>
      <c r="G13" s="275">
        <f>IFERROR(__xludf.DUMMYFUNCTION("ROUND((IF(SINGLE('Ground Base'!G$154)&gt;ROUND(((1-GroundResDiscount06to10-GroundResIncentive)*'Ground Base'!G8),2),ROUND((SINGLE('Ground Base'!G$154)+GroundResidentialFee)*(1+GroundFuelSurcharge),2),ROUND((((1-GroundResDiscount06to10-GroundResIncentive)*'Gr"&amp;"ound Base'!G8)+GroundResidentialFee)*(1+GroundFuelSurcharge),2)))*(1+FedEx_Markup),2)"),16.53)</f>
        <v>16.53</v>
      </c>
      <c r="H13" s="275">
        <f>IFERROR(__xludf.DUMMYFUNCTION("ROUND((IF(SINGLE('Ground Base'!H$154)&gt;ROUND(((1-GroundResDiscount06to10-GroundResIncentive)*'Ground Base'!H8),2),ROUND((SINGLE('Ground Base'!H$154)+GroundResidentialFee)*(1+GroundFuelSurcharge),2),ROUND((((1-GroundResDiscount06to10-GroundResIncentive)*'Gr"&amp;"ound Base'!H8)+GroundResidentialFee)*(1+GroundFuelSurcharge),2)))*(1+FedEx_Markup),2)"),17.04)</f>
        <v>17.04</v>
      </c>
      <c r="I13" s="275">
        <f>ROUND((IF('Ground Base'!I$154&gt;ROUND(((1-GroundAKHIDiscount)*'Ground Base'!I8),2),ROUND(('Ground Base'!I$154+GroundResidentialFee)*(1+GroundFuelSurcharge),2),ROUND((((1-GroundAKHIDiscount)*'Ground Base'!I8)+GroundResidentialFee)*(1+GroundFuelSurcharge),2)))*(1+FedEx_Markup),2)</f>
        <v>67.49</v>
      </c>
      <c r="J13" s="275">
        <f>ROUND((IF('Ground Base'!J$154&gt;ROUND(((1-GroundAKHIDiscount)*'Ground Base'!J8),2),ROUND(('Ground Base'!J$154+GroundResidentialFee)*(1+GroundFuelSurcharge),2),ROUND((((1-GroundAKHIDiscount)*'Ground Base'!J8)+GroundResidentialFee)*(1+GroundFuelSurcharge),2)))*(1+FedEx_Markup),2)</f>
        <v>67.49</v>
      </c>
      <c r="K13" s="275">
        <f>ROUND((IF('Ground Base'!K$154&gt;ROUND(((1-GroundZone51Discount)*'Ground Base'!K8),2),ROUND(('Ground Base'!K$154+GroundResidentialFee)*(1+GroundFuelSurcharge),2),ROUND((((1-GroundZone51Discount)*'Ground Base'!K8)+GroundResidentialFee)*(1+GroundFuelSurcharge),2)))*(1+FedEx_Markup),2)</f>
        <v>32.64</v>
      </c>
      <c r="L13" s="275">
        <f>ROUND((IF('Ground Base'!L$154&gt;ROUND(((1-GroundZone54Discount)*'Ground Base'!L8),2),ROUND(('Ground Base'!L$154+GroundResidentialFee)*(1+GroundFuelSurcharge),2),ROUND((((1-GroundZone54Discount)*'Ground Base'!L8)+GroundResidentialFee)*(1+GroundFuelSurcharge),2)))*(1+FedEx_Markup),2)</f>
        <v>40.41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274">
        <v>7.0</v>
      </c>
      <c r="B14" s="275">
        <f>IFERROR(__xludf.DUMMYFUNCTION("ROUND((IF(SINGLE('Ground Base'!B$154)&gt;ROUND(((1-GroundResDiscount06to10-GroundResIncentive)*'Ground Base'!B9),2),ROUND((SINGLE('Ground Base'!B$154)+GroundResidentialFee)*(1+GroundFuelSurcharge),2),ROUND((((1-GroundResDiscount06to10-GroundResIncentive)*'Gr"&amp;"ound Base'!B9)+GroundResidentialFee)*(1+GroundFuelSurcharge),2)))*(1+FedEx_Markup),2)"),16.53)</f>
        <v>16.53</v>
      </c>
      <c r="C14" s="275">
        <f>IFERROR(__xludf.DUMMYFUNCTION("ROUND((IF(SINGLE('Ground Base'!C$154)&gt;ROUND(((1-GroundResDiscount06to10-GroundResIncentive)*'Ground Base'!C9),2),ROUND((SINGLE('Ground Base'!C$154)+GroundResidentialFee)*(1+GroundFuelSurcharge),2),ROUND((((1-GroundResDiscount06to10-GroundResIncentive)*'Gr"&amp;"ound Base'!C9)+GroundResidentialFee)*(1+GroundFuelSurcharge),2)))*(1+FedEx_Markup),2)"),16.53)</f>
        <v>16.53</v>
      </c>
      <c r="D14" s="275">
        <f>IFERROR(__xludf.DUMMYFUNCTION("ROUND((IF(SINGLE('Ground Base'!D$154)&gt;ROUND(((1-GroundResDiscount06to10-GroundResIncentive)*'Ground Base'!D9),2),ROUND((SINGLE('Ground Base'!D$154)+GroundResidentialFee)*(1+GroundFuelSurcharge),2),ROUND((((1-GroundResDiscount06to10-GroundResIncentive)*'Gr"&amp;"ound Base'!D9)+GroundResidentialFee)*(1+GroundFuelSurcharge),2)))*(1+FedEx_Markup),2)"),16.53)</f>
        <v>16.53</v>
      </c>
      <c r="E14" s="275">
        <f>IFERROR(__xludf.DUMMYFUNCTION("ROUND((IF(SINGLE('Ground Base'!E$154)&gt;ROUND(((1-GroundResDiscount06to10-GroundResIncentive)*'Ground Base'!E9),2),ROUND((SINGLE('Ground Base'!E$154)+GroundResidentialFee)*(1+GroundFuelSurcharge),2),ROUND((((1-GroundResDiscount06to10-GroundResIncentive)*'Gr"&amp;"ound Base'!E9)+GroundResidentialFee)*(1+GroundFuelSurcharge),2)))*(1+FedEx_Markup),2)"),16.53)</f>
        <v>16.53</v>
      </c>
      <c r="F14" s="275">
        <f>IFERROR(__xludf.DUMMYFUNCTION("ROUND((IF(SINGLE('Ground Base'!F$154)&gt;ROUND(((1-GroundResDiscount06to10-GroundResIncentive)*'Ground Base'!F9),2),ROUND((SINGLE('Ground Base'!F$154)+GroundResidentialFee)*(1+GroundFuelSurcharge),2),ROUND((((1-GroundResDiscount06to10-GroundResIncentive)*'Gr"&amp;"ound Base'!F9)+GroundResidentialFee)*(1+GroundFuelSurcharge),2)))*(1+FedEx_Markup),2)"),16.53)</f>
        <v>16.53</v>
      </c>
      <c r="G14" s="275">
        <f>IFERROR(__xludf.DUMMYFUNCTION("ROUND((IF(SINGLE('Ground Base'!G$154)&gt;ROUND(((1-GroundResDiscount06to10-GroundResIncentive)*'Ground Base'!G9),2),ROUND((SINGLE('Ground Base'!G$154)+GroundResidentialFee)*(1+GroundFuelSurcharge),2),ROUND((((1-GroundResDiscount06to10-GroundResIncentive)*'Gr"&amp;"ound Base'!G9)+GroundResidentialFee)*(1+GroundFuelSurcharge),2)))*(1+FedEx_Markup),2)"),16.61)</f>
        <v>16.61</v>
      </c>
      <c r="H14" s="275">
        <f>IFERROR(__xludf.DUMMYFUNCTION("ROUND((IF(SINGLE('Ground Base'!H$154)&gt;ROUND(((1-GroundResDiscount06to10-GroundResIncentive)*'Ground Base'!H9),2),ROUND((SINGLE('Ground Base'!H$154)+GroundResidentialFee)*(1+GroundFuelSurcharge),2),ROUND((((1-GroundResDiscount06to10-GroundResIncentive)*'Gr"&amp;"ound Base'!H9)+GroundResidentialFee)*(1+GroundFuelSurcharge),2)))*(1+FedEx_Markup),2)"),17.57)</f>
        <v>17.57</v>
      </c>
      <c r="I14" s="275">
        <f>ROUND((IF('Ground Base'!I$154&gt;ROUND(((1-GroundAKHIDiscount)*'Ground Base'!I9),2),ROUND(('Ground Base'!I$154+GroundResidentialFee)*(1+GroundFuelSurcharge),2),ROUND((((1-GroundAKHIDiscount)*'Ground Base'!I9)+GroundResidentialFee)*(1+GroundFuelSurcharge),2)))*(1+FedEx_Markup),2)</f>
        <v>71.86</v>
      </c>
      <c r="J14" s="275">
        <f>ROUND((IF('Ground Base'!J$154&gt;ROUND(((1-GroundAKHIDiscount)*'Ground Base'!J9),2),ROUND(('Ground Base'!J$154+GroundResidentialFee)*(1+GroundFuelSurcharge),2),ROUND((((1-GroundAKHIDiscount)*'Ground Base'!J9)+GroundResidentialFee)*(1+GroundFuelSurcharge),2)))*(1+FedEx_Markup),2)</f>
        <v>71.86</v>
      </c>
      <c r="K14" s="275">
        <f>ROUND((IF('Ground Base'!K$154&gt;ROUND(((1-GroundZone51Discount)*'Ground Base'!K9),2),ROUND(('Ground Base'!K$154+GroundResidentialFee)*(1+GroundFuelSurcharge),2),ROUND((((1-GroundZone51Discount)*'Ground Base'!K9)+GroundResidentialFee)*(1+GroundFuelSurcharge),2)))*(1+FedEx_Markup),2)</f>
        <v>32.64</v>
      </c>
      <c r="L14" s="275">
        <f>ROUND((IF('Ground Base'!L$154&gt;ROUND(((1-GroundZone54Discount)*'Ground Base'!L9),2),ROUND(('Ground Base'!L$154+GroundResidentialFee)*(1+GroundFuelSurcharge),2),ROUND((((1-GroundZone54Discount)*'Ground Base'!L9)+GroundResidentialFee)*(1+GroundFuelSurcharge),2)))*(1+FedEx_Markup),2)</f>
        <v>40.41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274">
        <v>8.0</v>
      </c>
      <c r="B15" s="275">
        <f>IFERROR(__xludf.DUMMYFUNCTION("ROUND((IF(SINGLE('Ground Base'!B$154)&gt;ROUND(((1-GroundResDiscount06to10-GroundResIncentive)*'Ground Base'!B10),2),ROUND((SINGLE('Ground Base'!B$154)+GroundResidentialFee)*(1+GroundFuelSurcharge),2),ROUND((((1-GroundResDiscount06to10-GroundResIncentive)*'G"&amp;"round Base'!B10)+GroundResidentialFee)*(1+GroundFuelSurcharge),2)))*(1+FedEx_Markup),2)"),16.53)</f>
        <v>16.53</v>
      </c>
      <c r="C15" s="275">
        <f>IFERROR(__xludf.DUMMYFUNCTION("ROUND((IF(SINGLE('Ground Base'!C$154)&gt;ROUND(((1-GroundResDiscount06to10-GroundResIncentive)*'Ground Base'!C10),2),ROUND((SINGLE('Ground Base'!C$154)+GroundResidentialFee)*(1+GroundFuelSurcharge),2),ROUND((((1-GroundResDiscount06to10-GroundResIncentive)*'G"&amp;"round Base'!C10)+GroundResidentialFee)*(1+GroundFuelSurcharge),2)))*(1+FedEx_Markup),2)"),16.53)</f>
        <v>16.53</v>
      </c>
      <c r="D15" s="275">
        <f>IFERROR(__xludf.DUMMYFUNCTION("ROUND((IF(SINGLE('Ground Base'!D$154)&gt;ROUND(((1-GroundResDiscount06to10-GroundResIncentive)*'Ground Base'!D10),2),ROUND((SINGLE('Ground Base'!D$154)+GroundResidentialFee)*(1+GroundFuelSurcharge),2),ROUND((((1-GroundResDiscount06to10-GroundResIncentive)*'G"&amp;"round Base'!D10)+GroundResidentialFee)*(1+GroundFuelSurcharge),2)))*(1+FedEx_Markup),2)"),16.53)</f>
        <v>16.53</v>
      </c>
      <c r="E15" s="275">
        <f>IFERROR(__xludf.DUMMYFUNCTION("ROUND((IF(SINGLE('Ground Base'!E$154)&gt;ROUND(((1-GroundResDiscount06to10-GroundResIncentive)*'Ground Base'!E10),2),ROUND((SINGLE('Ground Base'!E$154)+GroundResidentialFee)*(1+GroundFuelSurcharge),2),ROUND((((1-GroundResDiscount06to10-GroundResIncentive)*'G"&amp;"round Base'!E10)+GroundResidentialFee)*(1+GroundFuelSurcharge),2)))*(1+FedEx_Markup),2)"),16.53)</f>
        <v>16.53</v>
      </c>
      <c r="F15" s="275">
        <f>IFERROR(__xludf.DUMMYFUNCTION("ROUND((IF(SINGLE('Ground Base'!F$154)&gt;ROUND(((1-GroundResDiscount06to10-GroundResIncentive)*'Ground Base'!F10),2),ROUND((SINGLE('Ground Base'!F$154)+GroundResidentialFee)*(1+GroundFuelSurcharge),2),ROUND((((1-GroundResDiscount06to10-GroundResIncentive)*'G"&amp;"round Base'!F10)+GroundResidentialFee)*(1+GroundFuelSurcharge),2)))*(1+FedEx_Markup),2)"),16.53)</f>
        <v>16.53</v>
      </c>
      <c r="G15" s="275">
        <f>IFERROR(__xludf.DUMMYFUNCTION("ROUND((IF(SINGLE('Ground Base'!G$154)&gt;ROUND(((1-GroundResDiscount06to10-GroundResIncentive)*'Ground Base'!G10),2),ROUND((SINGLE('Ground Base'!G$154)+GroundResidentialFee)*(1+GroundFuelSurcharge),2),ROUND((((1-GroundResDiscount06to10-GroundResIncentive)*'G"&amp;"round Base'!G10)+GroundResidentialFee)*(1+GroundFuelSurcharge),2)))*(1+FedEx_Markup),2)"),17.16)</f>
        <v>17.16</v>
      </c>
      <c r="H15" s="275">
        <f>IFERROR(__xludf.DUMMYFUNCTION("ROUND((IF(SINGLE('Ground Base'!H$154)&gt;ROUND(((1-GroundResDiscount06to10-GroundResIncentive)*'Ground Base'!H10),2),ROUND((SINGLE('Ground Base'!H$154)+GroundResidentialFee)*(1+GroundFuelSurcharge),2),ROUND((((1-GroundResDiscount06to10-GroundResIncentive)*'G"&amp;"round Base'!H10)+GroundResidentialFee)*(1+GroundFuelSurcharge),2)))*(1+FedEx_Markup),2)"),18.22)</f>
        <v>18.22</v>
      </c>
      <c r="I15" s="275">
        <f>ROUND((IF('Ground Base'!I$154&gt;ROUND(((1-GroundAKHIDiscount)*'Ground Base'!I10),2),ROUND(('Ground Base'!I$154+GroundResidentialFee)*(1+GroundFuelSurcharge),2),ROUND((((1-GroundAKHIDiscount)*'Ground Base'!I10)+GroundResidentialFee)*(1+GroundFuelSurcharge),2)))*(1+FedEx_Markup),2)</f>
        <v>74.57</v>
      </c>
      <c r="J15" s="275">
        <f>ROUND((IF('Ground Base'!J$154&gt;ROUND(((1-GroundAKHIDiscount)*'Ground Base'!J10),2),ROUND(('Ground Base'!J$154+GroundResidentialFee)*(1+GroundFuelSurcharge),2),ROUND((((1-GroundAKHIDiscount)*'Ground Base'!J10)+GroundResidentialFee)*(1+GroundFuelSurcharge),2)))*(1+FedEx_Markup),2)</f>
        <v>74.57</v>
      </c>
      <c r="K15" s="275">
        <f>ROUND((IF('Ground Base'!K$154&gt;ROUND(((1-GroundZone51Discount)*'Ground Base'!K10),2),ROUND(('Ground Base'!K$154+GroundResidentialFee)*(1+GroundFuelSurcharge),2),ROUND((((1-GroundZone51Discount)*'Ground Base'!K10)+GroundResidentialFee)*(1+GroundFuelSurcharge),2)))*(1+FedEx_Markup),2)</f>
        <v>32.64</v>
      </c>
      <c r="L15" s="275">
        <f>ROUND((IF('Ground Base'!L$154&gt;ROUND(((1-GroundZone54Discount)*'Ground Base'!L10),2),ROUND(('Ground Base'!L$154+GroundResidentialFee)*(1+GroundFuelSurcharge),2),ROUND((((1-GroundZone54Discount)*'Ground Base'!L10)+GroundResidentialFee)*(1+GroundFuelSurcharge),2)))*(1+FedEx_Markup),2)</f>
        <v>40.41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274">
        <v>9.0</v>
      </c>
      <c r="B16" s="275">
        <f>IFERROR(__xludf.DUMMYFUNCTION("ROUND((IF(SINGLE('Ground Base'!B$154)&gt;ROUND(((1-GroundResDiscount06to10-GroundResIncentive)*'Ground Base'!B11),2),ROUND((SINGLE('Ground Base'!B$154)+GroundResidentialFee)*(1+GroundFuelSurcharge),2),ROUND((((1-GroundResDiscount06to10-GroundResIncentive)*'G"&amp;"round Base'!B11)+GroundResidentialFee)*(1+GroundFuelSurcharge),2)))*(1+FedEx_Markup),2)"),16.53)</f>
        <v>16.53</v>
      </c>
      <c r="C16" s="275">
        <f>IFERROR(__xludf.DUMMYFUNCTION("ROUND((IF(SINGLE('Ground Base'!C$154)&gt;ROUND(((1-GroundResDiscount06to10-GroundResIncentive)*'Ground Base'!C11),2),ROUND((SINGLE('Ground Base'!C$154)+GroundResidentialFee)*(1+GroundFuelSurcharge),2),ROUND((((1-GroundResDiscount06to10-GroundResIncentive)*'G"&amp;"round Base'!C11)+GroundResidentialFee)*(1+GroundFuelSurcharge),2)))*(1+FedEx_Markup),2)"),16.53)</f>
        <v>16.53</v>
      </c>
      <c r="D16" s="275">
        <f>IFERROR(__xludf.DUMMYFUNCTION("ROUND((IF(SINGLE('Ground Base'!D$154)&gt;ROUND(((1-GroundResDiscount06to10-GroundResIncentive)*'Ground Base'!D11),2),ROUND((SINGLE('Ground Base'!D$154)+GroundResidentialFee)*(1+GroundFuelSurcharge),2),ROUND((((1-GroundResDiscount06to10-GroundResIncentive)*'G"&amp;"round Base'!D11)+GroundResidentialFee)*(1+GroundFuelSurcharge),2)))*(1+FedEx_Markup),2)"),16.53)</f>
        <v>16.53</v>
      </c>
      <c r="E16" s="275">
        <f>IFERROR(__xludf.DUMMYFUNCTION("ROUND((IF(SINGLE('Ground Base'!E$154)&gt;ROUND(((1-GroundResDiscount06to10-GroundResIncentive)*'Ground Base'!E11),2),ROUND((SINGLE('Ground Base'!E$154)+GroundResidentialFee)*(1+GroundFuelSurcharge),2),ROUND((((1-GroundResDiscount06to10-GroundResIncentive)*'G"&amp;"round Base'!E11)+GroundResidentialFee)*(1+GroundFuelSurcharge),2)))*(1+FedEx_Markup),2)"),16.53)</f>
        <v>16.53</v>
      </c>
      <c r="F16" s="275">
        <f>IFERROR(__xludf.DUMMYFUNCTION("ROUND((IF(SINGLE('Ground Base'!F$154)&gt;ROUND(((1-GroundResDiscount06to10-GroundResIncentive)*'Ground Base'!F11),2),ROUND((SINGLE('Ground Base'!F$154)+GroundResidentialFee)*(1+GroundFuelSurcharge),2),ROUND((((1-GroundResDiscount06to10-GroundResIncentive)*'G"&amp;"round Base'!F11)+GroundResidentialFee)*(1+GroundFuelSurcharge),2)))*(1+FedEx_Markup),2)"),16.54)</f>
        <v>16.54</v>
      </c>
      <c r="G16" s="275">
        <f>IFERROR(__xludf.DUMMYFUNCTION("ROUND((IF(SINGLE('Ground Base'!G$154)&gt;ROUND(((1-GroundResDiscount06to10-GroundResIncentive)*'Ground Base'!G11),2),ROUND((SINGLE('Ground Base'!G$154)+GroundResidentialFee)*(1+GroundFuelSurcharge),2),ROUND((((1-GroundResDiscount06to10-GroundResIncentive)*'G"&amp;"round Base'!G11)+GroundResidentialFee)*(1+GroundFuelSurcharge),2)))*(1+FedEx_Markup),2)"),17.76)</f>
        <v>17.76</v>
      </c>
      <c r="H16" s="275">
        <f>IFERROR(__xludf.DUMMYFUNCTION("ROUND((IF(SINGLE('Ground Base'!H$154)&gt;ROUND(((1-GroundResDiscount06to10-GroundResIncentive)*'Ground Base'!H11),2),ROUND((SINGLE('Ground Base'!H$154)+GroundResidentialFee)*(1+GroundFuelSurcharge),2),ROUND((((1-GroundResDiscount06to10-GroundResIncentive)*'G"&amp;"round Base'!H11)+GroundResidentialFee)*(1+GroundFuelSurcharge),2)))*(1+FedEx_Markup),2)"),19.03)</f>
        <v>19.03</v>
      </c>
      <c r="I16" s="275">
        <f>ROUND((IF('Ground Base'!I$154&gt;ROUND(((1-GroundAKHIDiscount)*'Ground Base'!I11),2),ROUND(('Ground Base'!I$154+GroundResidentialFee)*(1+GroundFuelSurcharge),2),ROUND((((1-GroundAKHIDiscount)*'Ground Base'!I11)+GroundResidentialFee)*(1+GroundFuelSurcharge),2)))*(1+FedEx_Markup),2)</f>
        <v>79.61</v>
      </c>
      <c r="J16" s="275">
        <f>ROUND((IF('Ground Base'!J$154&gt;ROUND(((1-GroundAKHIDiscount)*'Ground Base'!J11),2),ROUND(('Ground Base'!J$154+GroundResidentialFee)*(1+GroundFuelSurcharge),2),ROUND((((1-GroundAKHIDiscount)*'Ground Base'!J11)+GroundResidentialFee)*(1+GroundFuelSurcharge),2)))*(1+FedEx_Markup),2)</f>
        <v>79.61</v>
      </c>
      <c r="K16" s="275">
        <f>ROUND((IF('Ground Base'!K$154&gt;ROUND(((1-GroundZone51Discount)*'Ground Base'!K11),2),ROUND(('Ground Base'!K$154+GroundResidentialFee)*(1+GroundFuelSurcharge),2),ROUND((((1-GroundZone51Discount)*'Ground Base'!K11)+GroundResidentialFee)*(1+GroundFuelSurcharge),2)))*(1+FedEx_Markup),2)</f>
        <v>32.64</v>
      </c>
      <c r="L16" s="275">
        <f>ROUND((IF('Ground Base'!L$154&gt;ROUND(((1-GroundZone54Discount)*'Ground Base'!L11),2),ROUND(('Ground Base'!L$154+GroundResidentialFee)*(1+GroundFuelSurcharge),2),ROUND((((1-GroundZone54Discount)*'Ground Base'!L11)+GroundResidentialFee)*(1+GroundFuelSurcharge),2)))*(1+FedEx_Markup),2)</f>
        <v>40.41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274">
        <v>10.0</v>
      </c>
      <c r="B17" s="275">
        <f>IFERROR(__xludf.DUMMYFUNCTION("ROUND((IF(SINGLE('Ground Base'!B$154)&gt;ROUND(((1-GroundResDiscount06to10-GroundResIncentive)*'Ground Base'!B12),2),ROUND((SINGLE('Ground Base'!B$154)+GroundResidentialFee)*(1+GroundFuelSurcharge),2),ROUND((((1-GroundResDiscount06to10-GroundResIncentive)*'G"&amp;"round Base'!B12)+GroundResidentialFee)*(1+GroundFuelSurcharge),2)))*(1+FedEx_Markup),2)"),16.53)</f>
        <v>16.53</v>
      </c>
      <c r="C17" s="275">
        <f>IFERROR(__xludf.DUMMYFUNCTION("ROUND((IF(SINGLE('Ground Base'!C$154)&gt;ROUND(((1-GroundResDiscount06to10-GroundResIncentive)*'Ground Base'!C12),2),ROUND((SINGLE('Ground Base'!C$154)+GroundResidentialFee)*(1+GroundFuelSurcharge),2),ROUND((((1-GroundResDiscount06to10-GroundResIncentive)*'G"&amp;"round Base'!C12)+GroundResidentialFee)*(1+GroundFuelSurcharge),2)))*(1+FedEx_Markup),2)"),16.53)</f>
        <v>16.53</v>
      </c>
      <c r="D17" s="275">
        <f>IFERROR(__xludf.DUMMYFUNCTION("ROUND((IF(SINGLE('Ground Base'!D$154)&gt;ROUND(((1-GroundResDiscount06to10-GroundResIncentive)*'Ground Base'!D12),2),ROUND((SINGLE('Ground Base'!D$154)+GroundResidentialFee)*(1+GroundFuelSurcharge),2),ROUND((((1-GroundResDiscount06to10-GroundResIncentive)*'G"&amp;"round Base'!D12)+GroundResidentialFee)*(1+GroundFuelSurcharge),2)))*(1+FedEx_Markup),2)"),16.53)</f>
        <v>16.53</v>
      </c>
      <c r="E17" s="275">
        <f>IFERROR(__xludf.DUMMYFUNCTION("ROUND((IF(SINGLE('Ground Base'!E$154)&gt;ROUND(((1-GroundResDiscount06to10-GroundResIncentive)*'Ground Base'!E12),2),ROUND((SINGLE('Ground Base'!E$154)+GroundResidentialFee)*(1+GroundFuelSurcharge),2),ROUND((((1-GroundResDiscount06to10-GroundResIncentive)*'G"&amp;"round Base'!E12)+GroundResidentialFee)*(1+GroundFuelSurcharge),2)))*(1+FedEx_Markup),2)"),16.53)</f>
        <v>16.53</v>
      </c>
      <c r="F17" s="275">
        <f>IFERROR(__xludf.DUMMYFUNCTION("ROUND((IF(SINGLE('Ground Base'!F$154)&gt;ROUND(((1-GroundResDiscount06to10-GroundResIncentive)*'Ground Base'!F12),2),ROUND((SINGLE('Ground Base'!F$154)+GroundResidentialFee)*(1+GroundFuelSurcharge),2),ROUND((((1-GroundResDiscount06to10-GroundResIncentive)*'G"&amp;"round Base'!F12)+GroundResidentialFee)*(1+GroundFuelSurcharge),2)))*(1+FedEx_Markup),2)"),16.7)</f>
        <v>16.7</v>
      </c>
      <c r="G17" s="275">
        <f>IFERROR(__xludf.DUMMYFUNCTION("ROUND((IF(SINGLE('Ground Base'!G$154)&gt;ROUND(((1-GroundResDiscount06to10-GroundResIncentive)*'Ground Base'!G12),2),ROUND((SINGLE('Ground Base'!G$154)+GroundResidentialFee)*(1+GroundFuelSurcharge),2),ROUND((((1-GroundResDiscount06to10-GroundResIncentive)*'G"&amp;"round Base'!G12)+GroundResidentialFee)*(1+GroundFuelSurcharge),2)))*(1+FedEx_Markup),2)"),18.46)</f>
        <v>18.46</v>
      </c>
      <c r="H17" s="275">
        <f>IFERROR(__xludf.DUMMYFUNCTION("ROUND((IF(SINGLE('Ground Base'!H$154)&gt;ROUND(((1-GroundResDiscount06to10-GroundResIncentive)*'Ground Base'!H12),2),ROUND((SINGLE('Ground Base'!H$154)+GroundResidentialFee)*(1+GroundFuelSurcharge),2),ROUND((((1-GroundResDiscount06to10-GroundResIncentive)*'G"&amp;"round Base'!H12)+GroundResidentialFee)*(1+GroundFuelSurcharge),2)))*(1+FedEx_Markup),2)"),20.1)</f>
        <v>20.1</v>
      </c>
      <c r="I17" s="275">
        <f>ROUND((IF('Ground Base'!I$154&gt;ROUND(((1-GroundAKHIDiscount)*'Ground Base'!I12),2),ROUND(('Ground Base'!I$154+GroundResidentialFee)*(1+GroundFuelSurcharge),2),ROUND((((1-GroundAKHIDiscount)*'Ground Base'!I12)+GroundResidentialFee)*(1+GroundFuelSurcharge),2)))*(1+FedEx_Markup),2)</f>
        <v>84.42</v>
      </c>
      <c r="J17" s="275">
        <f>ROUND((IF('Ground Base'!J$154&gt;ROUND(((1-GroundAKHIDiscount)*'Ground Base'!J12),2),ROUND(('Ground Base'!J$154+GroundResidentialFee)*(1+GroundFuelSurcharge),2),ROUND((((1-GroundAKHIDiscount)*'Ground Base'!J12)+GroundResidentialFee)*(1+GroundFuelSurcharge),2)))*(1+FedEx_Markup),2)</f>
        <v>84.42</v>
      </c>
      <c r="K17" s="275">
        <f>ROUND((IF('Ground Base'!K$154&gt;ROUND(((1-GroundZone51Discount)*'Ground Base'!K12),2),ROUND(('Ground Base'!K$154+GroundResidentialFee)*(1+GroundFuelSurcharge),2),ROUND((((1-GroundZone51Discount)*'Ground Base'!K12)+GroundResidentialFee)*(1+GroundFuelSurcharge),2)))*(1+FedEx_Markup),2)</f>
        <v>32.64</v>
      </c>
      <c r="L17" s="275">
        <f>ROUND((IF('Ground Base'!L$154&gt;ROUND(((1-GroundZone54Discount)*'Ground Base'!L12),2),ROUND(('Ground Base'!L$154+GroundResidentialFee)*(1+GroundFuelSurcharge),2),ROUND((((1-GroundZone54Discount)*'Ground Base'!L12)+GroundResidentialFee)*(1+GroundFuelSurcharge),2)))*(1+FedEx_Markup),2)</f>
        <v>40.41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274">
        <v>11.0</v>
      </c>
      <c r="B18" s="275">
        <f>ROUND((IF('Ground Base'!B$154&gt;ROUND(((1-GroundResDiscount11to20-GroundResIncentive)*'Ground Base'!B13),2),ROUND(('Ground Base'!B$154+GroundResidentialFee)*(1+GroundFuelSurcharge),2),ROUND((((1-GroundResDiscount11to20-GroundResIncentive)*'Ground Base'!B13)+GroundResidentialFee)*(1+GroundFuelSurcharge),2)))*(1+FedEx_Markup),2)</f>
        <v>16.53</v>
      </c>
      <c r="C18" s="275">
        <f>ROUND((IF('Ground Base'!C$154&gt;ROUND(((1-GroundResDiscount11to20-GroundResIncentive)*'Ground Base'!C13),2),ROUND(('Ground Base'!C$154+GroundResidentialFee)*(1+GroundFuelSurcharge),2),ROUND((((1-GroundResDiscount11to20-GroundResIncentive)*'Ground Base'!C13)+GroundResidentialFee)*(1+GroundFuelSurcharge),2)))*(1+FedEx_Markup),2)</f>
        <v>16.53</v>
      </c>
      <c r="D18" s="275">
        <f>ROUND((IF('Ground Base'!D$154&gt;ROUND(((1-GroundResDiscount11to20-GroundResIncentive)*'Ground Base'!D13),2),ROUND(('Ground Base'!D$154+GroundResidentialFee)*(1+GroundFuelSurcharge),2),ROUND((((1-GroundResDiscount11to20-GroundResIncentive)*'Ground Base'!D13)+GroundResidentialFee)*(1+GroundFuelSurcharge),2)))*(1+FedEx_Markup),2)</f>
        <v>16.53</v>
      </c>
      <c r="E18" s="275">
        <f>ROUND((IF('Ground Base'!E$154&gt;ROUND(((1-GroundResDiscount11to20-GroundResIncentive)*'Ground Base'!E13),2),ROUND(('Ground Base'!E$154+GroundResidentialFee)*(1+GroundFuelSurcharge),2),ROUND((((1-GroundResDiscount11to20-GroundResIncentive)*'Ground Base'!E13)+GroundResidentialFee)*(1+GroundFuelSurcharge),2)))*(1+FedEx_Markup),2)</f>
        <v>16.53</v>
      </c>
      <c r="F18" s="275">
        <f>ROUND((IF('Ground Base'!F$154&gt;ROUND(((1-GroundResDiscount11to20-GroundResIncentive)*'Ground Base'!F13),2),ROUND(('Ground Base'!F$154+GroundResidentialFee)*(1+GroundFuelSurcharge),2),ROUND((((1-GroundResDiscount11to20-GroundResIncentive)*'Ground Base'!F13)+GroundResidentialFee)*(1+GroundFuelSurcharge),2)))*(1+FedEx_Markup),2)</f>
        <v>16.53</v>
      </c>
      <c r="G18" s="275">
        <f>ROUND((IF('Ground Base'!G$154&gt;ROUND(((1-GroundResDiscount11to20-GroundResIncentive)*'Ground Base'!G13),2),ROUND(('Ground Base'!G$154+GroundResidentialFee)*(1+GroundFuelSurcharge),2),ROUND((((1-GroundResDiscount11to20-GroundResIncentive)*'Ground Base'!G13)+GroundResidentialFee)*(1+GroundFuelSurcharge),2)))*(1+FedEx_Markup),2)</f>
        <v>18.93</v>
      </c>
      <c r="H18" s="275">
        <f>ROUND((IF('Ground Base'!H$154&gt;ROUND(((1-GroundResDiscount11to20-GroundResIncentive)*'Ground Base'!H13),2),ROUND(('Ground Base'!H$154+GroundResidentialFee)*(1+GroundFuelSurcharge),2),ROUND((((1-GroundResDiscount11to20-GroundResIncentive)*'Ground Base'!H13)+GroundResidentialFee)*(1+GroundFuelSurcharge),2)))*(1+FedEx_Markup),2)</f>
        <v>20.32</v>
      </c>
      <c r="I18" s="275">
        <f>ROUND((IF('Ground Base'!I$154&gt;ROUND(((1-GroundAKHIDiscount)*'Ground Base'!I13),2),ROUND(('Ground Base'!I$154+GroundResidentialFee)*(1+GroundFuelSurcharge),2),ROUND((((1-GroundAKHIDiscount)*'Ground Base'!I13)+GroundResidentialFee)*(1+GroundFuelSurcharge),2)))*(1+FedEx_Markup),2)</f>
        <v>89.4</v>
      </c>
      <c r="J18" s="275">
        <f>ROUND((IF('Ground Base'!J$154&gt;ROUND(((1-GroundAKHIDiscount)*'Ground Base'!J13),2),ROUND(('Ground Base'!J$154+GroundResidentialFee)*(1+GroundFuelSurcharge),2),ROUND((((1-GroundAKHIDiscount)*'Ground Base'!J13)+GroundResidentialFee)*(1+GroundFuelSurcharge),2)))*(1+FedEx_Markup),2)</f>
        <v>89.4</v>
      </c>
      <c r="K18" s="275">
        <f>ROUND((IF('Ground Base'!K$154&gt;ROUND(((1-GroundZone51Discount)*'Ground Base'!K13),2),ROUND(('Ground Base'!K$154+GroundResidentialFee)*(1+GroundFuelSurcharge),2),ROUND((((1-GroundZone51Discount)*'Ground Base'!K13)+GroundResidentialFee)*(1+GroundFuelSurcharge),2)))*(1+FedEx_Markup),2)</f>
        <v>33.56</v>
      </c>
      <c r="L18" s="275">
        <f>ROUND((IF('Ground Base'!L$154&gt;ROUND(((1-GroundZone54Discount)*'Ground Base'!L13),2),ROUND(('Ground Base'!L$154+GroundResidentialFee)*(1+GroundFuelSurcharge),2),ROUND((((1-GroundZone54Discount)*'Ground Base'!L13)+GroundResidentialFee)*(1+GroundFuelSurcharge),2)))*(1+FedEx_Markup),2)</f>
        <v>40.41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274">
        <v>12.0</v>
      </c>
      <c r="B19" s="275">
        <f>ROUND((IF('Ground Base'!B$154&gt;ROUND(((1-GroundResDiscount11to20-GroundResIncentive)*'Ground Base'!B14),2),ROUND(('Ground Base'!B$154+GroundResidentialFee)*(1+GroundFuelSurcharge),2),ROUND((((1-GroundResDiscount11to20-GroundResIncentive)*'Ground Base'!B14)+GroundResidentialFee)*(1+GroundFuelSurcharge),2)))*(1+FedEx_Markup),2)</f>
        <v>16.53</v>
      </c>
      <c r="C19" s="275">
        <f>ROUND((IF('Ground Base'!C$154&gt;ROUND(((1-GroundResDiscount11to20-GroundResIncentive)*'Ground Base'!C14),2),ROUND(('Ground Base'!C$154+GroundResidentialFee)*(1+GroundFuelSurcharge),2),ROUND((((1-GroundResDiscount11to20-GroundResIncentive)*'Ground Base'!C14)+GroundResidentialFee)*(1+GroundFuelSurcharge),2)))*(1+FedEx_Markup),2)</f>
        <v>16.53</v>
      </c>
      <c r="D19" s="275">
        <f>ROUND((IF('Ground Base'!D$154&gt;ROUND(((1-GroundResDiscount11to20-GroundResIncentive)*'Ground Base'!D14),2),ROUND(('Ground Base'!D$154+GroundResidentialFee)*(1+GroundFuelSurcharge),2),ROUND((((1-GroundResDiscount11to20-GroundResIncentive)*'Ground Base'!D14)+GroundResidentialFee)*(1+GroundFuelSurcharge),2)))*(1+FedEx_Markup),2)</f>
        <v>16.53</v>
      </c>
      <c r="E19" s="275">
        <f>ROUND((IF('Ground Base'!E$154&gt;ROUND(((1-GroundResDiscount11to20-GroundResIncentive)*'Ground Base'!E14),2),ROUND(('Ground Base'!E$154+GroundResidentialFee)*(1+GroundFuelSurcharge),2),ROUND((((1-GroundResDiscount11to20-GroundResIncentive)*'Ground Base'!E14)+GroundResidentialFee)*(1+GroundFuelSurcharge),2)))*(1+FedEx_Markup),2)</f>
        <v>16.53</v>
      </c>
      <c r="F19" s="275">
        <f>ROUND((IF('Ground Base'!F$154&gt;ROUND(((1-GroundResDiscount11to20-GroundResIncentive)*'Ground Base'!F14),2),ROUND(('Ground Base'!F$154+GroundResidentialFee)*(1+GroundFuelSurcharge),2),ROUND((((1-GroundResDiscount11to20-GroundResIncentive)*'Ground Base'!F14)+GroundResidentialFee)*(1+GroundFuelSurcharge),2)))*(1+FedEx_Markup),2)</f>
        <v>16.95</v>
      </c>
      <c r="G19" s="275">
        <f>ROUND((IF('Ground Base'!G$154&gt;ROUND(((1-GroundResDiscount11to20-GroundResIncentive)*'Ground Base'!G14),2),ROUND(('Ground Base'!G$154+GroundResidentialFee)*(1+GroundFuelSurcharge),2),ROUND((((1-GroundResDiscount11to20-GroundResIncentive)*'Ground Base'!G14)+GroundResidentialFee)*(1+GroundFuelSurcharge),2)))*(1+FedEx_Markup),2)</f>
        <v>19.57</v>
      </c>
      <c r="H19" s="275">
        <f>ROUND((IF('Ground Base'!H$154&gt;ROUND(((1-GroundResDiscount11to20-GroundResIncentive)*'Ground Base'!H14),2),ROUND(('Ground Base'!H$154+GroundResidentialFee)*(1+GroundFuelSurcharge),2),ROUND((((1-GroundResDiscount11to20-GroundResIncentive)*'Ground Base'!H14)+GroundResidentialFee)*(1+GroundFuelSurcharge),2)))*(1+FedEx_Markup),2)</f>
        <v>21.14</v>
      </c>
      <c r="I19" s="275">
        <f>ROUND((IF('Ground Base'!I$154&gt;ROUND(((1-GroundAKHIDiscount)*'Ground Base'!I14),2),ROUND(('Ground Base'!I$154+GroundResidentialFee)*(1+GroundFuelSurcharge),2),ROUND((((1-GroundAKHIDiscount)*'Ground Base'!I14)+GroundResidentialFee)*(1+GroundFuelSurcharge),2)))*(1+FedEx_Markup),2)</f>
        <v>93.12</v>
      </c>
      <c r="J19" s="275">
        <f>ROUND((IF('Ground Base'!J$154&gt;ROUND(((1-GroundAKHIDiscount)*'Ground Base'!J14),2),ROUND(('Ground Base'!J$154+GroundResidentialFee)*(1+GroundFuelSurcharge),2),ROUND((((1-GroundAKHIDiscount)*'Ground Base'!J14)+GroundResidentialFee)*(1+GroundFuelSurcharge),2)))*(1+FedEx_Markup),2)</f>
        <v>93.12</v>
      </c>
      <c r="K19" s="275">
        <f>ROUND((IF('Ground Base'!K$154&gt;ROUND(((1-GroundZone51Discount)*'Ground Base'!K14),2),ROUND(('Ground Base'!K$154+GroundResidentialFee)*(1+GroundFuelSurcharge),2),ROUND((((1-GroundZone51Discount)*'Ground Base'!K14)+GroundResidentialFee)*(1+GroundFuelSurcharge),2)))*(1+FedEx_Markup),2)</f>
        <v>34.6</v>
      </c>
      <c r="L19" s="275">
        <f>ROUND((IF('Ground Base'!L$154&gt;ROUND(((1-GroundZone54Discount)*'Ground Base'!L14),2),ROUND(('Ground Base'!L$154+GroundResidentialFee)*(1+GroundFuelSurcharge),2),ROUND((((1-GroundZone54Discount)*'Ground Base'!L14)+GroundResidentialFee)*(1+GroundFuelSurcharge),2)))*(1+FedEx_Markup),2)</f>
        <v>41.04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274">
        <v>13.0</v>
      </c>
      <c r="B20" s="275">
        <f>ROUND((IF('Ground Base'!B$154&gt;ROUND(((1-GroundResDiscount11to20-GroundResIncentive)*'Ground Base'!B15),2),ROUND(('Ground Base'!B$154+GroundResidentialFee)*(1+GroundFuelSurcharge),2),ROUND((((1-GroundResDiscount11to20-GroundResIncentive)*'Ground Base'!B15)+GroundResidentialFee)*(1+GroundFuelSurcharge),2)))*(1+FedEx_Markup),2)</f>
        <v>16.53</v>
      </c>
      <c r="C20" s="275">
        <f>ROUND((IF('Ground Base'!C$154&gt;ROUND(((1-GroundResDiscount11to20-GroundResIncentive)*'Ground Base'!C15),2),ROUND(('Ground Base'!C$154+GroundResidentialFee)*(1+GroundFuelSurcharge),2),ROUND((((1-GroundResDiscount11to20-GroundResIncentive)*'Ground Base'!C15)+GroundResidentialFee)*(1+GroundFuelSurcharge),2)))*(1+FedEx_Markup),2)</f>
        <v>16.53</v>
      </c>
      <c r="D20" s="275">
        <f>ROUND((IF('Ground Base'!D$154&gt;ROUND(((1-GroundResDiscount11to20-GroundResIncentive)*'Ground Base'!D15),2),ROUND(('Ground Base'!D$154+GroundResidentialFee)*(1+GroundFuelSurcharge),2),ROUND((((1-GroundResDiscount11to20-GroundResIncentive)*'Ground Base'!D15)+GroundResidentialFee)*(1+GroundFuelSurcharge),2)))*(1+FedEx_Markup),2)</f>
        <v>16.53</v>
      </c>
      <c r="E20" s="275">
        <f>ROUND((IF('Ground Base'!E$154&gt;ROUND(((1-GroundResDiscount11to20-GroundResIncentive)*'Ground Base'!E15),2),ROUND(('Ground Base'!E$154+GroundResidentialFee)*(1+GroundFuelSurcharge),2),ROUND((((1-GroundResDiscount11to20-GroundResIncentive)*'Ground Base'!E15)+GroundResidentialFee)*(1+GroundFuelSurcharge),2)))*(1+FedEx_Markup),2)</f>
        <v>16.53</v>
      </c>
      <c r="F20" s="275">
        <f>ROUND((IF('Ground Base'!F$154&gt;ROUND(((1-GroundResDiscount11to20-GroundResIncentive)*'Ground Base'!F15),2),ROUND(('Ground Base'!F$154+GroundResidentialFee)*(1+GroundFuelSurcharge),2),ROUND((((1-GroundResDiscount11to20-GroundResIncentive)*'Ground Base'!F15)+GroundResidentialFee)*(1+GroundFuelSurcharge),2)))*(1+FedEx_Markup),2)</f>
        <v>17.39</v>
      </c>
      <c r="G20" s="275">
        <f>ROUND((IF('Ground Base'!G$154&gt;ROUND(((1-GroundResDiscount11to20-GroundResIncentive)*'Ground Base'!G15),2),ROUND(('Ground Base'!G$154+GroundResidentialFee)*(1+GroundFuelSurcharge),2),ROUND((((1-GroundResDiscount11to20-GroundResIncentive)*'Ground Base'!G15)+GroundResidentialFee)*(1+GroundFuelSurcharge),2)))*(1+FedEx_Markup),2)</f>
        <v>20.6</v>
      </c>
      <c r="H20" s="275">
        <f>ROUND((IF('Ground Base'!H$154&gt;ROUND(((1-GroundResDiscount11to20-GroundResIncentive)*'Ground Base'!H15),2),ROUND(('Ground Base'!H$154+GroundResidentialFee)*(1+GroundFuelSurcharge),2),ROUND((((1-GroundResDiscount11to20-GroundResIncentive)*'Ground Base'!H15)+GroundResidentialFee)*(1+GroundFuelSurcharge),2)))*(1+FedEx_Markup),2)</f>
        <v>21.97</v>
      </c>
      <c r="I20" s="275">
        <f>ROUND((IF('Ground Base'!I$154&gt;ROUND(((1-GroundAKHIDiscount)*'Ground Base'!I15),2),ROUND(('Ground Base'!I$154+GroundResidentialFee)*(1+GroundFuelSurcharge),2),ROUND((((1-GroundAKHIDiscount)*'Ground Base'!I15)+GroundResidentialFee)*(1+GroundFuelSurcharge),2)))*(1+FedEx_Markup),2)</f>
        <v>96.85</v>
      </c>
      <c r="J20" s="275">
        <f>ROUND((IF('Ground Base'!J$154&gt;ROUND(((1-GroundAKHIDiscount)*'Ground Base'!J15),2),ROUND(('Ground Base'!J$154+GroundResidentialFee)*(1+GroundFuelSurcharge),2),ROUND((((1-GroundAKHIDiscount)*'Ground Base'!J15)+GroundResidentialFee)*(1+GroundFuelSurcharge),2)))*(1+FedEx_Markup),2)</f>
        <v>96.85</v>
      </c>
      <c r="K20" s="275">
        <f>ROUND((IF('Ground Base'!K$154&gt;ROUND(((1-GroundZone51Discount)*'Ground Base'!K15),2),ROUND(('Ground Base'!K$154+GroundResidentialFee)*(1+GroundFuelSurcharge),2),ROUND((((1-GroundZone51Discount)*'Ground Base'!K15)+GroundResidentialFee)*(1+GroundFuelSurcharge),2)))*(1+FedEx_Markup),2)</f>
        <v>35.89</v>
      </c>
      <c r="L20" s="275">
        <f>ROUND((IF('Ground Base'!L$154&gt;ROUND(((1-GroundZone54Discount)*'Ground Base'!L15),2),ROUND(('Ground Base'!L$154+GroundResidentialFee)*(1+GroundFuelSurcharge),2),ROUND((((1-GroundZone54Discount)*'Ground Base'!L15)+GroundResidentialFee)*(1+GroundFuelSurcharge),2)))*(1+FedEx_Markup),2)</f>
        <v>42.27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274">
        <v>14.0</v>
      </c>
      <c r="B21" s="275">
        <f>ROUND((IF('Ground Base'!B$154&gt;ROUND(((1-GroundResDiscount11to20-GroundResIncentive)*'Ground Base'!B16),2),ROUND(('Ground Base'!B$154+GroundResidentialFee)*(1+GroundFuelSurcharge),2),ROUND((((1-GroundResDiscount11to20-GroundResIncentive)*'Ground Base'!B16)+GroundResidentialFee)*(1+GroundFuelSurcharge),2)))*(1+FedEx_Markup),2)</f>
        <v>16.53</v>
      </c>
      <c r="C21" s="275">
        <f>ROUND((IF('Ground Base'!C$154&gt;ROUND(((1-GroundResDiscount11to20-GroundResIncentive)*'Ground Base'!C16),2),ROUND(('Ground Base'!C$154+GroundResidentialFee)*(1+GroundFuelSurcharge),2),ROUND((((1-GroundResDiscount11to20-GroundResIncentive)*'Ground Base'!C16)+GroundResidentialFee)*(1+GroundFuelSurcharge),2)))*(1+FedEx_Markup),2)</f>
        <v>16.53</v>
      </c>
      <c r="D21" s="275">
        <f>ROUND((IF('Ground Base'!D$154&gt;ROUND(((1-GroundResDiscount11to20-GroundResIncentive)*'Ground Base'!D16),2),ROUND(('Ground Base'!D$154+GroundResidentialFee)*(1+GroundFuelSurcharge),2),ROUND((((1-GroundResDiscount11to20-GroundResIncentive)*'Ground Base'!D16)+GroundResidentialFee)*(1+GroundFuelSurcharge),2)))*(1+FedEx_Markup),2)</f>
        <v>16.53</v>
      </c>
      <c r="E21" s="275">
        <f>ROUND((IF('Ground Base'!E$154&gt;ROUND(((1-GroundResDiscount11to20-GroundResIncentive)*'Ground Base'!E16),2),ROUND(('Ground Base'!E$154+GroundResidentialFee)*(1+GroundFuelSurcharge),2),ROUND((((1-GroundResDiscount11to20-GroundResIncentive)*'Ground Base'!E16)+GroundResidentialFee)*(1+GroundFuelSurcharge),2)))*(1+FedEx_Markup),2)</f>
        <v>16.53</v>
      </c>
      <c r="F21" s="275">
        <f>ROUND((IF('Ground Base'!F$154&gt;ROUND(((1-GroundResDiscount11to20-GroundResIncentive)*'Ground Base'!F16),2),ROUND(('Ground Base'!F$154+GroundResidentialFee)*(1+GroundFuelSurcharge),2),ROUND((((1-GroundResDiscount11to20-GroundResIncentive)*'Ground Base'!F16)+GroundResidentialFee)*(1+GroundFuelSurcharge),2)))*(1+FedEx_Markup),2)</f>
        <v>18.25</v>
      </c>
      <c r="G21" s="275">
        <f>ROUND((IF('Ground Base'!G$154&gt;ROUND(((1-GroundResDiscount11to20-GroundResIncentive)*'Ground Base'!G16),2),ROUND(('Ground Base'!G$154+GroundResidentialFee)*(1+GroundFuelSurcharge),2),ROUND((((1-GroundResDiscount11to20-GroundResIncentive)*'Ground Base'!G16)+GroundResidentialFee)*(1+GroundFuelSurcharge),2)))*(1+FedEx_Markup),2)</f>
        <v>21.86</v>
      </c>
      <c r="H21" s="275">
        <f>ROUND((IF('Ground Base'!H$154&gt;ROUND(((1-GroundResDiscount11to20-GroundResIncentive)*'Ground Base'!H16),2),ROUND(('Ground Base'!H$154+GroundResidentialFee)*(1+GroundFuelSurcharge),2),ROUND((((1-GroundResDiscount11to20-GroundResIncentive)*'Ground Base'!H16)+GroundResidentialFee)*(1+GroundFuelSurcharge),2)))*(1+FedEx_Markup),2)</f>
        <v>23.63</v>
      </c>
      <c r="I21" s="275">
        <f>ROUND((IF('Ground Base'!I$154&gt;ROUND(((1-GroundAKHIDiscount)*'Ground Base'!I16),2),ROUND(('Ground Base'!I$154+GroundResidentialFee)*(1+GroundFuelSurcharge),2),ROUND((((1-GroundAKHIDiscount)*'Ground Base'!I16)+GroundResidentialFee)*(1+GroundFuelSurcharge),2)))*(1+FedEx_Markup),2)</f>
        <v>100.75</v>
      </c>
      <c r="J21" s="275">
        <f>ROUND((IF('Ground Base'!J$154&gt;ROUND(((1-GroundAKHIDiscount)*'Ground Base'!J16),2),ROUND(('Ground Base'!J$154+GroundResidentialFee)*(1+GroundFuelSurcharge),2),ROUND((((1-GroundAKHIDiscount)*'Ground Base'!J16)+GroundResidentialFee)*(1+GroundFuelSurcharge),2)))*(1+FedEx_Markup),2)</f>
        <v>100.75</v>
      </c>
      <c r="K21" s="275">
        <f>ROUND((IF('Ground Base'!K$154&gt;ROUND(((1-GroundZone51Discount)*'Ground Base'!K16),2),ROUND(('Ground Base'!K$154+GroundResidentialFee)*(1+GroundFuelSurcharge),2),ROUND((((1-GroundZone51Discount)*'Ground Base'!K16)+GroundResidentialFee)*(1+GroundFuelSurcharge),2)))*(1+FedEx_Markup),2)</f>
        <v>35.9</v>
      </c>
      <c r="L21" s="275">
        <f>ROUND((IF('Ground Base'!L$154&gt;ROUND(((1-GroundZone54Discount)*'Ground Base'!L16),2),ROUND(('Ground Base'!L$154+GroundResidentialFee)*(1+GroundFuelSurcharge),2),ROUND((((1-GroundZone54Discount)*'Ground Base'!L16)+GroundResidentialFee)*(1+GroundFuelSurcharge),2)))*(1+FedEx_Markup),2)</f>
        <v>42.29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274">
        <v>15.0</v>
      </c>
      <c r="B22" s="275">
        <f>ROUND((IF('Ground Base'!B$154&gt;ROUND(((1-GroundResDiscount11to20-GroundResIncentive)*'Ground Base'!B17),2),ROUND(('Ground Base'!B$154+GroundResidentialFee)*(1+GroundFuelSurcharge),2),ROUND((((1-GroundResDiscount11to20-GroundResIncentive)*'Ground Base'!B17)+GroundResidentialFee)*(1+GroundFuelSurcharge),2)))*(1+FedEx_Markup),2)</f>
        <v>16.53</v>
      </c>
      <c r="C22" s="275">
        <f>ROUND((IF('Ground Base'!C$154&gt;ROUND(((1-GroundResDiscount11to20-GroundResIncentive)*'Ground Base'!C17),2),ROUND(('Ground Base'!C$154+GroundResidentialFee)*(1+GroundFuelSurcharge),2),ROUND((((1-GroundResDiscount11to20-GroundResIncentive)*'Ground Base'!C17)+GroundResidentialFee)*(1+GroundFuelSurcharge),2)))*(1+FedEx_Markup),2)</f>
        <v>16.53</v>
      </c>
      <c r="D22" s="275">
        <f>ROUND((IF('Ground Base'!D$154&gt;ROUND(((1-GroundResDiscount11to20-GroundResIncentive)*'Ground Base'!D17),2),ROUND(('Ground Base'!D$154+GroundResidentialFee)*(1+GroundFuelSurcharge),2),ROUND((((1-GroundResDiscount11to20-GroundResIncentive)*'Ground Base'!D17)+GroundResidentialFee)*(1+GroundFuelSurcharge),2)))*(1+FedEx_Markup),2)</f>
        <v>16.53</v>
      </c>
      <c r="E22" s="275">
        <f>ROUND((IF('Ground Base'!E$154&gt;ROUND(((1-GroundResDiscount11to20-GroundResIncentive)*'Ground Base'!E17),2),ROUND(('Ground Base'!E$154+GroundResidentialFee)*(1+GroundFuelSurcharge),2),ROUND((((1-GroundResDiscount11to20-GroundResIncentive)*'Ground Base'!E17)+GroundResidentialFee)*(1+GroundFuelSurcharge),2)))*(1+FedEx_Markup),2)</f>
        <v>16.94</v>
      </c>
      <c r="F22" s="275">
        <f>ROUND((IF('Ground Base'!F$154&gt;ROUND(((1-GroundResDiscount11to20-GroundResIncentive)*'Ground Base'!F17),2),ROUND(('Ground Base'!F$154+GroundResidentialFee)*(1+GroundFuelSurcharge),2),ROUND((((1-GroundResDiscount11to20-GroundResIncentive)*'Ground Base'!F17)+GroundResidentialFee)*(1+GroundFuelSurcharge),2)))*(1+FedEx_Markup),2)</f>
        <v>19.09</v>
      </c>
      <c r="G22" s="275">
        <f>ROUND((IF('Ground Base'!G$154&gt;ROUND(((1-GroundResDiscount11to20-GroundResIncentive)*'Ground Base'!G17),2),ROUND(('Ground Base'!G$154+GroundResidentialFee)*(1+GroundFuelSurcharge),2),ROUND((((1-GroundResDiscount11to20-GroundResIncentive)*'Ground Base'!G17)+GroundResidentialFee)*(1+GroundFuelSurcharge),2)))*(1+FedEx_Markup),2)</f>
        <v>22.46</v>
      </c>
      <c r="H22" s="275">
        <f>ROUND((IF('Ground Base'!H$154&gt;ROUND(((1-GroundResDiscount11to20-GroundResIncentive)*'Ground Base'!H17),2),ROUND(('Ground Base'!H$154+GroundResidentialFee)*(1+GroundFuelSurcharge),2),ROUND((((1-GroundResDiscount11to20-GroundResIncentive)*'Ground Base'!H17)+GroundResidentialFee)*(1+GroundFuelSurcharge),2)))*(1+FedEx_Markup),2)</f>
        <v>24.48</v>
      </c>
      <c r="I22" s="275">
        <f>ROUND((IF('Ground Base'!I$154&gt;ROUND(((1-GroundAKHIDiscount)*'Ground Base'!I17),2),ROUND(('Ground Base'!I$154+GroundResidentialFee)*(1+GroundFuelSurcharge),2),ROUND((((1-GroundAKHIDiscount)*'Ground Base'!I17)+GroundResidentialFee)*(1+GroundFuelSurcharge),2)))*(1+FedEx_Markup),2)</f>
        <v>104.35</v>
      </c>
      <c r="J22" s="275">
        <f>ROUND((IF('Ground Base'!J$154&gt;ROUND(((1-GroundAKHIDiscount)*'Ground Base'!J17),2),ROUND(('Ground Base'!J$154+GroundResidentialFee)*(1+GroundFuelSurcharge),2),ROUND((((1-GroundAKHIDiscount)*'Ground Base'!J17)+GroundResidentialFee)*(1+GroundFuelSurcharge),2)))*(1+FedEx_Markup),2)</f>
        <v>104.35</v>
      </c>
      <c r="K22" s="275">
        <f>ROUND((IF('Ground Base'!K$154&gt;ROUND(((1-GroundZone51Discount)*'Ground Base'!K17),2),ROUND(('Ground Base'!K$154+GroundResidentialFee)*(1+GroundFuelSurcharge),2),ROUND((((1-GroundZone51Discount)*'Ground Base'!K17)+GroundResidentialFee)*(1+GroundFuelSurcharge),2)))*(1+FedEx_Markup),2)</f>
        <v>36.83</v>
      </c>
      <c r="L22" s="275">
        <f>ROUND((IF('Ground Base'!L$154&gt;ROUND(((1-GroundZone54Discount)*'Ground Base'!L17),2),ROUND(('Ground Base'!L$154+GroundResidentialFee)*(1+GroundFuelSurcharge),2),ROUND((((1-GroundZone54Discount)*'Ground Base'!L17)+GroundResidentialFee)*(1+GroundFuelSurcharge),2)))*(1+FedEx_Markup),2)</f>
        <v>43.02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274">
        <v>16.0</v>
      </c>
      <c r="B23" s="275">
        <f>ROUND((IF('Ground Base'!B$154&gt;ROUND(((1-GroundResDiscount11to20-GroundResIncentive)*'Ground Base'!B18),2),ROUND(('Ground Base'!B$154+GroundResidentialFee)*(1+GroundFuelSurcharge),2),ROUND((((1-GroundResDiscount11to20-GroundResIncentive)*'Ground Base'!B18)+GroundResidentialFee)*(1+GroundFuelSurcharge),2)))*(1+FedEx_Markup),2)</f>
        <v>16.53</v>
      </c>
      <c r="C23" s="275">
        <f>ROUND((IF('Ground Base'!C$154&gt;ROUND(((1-GroundResDiscount11to20-GroundResIncentive)*'Ground Base'!C18),2),ROUND(('Ground Base'!C$154+GroundResidentialFee)*(1+GroundFuelSurcharge),2),ROUND((((1-GroundResDiscount11to20-GroundResIncentive)*'Ground Base'!C18)+GroundResidentialFee)*(1+GroundFuelSurcharge),2)))*(1+FedEx_Markup),2)</f>
        <v>16.53</v>
      </c>
      <c r="D23" s="275">
        <f>ROUND((IF('Ground Base'!D$154&gt;ROUND(((1-GroundResDiscount11to20-GroundResIncentive)*'Ground Base'!D18),2),ROUND(('Ground Base'!D$154+GroundResidentialFee)*(1+GroundFuelSurcharge),2),ROUND((((1-GroundResDiscount11to20-GroundResIncentive)*'Ground Base'!D18)+GroundResidentialFee)*(1+GroundFuelSurcharge),2)))*(1+FedEx_Markup),2)</f>
        <v>16.53</v>
      </c>
      <c r="E23" s="275">
        <f>ROUND((IF('Ground Base'!E$154&gt;ROUND(((1-GroundResDiscount11to20-GroundResIncentive)*'Ground Base'!E18),2),ROUND(('Ground Base'!E$154+GroundResidentialFee)*(1+GroundFuelSurcharge),2),ROUND((((1-GroundResDiscount11to20-GroundResIncentive)*'Ground Base'!E18)+GroundResidentialFee)*(1+GroundFuelSurcharge),2)))*(1+FedEx_Markup),2)</f>
        <v>17.18</v>
      </c>
      <c r="F23" s="275">
        <f>ROUND((IF('Ground Base'!F$154&gt;ROUND(((1-GroundResDiscount11to20-GroundResIncentive)*'Ground Base'!F18),2),ROUND(('Ground Base'!F$154+GroundResidentialFee)*(1+GroundFuelSurcharge),2),ROUND((((1-GroundResDiscount11to20-GroundResIncentive)*'Ground Base'!F18)+GroundResidentialFee)*(1+GroundFuelSurcharge),2)))*(1+FedEx_Markup),2)</f>
        <v>19.62</v>
      </c>
      <c r="G23" s="275">
        <f>ROUND((IF('Ground Base'!G$154&gt;ROUND(((1-GroundResDiscount11to20-GroundResIncentive)*'Ground Base'!G18),2),ROUND(('Ground Base'!G$154+GroundResidentialFee)*(1+GroundFuelSurcharge),2),ROUND((((1-GroundResDiscount11to20-GroundResIncentive)*'Ground Base'!G18)+GroundResidentialFee)*(1+GroundFuelSurcharge),2)))*(1+FedEx_Markup),2)</f>
        <v>23.49</v>
      </c>
      <c r="H23" s="275">
        <f>ROUND((IF('Ground Base'!H$154&gt;ROUND(((1-GroundResDiscount11to20-GroundResIncentive)*'Ground Base'!H18),2),ROUND(('Ground Base'!H$154+GroundResidentialFee)*(1+GroundFuelSurcharge),2),ROUND((((1-GroundResDiscount11to20-GroundResIncentive)*'Ground Base'!H18)+GroundResidentialFee)*(1+GroundFuelSurcharge),2)))*(1+FedEx_Markup),2)</f>
        <v>25.56</v>
      </c>
      <c r="I23" s="275">
        <f>ROUND((IF('Ground Base'!I$154&gt;ROUND(((1-GroundAKHIDiscount)*'Ground Base'!I18),2),ROUND(('Ground Base'!I$154+GroundResidentialFee)*(1+GroundFuelSurcharge),2),ROUND((((1-GroundAKHIDiscount)*'Ground Base'!I18)+GroundResidentialFee)*(1+GroundFuelSurcharge),2)))*(1+FedEx_Markup),2)</f>
        <v>108.89</v>
      </c>
      <c r="J23" s="275">
        <f>ROUND((IF('Ground Base'!J$154&gt;ROUND(((1-GroundAKHIDiscount)*'Ground Base'!J18),2),ROUND(('Ground Base'!J$154+GroundResidentialFee)*(1+GroundFuelSurcharge),2),ROUND((((1-GroundAKHIDiscount)*'Ground Base'!J18)+GroundResidentialFee)*(1+GroundFuelSurcharge),2)))*(1+FedEx_Markup),2)</f>
        <v>108.89</v>
      </c>
      <c r="K23" s="275">
        <f>ROUND((IF('Ground Base'!K$154&gt;ROUND(((1-GroundZone51Discount)*'Ground Base'!K18),2),ROUND(('Ground Base'!K$154+GroundResidentialFee)*(1+GroundFuelSurcharge),2),ROUND((((1-GroundZone51Discount)*'Ground Base'!K18)+GroundResidentialFee)*(1+GroundFuelSurcharge),2)))*(1+FedEx_Markup),2)</f>
        <v>37.98</v>
      </c>
      <c r="L23" s="275">
        <f>ROUND((IF('Ground Base'!L$154&gt;ROUND(((1-GroundZone54Discount)*'Ground Base'!L18),2),ROUND(('Ground Base'!L$154+GroundResidentialFee)*(1+GroundFuelSurcharge),2),ROUND((((1-GroundZone54Discount)*'Ground Base'!L18)+GroundResidentialFee)*(1+GroundFuelSurcharge),2)))*(1+FedEx_Markup),2)</f>
        <v>44.4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74">
        <v>17.0</v>
      </c>
      <c r="B24" s="275">
        <f>ROUND((IF('Ground Base'!B$154&gt;ROUND(((1-GroundResDiscount11to20-GroundResIncentive)*'Ground Base'!B19),2),ROUND(('Ground Base'!B$154+GroundResidentialFee)*(1+GroundFuelSurcharge),2),ROUND((((1-GroundResDiscount11to20-GroundResIncentive)*'Ground Base'!B19)+GroundResidentialFee)*(1+GroundFuelSurcharge),2)))*(1+FedEx_Markup),2)</f>
        <v>16.53</v>
      </c>
      <c r="C24" s="275">
        <f>ROUND((IF('Ground Base'!C$154&gt;ROUND(((1-GroundResDiscount11to20-GroundResIncentive)*'Ground Base'!C19),2),ROUND(('Ground Base'!C$154+GroundResidentialFee)*(1+GroundFuelSurcharge),2),ROUND((((1-GroundResDiscount11to20-GroundResIncentive)*'Ground Base'!C19)+GroundResidentialFee)*(1+GroundFuelSurcharge),2)))*(1+FedEx_Markup),2)</f>
        <v>16.53</v>
      </c>
      <c r="D24" s="275">
        <f>ROUND((IF('Ground Base'!D$154&gt;ROUND(((1-GroundResDiscount11to20-GroundResIncentive)*'Ground Base'!D19),2),ROUND(('Ground Base'!D$154+GroundResidentialFee)*(1+GroundFuelSurcharge),2),ROUND((((1-GroundResDiscount11to20-GroundResIncentive)*'Ground Base'!D19)+GroundResidentialFee)*(1+GroundFuelSurcharge),2)))*(1+FedEx_Markup),2)</f>
        <v>16.53</v>
      </c>
      <c r="E24" s="275">
        <f>ROUND((IF('Ground Base'!E$154&gt;ROUND(((1-GroundResDiscount11to20-GroundResIncentive)*'Ground Base'!E19),2),ROUND(('Ground Base'!E$154+GroundResidentialFee)*(1+GroundFuelSurcharge),2),ROUND((((1-GroundResDiscount11to20-GroundResIncentive)*'Ground Base'!E19)+GroundResidentialFee)*(1+GroundFuelSurcharge),2)))*(1+FedEx_Markup),2)</f>
        <v>17.58</v>
      </c>
      <c r="F24" s="275">
        <f>ROUND((IF('Ground Base'!F$154&gt;ROUND(((1-GroundResDiscount11to20-GroundResIncentive)*'Ground Base'!F19),2),ROUND(('Ground Base'!F$154+GroundResidentialFee)*(1+GroundFuelSurcharge),2),ROUND((((1-GroundResDiscount11to20-GroundResIncentive)*'Ground Base'!F19)+GroundResidentialFee)*(1+GroundFuelSurcharge),2)))*(1+FedEx_Markup),2)</f>
        <v>20.33</v>
      </c>
      <c r="G24" s="275">
        <f>ROUND((IF('Ground Base'!G$154&gt;ROUND(((1-GroundResDiscount11to20-GroundResIncentive)*'Ground Base'!G19),2),ROUND(('Ground Base'!G$154+GroundResidentialFee)*(1+GroundFuelSurcharge),2),ROUND((((1-GroundResDiscount11to20-GroundResIncentive)*'Ground Base'!G19)+GroundResidentialFee)*(1+GroundFuelSurcharge),2)))*(1+FedEx_Markup),2)</f>
        <v>24.55</v>
      </c>
      <c r="H24" s="275">
        <f>ROUND((IF('Ground Base'!H$154&gt;ROUND(((1-GroundResDiscount11to20-GroundResIncentive)*'Ground Base'!H19),2),ROUND(('Ground Base'!H$154+GroundResidentialFee)*(1+GroundFuelSurcharge),2),ROUND((((1-GroundResDiscount11to20-GroundResIncentive)*'Ground Base'!H19)+GroundResidentialFee)*(1+GroundFuelSurcharge),2)))*(1+FedEx_Markup),2)</f>
        <v>25.56</v>
      </c>
      <c r="I24" s="275">
        <f>ROUND((IF('Ground Base'!I$154&gt;ROUND(((1-GroundAKHIDiscount)*'Ground Base'!I19),2),ROUND(('Ground Base'!I$154+GroundResidentialFee)*(1+GroundFuelSurcharge),2),ROUND((((1-GroundAKHIDiscount)*'Ground Base'!I19)+GroundResidentialFee)*(1+GroundFuelSurcharge),2)))*(1+FedEx_Markup),2)</f>
        <v>113.41</v>
      </c>
      <c r="J24" s="275">
        <f>ROUND((IF('Ground Base'!J$154&gt;ROUND(((1-GroundAKHIDiscount)*'Ground Base'!J19),2),ROUND(('Ground Base'!J$154+GroundResidentialFee)*(1+GroundFuelSurcharge),2),ROUND((((1-GroundAKHIDiscount)*'Ground Base'!J19)+GroundResidentialFee)*(1+GroundFuelSurcharge),2)))*(1+FedEx_Markup),2)</f>
        <v>113.41</v>
      </c>
      <c r="K24" s="275">
        <f>ROUND((IF('Ground Base'!K$154&gt;ROUND(((1-GroundZone51Discount)*'Ground Base'!K19),2),ROUND(('Ground Base'!K$154+GroundResidentialFee)*(1+GroundFuelSurcharge),2),ROUND((((1-GroundZone51Discount)*'Ground Base'!K19)+GroundResidentialFee)*(1+GroundFuelSurcharge),2)))*(1+FedEx_Markup),2)</f>
        <v>38.92</v>
      </c>
      <c r="L24" s="275">
        <f>ROUND((IF('Ground Base'!L$154&gt;ROUND(((1-GroundZone54Discount)*'Ground Base'!L19),2),ROUND(('Ground Base'!L$154+GroundResidentialFee)*(1+GroundFuelSurcharge),2),ROUND((((1-GroundZone54Discount)*'Ground Base'!L19)+GroundResidentialFee)*(1+GroundFuelSurcharge),2)))*(1+FedEx_Markup),2)</f>
        <v>45.57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74">
        <v>18.0</v>
      </c>
      <c r="B25" s="275">
        <f>ROUND((IF('Ground Base'!B$154&gt;ROUND(((1-GroundResDiscount11to20-GroundResIncentive)*'Ground Base'!B20),2),ROUND(('Ground Base'!B$154+GroundResidentialFee)*(1+GroundFuelSurcharge),2),ROUND((((1-GroundResDiscount11to20-GroundResIncentive)*'Ground Base'!B20)+GroundResidentialFee)*(1+GroundFuelSurcharge),2)))*(1+FedEx_Markup),2)</f>
        <v>16.53</v>
      </c>
      <c r="C25" s="275">
        <f>ROUND((IF('Ground Base'!C$154&gt;ROUND(((1-GroundResDiscount11to20-GroundResIncentive)*'Ground Base'!C20),2),ROUND(('Ground Base'!C$154+GroundResidentialFee)*(1+GroundFuelSurcharge),2),ROUND((((1-GroundResDiscount11to20-GroundResIncentive)*'Ground Base'!C20)+GroundResidentialFee)*(1+GroundFuelSurcharge),2)))*(1+FedEx_Markup),2)</f>
        <v>16.53</v>
      </c>
      <c r="D25" s="275">
        <f>ROUND((IF('Ground Base'!D$154&gt;ROUND(((1-GroundResDiscount11to20-GroundResIncentive)*'Ground Base'!D20),2),ROUND(('Ground Base'!D$154+GroundResidentialFee)*(1+GroundFuelSurcharge),2),ROUND((((1-GroundResDiscount11to20-GroundResIncentive)*'Ground Base'!D20)+GroundResidentialFee)*(1+GroundFuelSurcharge),2)))*(1+FedEx_Markup),2)</f>
        <v>16.53</v>
      </c>
      <c r="E25" s="275">
        <f>ROUND((IF('Ground Base'!E$154&gt;ROUND(((1-GroundResDiscount11to20-GroundResIncentive)*'Ground Base'!E20),2),ROUND(('Ground Base'!E$154+GroundResidentialFee)*(1+GroundFuelSurcharge),2),ROUND((((1-GroundResDiscount11to20-GroundResIncentive)*'Ground Base'!E20)+GroundResidentialFee)*(1+GroundFuelSurcharge),2)))*(1+FedEx_Markup),2)</f>
        <v>18.3</v>
      </c>
      <c r="F25" s="275">
        <f>ROUND((IF('Ground Base'!F$154&gt;ROUND(((1-GroundResDiscount11to20-GroundResIncentive)*'Ground Base'!F20),2),ROUND(('Ground Base'!F$154+GroundResidentialFee)*(1+GroundFuelSurcharge),2),ROUND((((1-GroundResDiscount11to20-GroundResIncentive)*'Ground Base'!F20)+GroundResidentialFee)*(1+GroundFuelSurcharge),2)))*(1+FedEx_Markup),2)</f>
        <v>21.25</v>
      </c>
      <c r="G25" s="275">
        <f>ROUND((IF('Ground Base'!G$154&gt;ROUND(((1-GroundResDiscount11to20-GroundResIncentive)*'Ground Base'!G20),2),ROUND(('Ground Base'!G$154+GroundResidentialFee)*(1+GroundFuelSurcharge),2),ROUND((((1-GroundResDiscount11to20-GroundResIncentive)*'Ground Base'!G20)+GroundResidentialFee)*(1+GroundFuelSurcharge),2)))*(1+FedEx_Markup),2)</f>
        <v>25.2</v>
      </c>
      <c r="H25" s="275">
        <f>ROUND((IF('Ground Base'!H$154&gt;ROUND(((1-GroundResDiscount11to20-GroundResIncentive)*'Ground Base'!H20),2),ROUND(('Ground Base'!H$154+GroundResidentialFee)*(1+GroundFuelSurcharge),2),ROUND((((1-GroundResDiscount11to20-GroundResIncentive)*'Ground Base'!H20)+GroundResidentialFee)*(1+GroundFuelSurcharge),2)))*(1+FedEx_Markup),2)</f>
        <v>27.35</v>
      </c>
      <c r="I25" s="275">
        <f>ROUND((IF('Ground Base'!I$154&gt;ROUND(((1-GroundAKHIDiscount)*'Ground Base'!I20),2),ROUND(('Ground Base'!I$154+GroundResidentialFee)*(1+GroundFuelSurcharge),2),ROUND((((1-GroundAKHIDiscount)*'Ground Base'!I20)+GroundResidentialFee)*(1+GroundFuelSurcharge),2)))*(1+FedEx_Markup),2)</f>
        <v>117.99</v>
      </c>
      <c r="J25" s="275">
        <f>ROUND((IF('Ground Base'!J$154&gt;ROUND(((1-GroundAKHIDiscount)*'Ground Base'!J20),2),ROUND(('Ground Base'!J$154+GroundResidentialFee)*(1+GroundFuelSurcharge),2),ROUND((((1-GroundAKHIDiscount)*'Ground Base'!J20)+GroundResidentialFee)*(1+GroundFuelSurcharge),2)))*(1+FedEx_Markup),2)</f>
        <v>117.99</v>
      </c>
      <c r="K25" s="275">
        <f>ROUND((IF('Ground Base'!K$154&gt;ROUND(((1-GroundZone51Discount)*'Ground Base'!K20),2),ROUND(('Ground Base'!K$154+GroundResidentialFee)*(1+GroundFuelSurcharge),2),ROUND((((1-GroundZone51Discount)*'Ground Base'!K20)+GroundResidentialFee)*(1+GroundFuelSurcharge),2)))*(1+FedEx_Markup),2)</f>
        <v>40.19</v>
      </c>
      <c r="L25" s="275">
        <f>ROUND((IF('Ground Base'!L$154&gt;ROUND(((1-GroundZone54Discount)*'Ground Base'!L20),2),ROUND(('Ground Base'!L$154+GroundResidentialFee)*(1+GroundFuelSurcharge),2),ROUND((((1-GroundZone54Discount)*'Ground Base'!L20)+GroundResidentialFee)*(1+GroundFuelSurcharge),2)))*(1+FedEx_Markup),2)</f>
        <v>46.85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74">
        <v>19.0</v>
      </c>
      <c r="B26" s="275">
        <f>ROUND((IF('Ground Base'!B$154&gt;ROUND(((1-GroundResDiscount11to20-GroundResIncentive)*'Ground Base'!B21),2),ROUND(('Ground Base'!B$154+GroundResidentialFee)*(1+GroundFuelSurcharge),2),ROUND((((1-GroundResDiscount11to20-GroundResIncentive)*'Ground Base'!B21)+GroundResidentialFee)*(1+GroundFuelSurcharge),2)))*(1+FedEx_Markup),2)</f>
        <v>16.53</v>
      </c>
      <c r="C26" s="275">
        <f>ROUND((IF('Ground Base'!C$154&gt;ROUND(((1-GroundResDiscount11to20-GroundResIncentive)*'Ground Base'!C21),2),ROUND(('Ground Base'!C$154+GroundResidentialFee)*(1+GroundFuelSurcharge),2),ROUND((((1-GroundResDiscount11to20-GroundResIncentive)*'Ground Base'!C21)+GroundResidentialFee)*(1+GroundFuelSurcharge),2)))*(1+FedEx_Markup),2)</f>
        <v>16.53</v>
      </c>
      <c r="D26" s="275">
        <f>ROUND((IF('Ground Base'!D$154&gt;ROUND(((1-GroundResDiscount11to20-GroundResIncentive)*'Ground Base'!D21),2),ROUND(('Ground Base'!D$154+GroundResidentialFee)*(1+GroundFuelSurcharge),2),ROUND((((1-GroundResDiscount11to20-GroundResIncentive)*'Ground Base'!D21)+GroundResidentialFee)*(1+GroundFuelSurcharge),2)))*(1+FedEx_Markup),2)</f>
        <v>16.53</v>
      </c>
      <c r="E26" s="275">
        <f>ROUND((IF('Ground Base'!E$154&gt;ROUND(((1-GroundResDiscount11to20-GroundResIncentive)*'Ground Base'!E21),2),ROUND(('Ground Base'!E$154+GroundResidentialFee)*(1+GroundFuelSurcharge),2),ROUND((((1-GroundResDiscount11to20-GroundResIncentive)*'Ground Base'!E21)+GroundResidentialFee)*(1+GroundFuelSurcharge),2)))*(1+FedEx_Markup),2)</f>
        <v>19.02</v>
      </c>
      <c r="F26" s="275">
        <f>ROUND((IF('Ground Base'!F$154&gt;ROUND(((1-GroundResDiscount11to20-GroundResIncentive)*'Ground Base'!F21),2),ROUND(('Ground Base'!F$154+GroundResidentialFee)*(1+GroundFuelSurcharge),2),ROUND((((1-GroundResDiscount11to20-GroundResIncentive)*'Ground Base'!F21)+GroundResidentialFee)*(1+GroundFuelSurcharge),2)))*(1+FedEx_Markup),2)</f>
        <v>21.79</v>
      </c>
      <c r="G26" s="275">
        <f>ROUND((IF('Ground Base'!G$154&gt;ROUND(((1-GroundResDiscount11to20-GroundResIncentive)*'Ground Base'!G21),2),ROUND(('Ground Base'!G$154+GroundResidentialFee)*(1+GroundFuelSurcharge),2),ROUND((((1-GroundResDiscount11to20-GroundResIncentive)*'Ground Base'!G21)+GroundResidentialFee)*(1+GroundFuelSurcharge),2)))*(1+FedEx_Markup),2)</f>
        <v>25.88</v>
      </c>
      <c r="H26" s="275">
        <f>ROUND((IF('Ground Base'!H$154&gt;ROUND(((1-GroundResDiscount11to20-GroundResIncentive)*'Ground Base'!H21),2),ROUND(('Ground Base'!H$154+GroundResidentialFee)*(1+GroundFuelSurcharge),2),ROUND((((1-GroundResDiscount11to20-GroundResIncentive)*'Ground Base'!H21)+GroundResidentialFee)*(1+GroundFuelSurcharge),2)))*(1+FedEx_Markup),2)</f>
        <v>28.52</v>
      </c>
      <c r="I26" s="275">
        <f>ROUND((IF('Ground Base'!I$154&gt;ROUND(((1-GroundAKHIDiscount)*'Ground Base'!I21),2),ROUND(('Ground Base'!I$154+GroundResidentialFee)*(1+GroundFuelSurcharge),2),ROUND((((1-GroundAKHIDiscount)*'Ground Base'!I21)+GroundResidentialFee)*(1+GroundFuelSurcharge),2)))*(1+FedEx_Markup),2)</f>
        <v>122.53</v>
      </c>
      <c r="J26" s="275">
        <f>ROUND((IF('Ground Base'!J$154&gt;ROUND(((1-GroundAKHIDiscount)*'Ground Base'!J21),2),ROUND(('Ground Base'!J$154+GroundResidentialFee)*(1+GroundFuelSurcharge),2),ROUND((((1-GroundAKHIDiscount)*'Ground Base'!J21)+GroundResidentialFee)*(1+GroundFuelSurcharge),2)))*(1+FedEx_Markup),2)</f>
        <v>122.53</v>
      </c>
      <c r="K26" s="275">
        <f>ROUND((IF('Ground Base'!K$154&gt;ROUND(((1-GroundZone51Discount)*'Ground Base'!K21),2),ROUND(('Ground Base'!K$154+GroundResidentialFee)*(1+GroundFuelSurcharge),2),ROUND((((1-GroundZone51Discount)*'Ground Base'!K21)+GroundResidentialFee)*(1+GroundFuelSurcharge),2)))*(1+FedEx_Markup),2)</f>
        <v>41.37</v>
      </c>
      <c r="L26" s="275">
        <f>ROUND((IF('Ground Base'!L$154&gt;ROUND(((1-GroundZone54Discount)*'Ground Base'!L21),2),ROUND(('Ground Base'!L$154+GroundResidentialFee)*(1+GroundFuelSurcharge),2),ROUND((((1-GroundZone54Discount)*'Ground Base'!L21)+GroundResidentialFee)*(1+GroundFuelSurcharge),2)))*(1+FedEx_Markup),2)</f>
        <v>48.14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74">
        <v>20.0</v>
      </c>
      <c r="B27" s="275">
        <f>ROUND((IF('Ground Base'!B$154&gt;ROUND(((1-GroundResDiscount11to20-GroundResIncentive)*'Ground Base'!B22),2),ROUND(('Ground Base'!B$154+GroundResidentialFee)*(1+GroundFuelSurcharge),2),ROUND((((1-GroundResDiscount11to20-GroundResIncentive)*'Ground Base'!B22)+GroundResidentialFee)*(1+GroundFuelSurcharge),2)))*(1+FedEx_Markup),2)</f>
        <v>16.53</v>
      </c>
      <c r="C27" s="275">
        <f>ROUND((IF('Ground Base'!C$154&gt;ROUND(((1-GroundResDiscount11to20-GroundResIncentive)*'Ground Base'!C22),2),ROUND(('Ground Base'!C$154+GroundResidentialFee)*(1+GroundFuelSurcharge),2),ROUND((((1-GroundResDiscount11to20-GroundResIncentive)*'Ground Base'!C22)+GroundResidentialFee)*(1+GroundFuelSurcharge),2)))*(1+FedEx_Markup),2)</f>
        <v>16.53</v>
      </c>
      <c r="D27" s="275">
        <f>ROUND((IF('Ground Base'!D$154&gt;ROUND(((1-GroundResDiscount11to20-GroundResIncentive)*'Ground Base'!D22),2),ROUND(('Ground Base'!D$154+GroundResidentialFee)*(1+GroundFuelSurcharge),2),ROUND((((1-GroundResDiscount11to20-GroundResIncentive)*'Ground Base'!D22)+GroundResidentialFee)*(1+GroundFuelSurcharge),2)))*(1+FedEx_Markup),2)</f>
        <v>16.53</v>
      </c>
      <c r="E27" s="275">
        <f>ROUND((IF('Ground Base'!E$154&gt;ROUND(((1-GroundResDiscount11to20-GroundResIncentive)*'Ground Base'!E22),2),ROUND(('Ground Base'!E$154+GroundResidentialFee)*(1+GroundFuelSurcharge),2),ROUND((((1-GroundResDiscount11to20-GroundResIncentive)*'Ground Base'!E22)+GroundResidentialFee)*(1+GroundFuelSurcharge),2)))*(1+FedEx_Markup),2)</f>
        <v>19.67</v>
      </c>
      <c r="F27" s="275">
        <f>ROUND((IF('Ground Base'!F$154&gt;ROUND(((1-GroundResDiscount11to20-GroundResIncentive)*'Ground Base'!F22),2),ROUND(('Ground Base'!F$154+GroundResidentialFee)*(1+GroundFuelSurcharge),2),ROUND((((1-GroundResDiscount11to20-GroundResIncentive)*'Ground Base'!F22)+GroundResidentialFee)*(1+GroundFuelSurcharge),2)))*(1+FedEx_Markup),2)</f>
        <v>22.44</v>
      </c>
      <c r="G27" s="275">
        <f>ROUND((IF('Ground Base'!G$154&gt;ROUND(((1-GroundResDiscount11to20-GroundResIncentive)*'Ground Base'!G22),2),ROUND(('Ground Base'!G$154+GroundResidentialFee)*(1+GroundFuelSurcharge),2),ROUND((((1-GroundResDiscount11to20-GroundResIncentive)*'Ground Base'!G22)+GroundResidentialFee)*(1+GroundFuelSurcharge),2)))*(1+FedEx_Markup),2)</f>
        <v>26.74</v>
      </c>
      <c r="H27" s="275">
        <f>ROUND((IF('Ground Base'!H$154&gt;ROUND(((1-GroundResDiscount11to20-GroundResIncentive)*'Ground Base'!H22),2),ROUND(('Ground Base'!H$154+GroundResidentialFee)*(1+GroundFuelSurcharge),2),ROUND((((1-GroundResDiscount11to20-GroundResIncentive)*'Ground Base'!H22)+GroundResidentialFee)*(1+GroundFuelSurcharge),2)))*(1+FedEx_Markup),2)</f>
        <v>29.45</v>
      </c>
      <c r="I27" s="275">
        <f>ROUND((IF('Ground Base'!I$154&gt;ROUND(((1-GroundAKHIDiscount)*'Ground Base'!I22),2),ROUND(('Ground Base'!I$154+GroundResidentialFee)*(1+GroundFuelSurcharge),2),ROUND((((1-GroundAKHIDiscount)*'Ground Base'!I22)+GroundResidentialFee)*(1+GroundFuelSurcharge),2)))*(1+FedEx_Markup),2)</f>
        <v>126.53</v>
      </c>
      <c r="J27" s="275">
        <f>ROUND((IF('Ground Base'!J$154&gt;ROUND(((1-GroundAKHIDiscount)*'Ground Base'!J22),2),ROUND(('Ground Base'!J$154+GroundResidentialFee)*(1+GroundFuelSurcharge),2),ROUND((((1-GroundAKHIDiscount)*'Ground Base'!J22)+GroundResidentialFee)*(1+GroundFuelSurcharge),2)))*(1+FedEx_Markup),2)</f>
        <v>126.53</v>
      </c>
      <c r="K27" s="275">
        <f>ROUND((IF('Ground Base'!K$154&gt;ROUND(((1-GroundZone51Discount)*'Ground Base'!K22),2),ROUND(('Ground Base'!K$154+GroundResidentialFee)*(1+GroundFuelSurcharge),2),ROUND((((1-GroundZone51Discount)*'Ground Base'!K22)+GroundResidentialFee)*(1+GroundFuelSurcharge),2)))*(1+FedEx_Markup),2)</f>
        <v>42.33</v>
      </c>
      <c r="L27" s="275">
        <f>ROUND((IF('Ground Base'!L$154&gt;ROUND(((1-GroundZone54Discount)*'Ground Base'!L22),2),ROUND(('Ground Base'!L$154+GroundResidentialFee)*(1+GroundFuelSurcharge),2),ROUND((((1-GroundZone54Discount)*'Ground Base'!L22)+GroundResidentialFee)*(1+GroundFuelSurcharge),2)))*(1+FedEx_Markup),2)</f>
        <v>49.36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74">
        <v>21.0</v>
      </c>
      <c r="B28" s="275">
        <f>ROUND((IF('Ground Base'!B$154&gt;ROUND(((1-GroundResDiscount21to30-GroundResIncentive)*'Ground Base'!B23),2),ROUND(('Ground Base'!B$154+GroundResidentialFee)*(1+GroundFuelSurcharge),2),ROUND((((1-GroundResDiscount21to30-GroundResIncentive)*'Ground Base'!B23)+GroundResidentialFee)*(1+GroundFuelSurcharge),2)))*(1+FedEx_Markup),2)</f>
        <v>16.53</v>
      </c>
      <c r="C28" s="275">
        <f>ROUND((IF('Ground Base'!C$154&gt;ROUND(((1-GroundResDiscount21to30-GroundResIncentive)*'Ground Base'!C23),2),ROUND(('Ground Base'!C$154+GroundResidentialFee)*(1+GroundFuelSurcharge),2),ROUND((((1-GroundResDiscount21to30-GroundResIncentive)*'Ground Base'!C23)+GroundResidentialFee)*(1+GroundFuelSurcharge),2)))*(1+FedEx_Markup),2)</f>
        <v>16.53</v>
      </c>
      <c r="D28" s="275">
        <f>ROUND((IF('Ground Base'!D$154&gt;ROUND(((1-GroundResDiscount21to30-GroundResIncentive)*'Ground Base'!D23),2),ROUND(('Ground Base'!D$154+GroundResidentialFee)*(1+GroundFuelSurcharge),2),ROUND((((1-GroundResDiscount21to30-GroundResIncentive)*'Ground Base'!D23)+GroundResidentialFee)*(1+GroundFuelSurcharge),2)))*(1+FedEx_Markup),2)</f>
        <v>16.53</v>
      </c>
      <c r="E28" s="275">
        <f>ROUND((IF('Ground Base'!E$154&gt;ROUND(((1-GroundResDiscount21to30-GroundResIncentive)*'Ground Base'!E23),2),ROUND(('Ground Base'!E$154+GroundResidentialFee)*(1+GroundFuelSurcharge),2),ROUND((((1-GroundResDiscount21to30-GroundResIncentive)*'Ground Base'!E23)+GroundResidentialFee)*(1+GroundFuelSurcharge),2)))*(1+FedEx_Markup),2)</f>
        <v>18.43</v>
      </c>
      <c r="F28" s="275">
        <f>ROUND((IF('Ground Base'!F$154&gt;ROUND(((1-GroundResDiscount21to30-GroundResIncentive)*'Ground Base'!F23),2),ROUND(('Ground Base'!F$154+GroundResidentialFee)*(1+GroundFuelSurcharge),2),ROUND((((1-GroundResDiscount21to30-GroundResIncentive)*'Ground Base'!F23)+GroundResidentialFee)*(1+GroundFuelSurcharge),2)))*(1+FedEx_Markup),2)</f>
        <v>21.37</v>
      </c>
      <c r="G28" s="275">
        <f>ROUND((IF('Ground Base'!G$154&gt;ROUND(((1-GroundResDiscount21to30-GroundResIncentive)*'Ground Base'!G23),2),ROUND(('Ground Base'!G$154+GroundResidentialFee)*(1+GroundFuelSurcharge),2),ROUND((((1-GroundResDiscount21to30-GroundResIncentive)*'Ground Base'!G23)+GroundResidentialFee)*(1+GroundFuelSurcharge),2)))*(1+FedEx_Markup),2)</f>
        <v>25.35</v>
      </c>
      <c r="H28" s="275">
        <f>ROUND((IF('Ground Base'!H$154&gt;ROUND(((1-GroundResDiscount21to30-GroundResIncentive)*'Ground Base'!H23),2),ROUND(('Ground Base'!H$154+GroundResidentialFee)*(1+GroundFuelSurcharge),2),ROUND((((1-GroundResDiscount21to30-GroundResIncentive)*'Ground Base'!H23)+GroundResidentialFee)*(1+GroundFuelSurcharge),2)))*(1+FedEx_Markup),2)</f>
        <v>27.98</v>
      </c>
      <c r="I28" s="275">
        <f>ROUND((IF('Ground Base'!I$154&gt;ROUND(((1-GroundAKHIDiscount)*'Ground Base'!I23),2),ROUND(('Ground Base'!I$154+GroundResidentialFee)*(1+GroundFuelSurcharge),2),ROUND((((1-GroundAKHIDiscount)*'Ground Base'!I23)+GroundResidentialFee)*(1+GroundFuelSurcharge),2)))*(1+FedEx_Markup),2)</f>
        <v>129.36</v>
      </c>
      <c r="J28" s="275">
        <f>ROUND((IF('Ground Base'!J$154&gt;ROUND(((1-GroundAKHIDiscount)*'Ground Base'!J23),2),ROUND(('Ground Base'!J$154+GroundResidentialFee)*(1+GroundFuelSurcharge),2),ROUND((((1-GroundAKHIDiscount)*'Ground Base'!J23)+GroundResidentialFee)*(1+GroundFuelSurcharge),2)))*(1+FedEx_Markup),2)</f>
        <v>129.36</v>
      </c>
      <c r="K28" s="275">
        <f>ROUND((IF('Ground Base'!K$154&gt;ROUND(((1-GroundZone51Discount)*'Ground Base'!K23),2),ROUND(('Ground Base'!K$154+GroundResidentialFee)*(1+GroundFuelSurcharge),2),ROUND((((1-GroundZone51Discount)*'Ground Base'!K23)+GroundResidentialFee)*(1+GroundFuelSurcharge),2)))*(1+FedEx_Markup),2)</f>
        <v>43.19</v>
      </c>
      <c r="L28" s="275">
        <f>ROUND((IF('Ground Base'!L$154&gt;ROUND(((1-GroundZone54Discount)*'Ground Base'!L23),2),ROUND(('Ground Base'!L$154+GroundResidentialFee)*(1+GroundFuelSurcharge),2),ROUND((((1-GroundZone54Discount)*'Ground Base'!L23)+GroundResidentialFee)*(1+GroundFuelSurcharge),2)))*(1+FedEx_Markup),2)</f>
        <v>50.55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74">
        <v>22.0</v>
      </c>
      <c r="B29" s="275">
        <f>ROUND((IF('Ground Base'!B$154&gt;ROUND(((1-GroundResDiscount21to30-GroundResIncentive)*'Ground Base'!B24),2),ROUND(('Ground Base'!B$154+GroundResidentialFee)*(1+GroundFuelSurcharge),2),ROUND((((1-GroundResDiscount21to30-GroundResIncentive)*'Ground Base'!B24)+GroundResidentialFee)*(1+GroundFuelSurcharge),2)))*(1+FedEx_Markup),2)</f>
        <v>16.53</v>
      </c>
      <c r="C29" s="275">
        <f>ROUND((IF('Ground Base'!C$154&gt;ROUND(((1-GroundResDiscount21to30-GroundResIncentive)*'Ground Base'!C24),2),ROUND(('Ground Base'!C$154+GroundResidentialFee)*(1+GroundFuelSurcharge),2),ROUND((((1-GroundResDiscount21to30-GroundResIncentive)*'Ground Base'!C24)+GroundResidentialFee)*(1+GroundFuelSurcharge),2)))*(1+FedEx_Markup),2)</f>
        <v>16.53</v>
      </c>
      <c r="D29" s="275">
        <f>ROUND((IF('Ground Base'!D$154&gt;ROUND(((1-GroundResDiscount21to30-GroundResIncentive)*'Ground Base'!D24),2),ROUND(('Ground Base'!D$154+GroundResidentialFee)*(1+GroundFuelSurcharge),2),ROUND((((1-GroundResDiscount21to30-GroundResIncentive)*'Ground Base'!D24)+GroundResidentialFee)*(1+GroundFuelSurcharge),2)))*(1+FedEx_Markup),2)</f>
        <v>16.53</v>
      </c>
      <c r="E29" s="275">
        <f>ROUND((IF('Ground Base'!E$154&gt;ROUND(((1-GroundResDiscount21to30-GroundResIncentive)*'Ground Base'!E24),2),ROUND(('Ground Base'!E$154+GroundResidentialFee)*(1+GroundFuelSurcharge),2),ROUND((((1-GroundResDiscount21to30-GroundResIncentive)*'Ground Base'!E24)+GroundResidentialFee)*(1+GroundFuelSurcharge),2)))*(1+FedEx_Markup),2)</f>
        <v>18.87</v>
      </c>
      <c r="F29" s="275">
        <f>ROUND((IF('Ground Base'!F$154&gt;ROUND(((1-GroundResDiscount21to30-GroundResIncentive)*'Ground Base'!F24),2),ROUND(('Ground Base'!F$154+GroundResidentialFee)*(1+GroundFuelSurcharge),2),ROUND((((1-GroundResDiscount21to30-GroundResIncentive)*'Ground Base'!F24)+GroundResidentialFee)*(1+GroundFuelSurcharge),2)))*(1+FedEx_Markup),2)</f>
        <v>22.11</v>
      </c>
      <c r="G29" s="275">
        <f>ROUND((IF('Ground Base'!G$154&gt;ROUND(((1-GroundResDiscount21to30-GroundResIncentive)*'Ground Base'!G24),2),ROUND(('Ground Base'!G$154+GroundResidentialFee)*(1+GroundFuelSurcharge),2),ROUND((((1-GroundResDiscount21to30-GroundResIncentive)*'Ground Base'!G24)+GroundResidentialFee)*(1+GroundFuelSurcharge),2)))*(1+FedEx_Markup),2)</f>
        <v>26.19</v>
      </c>
      <c r="H29" s="275">
        <f>ROUND((IF('Ground Base'!H$154&gt;ROUND(((1-GroundResDiscount21to30-GroundResIncentive)*'Ground Base'!H24),2),ROUND(('Ground Base'!H$154+GroundResidentialFee)*(1+GroundFuelSurcharge),2),ROUND((((1-GroundResDiscount21to30-GroundResIncentive)*'Ground Base'!H24)+GroundResidentialFee)*(1+GroundFuelSurcharge),2)))*(1+FedEx_Markup),2)</f>
        <v>29.1</v>
      </c>
      <c r="I29" s="275">
        <f>ROUND((IF('Ground Base'!I$154&gt;ROUND(((1-GroundAKHIDiscount)*'Ground Base'!I24),2),ROUND(('Ground Base'!I$154+GroundResidentialFee)*(1+GroundFuelSurcharge),2),ROUND((((1-GroundAKHIDiscount)*'Ground Base'!I24)+GroundResidentialFee)*(1+GroundFuelSurcharge),2)))*(1+FedEx_Markup),2)</f>
        <v>133.33</v>
      </c>
      <c r="J29" s="275">
        <f>ROUND((IF('Ground Base'!J$154&gt;ROUND(((1-GroundAKHIDiscount)*'Ground Base'!J24),2),ROUND(('Ground Base'!J$154+GroundResidentialFee)*(1+GroundFuelSurcharge),2),ROUND((((1-GroundAKHIDiscount)*'Ground Base'!J24)+GroundResidentialFee)*(1+GroundFuelSurcharge),2)))*(1+FedEx_Markup),2)</f>
        <v>133.33</v>
      </c>
      <c r="K29" s="275">
        <f>ROUND((IF('Ground Base'!K$154&gt;ROUND(((1-GroundZone51Discount)*'Ground Base'!K24),2),ROUND(('Ground Base'!K$154+GroundResidentialFee)*(1+GroundFuelSurcharge),2),ROUND((((1-GroundZone51Discount)*'Ground Base'!K24)+GroundResidentialFee)*(1+GroundFuelSurcharge),2)))*(1+FedEx_Markup),2)</f>
        <v>44.42</v>
      </c>
      <c r="L29" s="275">
        <f>ROUND((IF('Ground Base'!L$154&gt;ROUND(((1-GroundZone54Discount)*'Ground Base'!L24),2),ROUND(('Ground Base'!L$154+GroundResidentialFee)*(1+GroundFuelSurcharge),2),ROUND((((1-GroundZone54Discount)*'Ground Base'!L24)+GroundResidentialFee)*(1+GroundFuelSurcharge),2)))*(1+FedEx_Markup),2)</f>
        <v>51.93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74">
        <v>23.0</v>
      </c>
      <c r="B30" s="275">
        <f>ROUND((IF('Ground Base'!B$154&gt;ROUND(((1-GroundResDiscount21to30-GroundResIncentive)*'Ground Base'!B25),2),ROUND(('Ground Base'!B$154+GroundResidentialFee)*(1+GroundFuelSurcharge),2),ROUND((((1-GroundResDiscount21to30-GroundResIncentive)*'Ground Base'!B25)+GroundResidentialFee)*(1+GroundFuelSurcharge),2)))*(1+FedEx_Markup),2)</f>
        <v>16.53</v>
      </c>
      <c r="C30" s="275">
        <f>ROUND((IF('Ground Base'!C$154&gt;ROUND(((1-GroundResDiscount21to30-GroundResIncentive)*'Ground Base'!C25),2),ROUND(('Ground Base'!C$154+GroundResidentialFee)*(1+GroundFuelSurcharge),2),ROUND((((1-GroundResDiscount21to30-GroundResIncentive)*'Ground Base'!C25)+GroundResidentialFee)*(1+GroundFuelSurcharge),2)))*(1+FedEx_Markup),2)</f>
        <v>16.53</v>
      </c>
      <c r="D30" s="275">
        <f>ROUND((IF('Ground Base'!D$154&gt;ROUND(((1-GroundResDiscount21to30-GroundResIncentive)*'Ground Base'!D25),2),ROUND(('Ground Base'!D$154+GroundResidentialFee)*(1+GroundFuelSurcharge),2),ROUND((((1-GroundResDiscount21to30-GroundResIncentive)*'Ground Base'!D25)+GroundResidentialFee)*(1+GroundFuelSurcharge),2)))*(1+FedEx_Markup),2)</f>
        <v>16.69</v>
      </c>
      <c r="E30" s="275">
        <f>ROUND((IF('Ground Base'!E$154&gt;ROUND(((1-GroundResDiscount21to30-GroundResIncentive)*'Ground Base'!E25),2),ROUND(('Ground Base'!E$154+GroundResidentialFee)*(1+GroundFuelSurcharge),2),ROUND((((1-GroundResDiscount21to30-GroundResIncentive)*'Ground Base'!E25)+GroundResidentialFee)*(1+GroundFuelSurcharge),2)))*(1+FedEx_Markup),2)</f>
        <v>19.17</v>
      </c>
      <c r="F30" s="275">
        <f>ROUND((IF('Ground Base'!F$154&gt;ROUND(((1-GroundResDiscount21to30-GroundResIncentive)*'Ground Base'!F25),2),ROUND(('Ground Base'!F$154+GroundResidentialFee)*(1+GroundFuelSurcharge),2),ROUND((((1-GroundResDiscount21to30-GroundResIncentive)*'Ground Base'!F25)+GroundResidentialFee)*(1+GroundFuelSurcharge),2)))*(1+FedEx_Markup),2)</f>
        <v>22.85</v>
      </c>
      <c r="G30" s="275">
        <f>ROUND((IF('Ground Base'!G$154&gt;ROUND(((1-GroundResDiscount21to30-GroundResIncentive)*'Ground Base'!G25),2),ROUND(('Ground Base'!G$154+GroundResidentialFee)*(1+GroundFuelSurcharge),2),ROUND((((1-GroundResDiscount21to30-GroundResIncentive)*'Ground Base'!G25)+GroundResidentialFee)*(1+GroundFuelSurcharge),2)))*(1+FedEx_Markup),2)</f>
        <v>26.75</v>
      </c>
      <c r="H30" s="275">
        <f>ROUND((IF('Ground Base'!H$154&gt;ROUND(((1-GroundResDiscount21to30-GroundResIncentive)*'Ground Base'!H25),2),ROUND(('Ground Base'!H$154+GroundResidentialFee)*(1+GroundFuelSurcharge),2),ROUND((((1-GroundResDiscount21to30-GroundResIncentive)*'Ground Base'!H25)+GroundResidentialFee)*(1+GroundFuelSurcharge),2)))*(1+FedEx_Markup),2)</f>
        <v>30.13</v>
      </c>
      <c r="I30" s="275">
        <f>ROUND((IF('Ground Base'!I$154&gt;ROUND(((1-GroundAKHIDiscount)*'Ground Base'!I25),2),ROUND(('Ground Base'!I$154+GroundResidentialFee)*(1+GroundFuelSurcharge),2),ROUND((((1-GroundAKHIDiscount)*'Ground Base'!I25)+GroundResidentialFee)*(1+GroundFuelSurcharge),2)))*(1+FedEx_Markup),2)</f>
        <v>137.26</v>
      </c>
      <c r="J30" s="275">
        <f>ROUND((IF('Ground Base'!J$154&gt;ROUND(((1-GroundAKHIDiscount)*'Ground Base'!J25),2),ROUND(('Ground Base'!J$154+GroundResidentialFee)*(1+GroundFuelSurcharge),2),ROUND((((1-GroundAKHIDiscount)*'Ground Base'!J25)+GroundResidentialFee)*(1+GroundFuelSurcharge),2)))*(1+FedEx_Markup),2)</f>
        <v>137.26</v>
      </c>
      <c r="K30" s="275">
        <f>ROUND((IF('Ground Base'!K$154&gt;ROUND(((1-GroundZone51Discount)*'Ground Base'!K25),2),ROUND(('Ground Base'!K$154+GroundResidentialFee)*(1+GroundFuelSurcharge),2),ROUND((((1-GroundZone51Discount)*'Ground Base'!K25)+GroundResidentialFee)*(1+GroundFuelSurcharge),2)))*(1+FedEx_Markup),2)</f>
        <v>45.45</v>
      </c>
      <c r="L30" s="275">
        <f>ROUND((IF('Ground Base'!L$154&gt;ROUND(((1-GroundZone54Discount)*'Ground Base'!L25),2),ROUND(('Ground Base'!L$154+GroundResidentialFee)*(1+GroundFuelSurcharge),2),ROUND((((1-GroundZone54Discount)*'Ground Base'!L25)+GroundResidentialFee)*(1+GroundFuelSurcharge),2)))*(1+FedEx_Markup),2)</f>
        <v>53.15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74">
        <v>24.0</v>
      </c>
      <c r="B31" s="275">
        <f>ROUND((IF('Ground Base'!B$154&gt;ROUND(((1-GroundResDiscount21to30-GroundResIncentive)*'Ground Base'!B26),2),ROUND(('Ground Base'!B$154+GroundResidentialFee)*(1+GroundFuelSurcharge),2),ROUND((((1-GroundResDiscount21to30-GroundResIncentive)*'Ground Base'!B26)+GroundResidentialFee)*(1+GroundFuelSurcharge),2)))*(1+FedEx_Markup),2)</f>
        <v>16.53</v>
      </c>
      <c r="C31" s="275">
        <f>ROUND((IF('Ground Base'!C$154&gt;ROUND(((1-GroundResDiscount21to30-GroundResIncentive)*'Ground Base'!C26),2),ROUND(('Ground Base'!C$154+GroundResidentialFee)*(1+GroundFuelSurcharge),2),ROUND((((1-GroundResDiscount21to30-GroundResIncentive)*'Ground Base'!C26)+GroundResidentialFee)*(1+GroundFuelSurcharge),2)))*(1+FedEx_Markup),2)</f>
        <v>16.53</v>
      </c>
      <c r="D31" s="275">
        <f>ROUND((IF('Ground Base'!D$154&gt;ROUND(((1-GroundResDiscount21to30-GroundResIncentive)*'Ground Base'!D26),2),ROUND(('Ground Base'!D$154+GroundResidentialFee)*(1+GroundFuelSurcharge),2),ROUND((((1-GroundResDiscount21to30-GroundResIncentive)*'Ground Base'!D26)+GroundResidentialFee)*(1+GroundFuelSurcharge),2)))*(1+FedEx_Markup),2)</f>
        <v>17.41</v>
      </c>
      <c r="E31" s="275">
        <f>ROUND((IF('Ground Base'!E$154&gt;ROUND(((1-GroundResDiscount21to30-GroundResIncentive)*'Ground Base'!E26),2),ROUND(('Ground Base'!E$154+GroundResidentialFee)*(1+GroundFuelSurcharge),2),ROUND((((1-GroundResDiscount21to30-GroundResIncentive)*'Ground Base'!E26)+GroundResidentialFee)*(1+GroundFuelSurcharge),2)))*(1+FedEx_Markup),2)</f>
        <v>20.04</v>
      </c>
      <c r="F31" s="275">
        <f>ROUND((IF('Ground Base'!F$154&gt;ROUND(((1-GroundResDiscount21to30-GroundResIncentive)*'Ground Base'!F26),2),ROUND(('Ground Base'!F$154+GroundResidentialFee)*(1+GroundFuelSurcharge),2),ROUND((((1-GroundResDiscount21to30-GroundResIncentive)*'Ground Base'!F26)+GroundResidentialFee)*(1+GroundFuelSurcharge),2)))*(1+FedEx_Markup),2)</f>
        <v>23.81</v>
      </c>
      <c r="G31" s="275">
        <f>ROUND((IF('Ground Base'!G$154&gt;ROUND(((1-GroundResDiscount21to30-GroundResIncentive)*'Ground Base'!G26),2),ROUND(('Ground Base'!G$154+GroundResidentialFee)*(1+GroundFuelSurcharge),2),ROUND((((1-GroundResDiscount21to30-GroundResIncentive)*'Ground Base'!G26)+GroundResidentialFee)*(1+GroundFuelSurcharge),2)))*(1+FedEx_Markup),2)</f>
        <v>27.54</v>
      </c>
      <c r="H31" s="275">
        <f>ROUND((IF('Ground Base'!H$154&gt;ROUND(((1-GroundResDiscount21to30-GroundResIncentive)*'Ground Base'!H26),2),ROUND(('Ground Base'!H$154+GroundResidentialFee)*(1+GroundFuelSurcharge),2),ROUND((((1-GroundResDiscount21to30-GroundResIncentive)*'Ground Base'!H26)+GroundResidentialFee)*(1+GroundFuelSurcharge),2)))*(1+FedEx_Markup),2)</f>
        <v>31.69</v>
      </c>
      <c r="I31" s="275">
        <f>ROUND((IF('Ground Base'!I$154&gt;ROUND(((1-GroundAKHIDiscount)*'Ground Base'!I26),2),ROUND(('Ground Base'!I$154+GroundResidentialFee)*(1+GroundFuelSurcharge),2),ROUND((((1-GroundAKHIDiscount)*'Ground Base'!I26)+GroundResidentialFee)*(1+GroundFuelSurcharge),2)))*(1+FedEx_Markup),2)</f>
        <v>141.68</v>
      </c>
      <c r="J31" s="275">
        <f>ROUND((IF('Ground Base'!J$154&gt;ROUND(((1-GroundAKHIDiscount)*'Ground Base'!J26),2),ROUND(('Ground Base'!J$154+GroundResidentialFee)*(1+GroundFuelSurcharge),2),ROUND((((1-GroundAKHIDiscount)*'Ground Base'!J26)+GroundResidentialFee)*(1+GroundFuelSurcharge),2)))*(1+FedEx_Markup),2)</f>
        <v>141.68</v>
      </c>
      <c r="K31" s="275">
        <f>ROUND((IF('Ground Base'!K$154&gt;ROUND(((1-GroundZone51Discount)*'Ground Base'!K26),2),ROUND(('Ground Base'!K$154+GroundResidentialFee)*(1+GroundFuelSurcharge),2),ROUND((((1-GroundZone51Discount)*'Ground Base'!K26)+GroundResidentialFee)*(1+GroundFuelSurcharge),2)))*(1+FedEx_Markup),2)</f>
        <v>46.54</v>
      </c>
      <c r="L31" s="275">
        <f>ROUND((IF('Ground Base'!L$154&gt;ROUND(((1-GroundZone54Discount)*'Ground Base'!L26),2),ROUND(('Ground Base'!L$154+GroundResidentialFee)*(1+GroundFuelSurcharge),2),ROUND((((1-GroundZone54Discount)*'Ground Base'!L26)+GroundResidentialFee)*(1+GroundFuelSurcharge),2)))*(1+FedEx_Markup),2)</f>
        <v>54.38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274">
        <v>25.0</v>
      </c>
      <c r="B32" s="275">
        <f>ROUND((IF('Ground Base'!B$154&gt;ROUND(((1-GroundResDiscount21to30-GroundResIncentive)*'Ground Base'!B27),2),ROUND(('Ground Base'!B$154+GroundResidentialFee)*(1+GroundFuelSurcharge),2),ROUND((((1-GroundResDiscount21to30-GroundResIncentive)*'Ground Base'!B27)+GroundResidentialFee)*(1+GroundFuelSurcharge),2)))*(1+FedEx_Markup),2)</f>
        <v>16.53</v>
      </c>
      <c r="C32" s="275">
        <f>ROUND((IF('Ground Base'!C$154&gt;ROUND(((1-GroundResDiscount21to30-GroundResIncentive)*'Ground Base'!C27),2),ROUND(('Ground Base'!C$154+GroundResidentialFee)*(1+GroundFuelSurcharge),2),ROUND((((1-GroundResDiscount21to30-GroundResIncentive)*'Ground Base'!C27)+GroundResidentialFee)*(1+GroundFuelSurcharge),2)))*(1+FedEx_Markup),2)</f>
        <v>16.51</v>
      </c>
      <c r="D32" s="275">
        <f>ROUND((IF('Ground Base'!D$154&gt;ROUND(((1-GroundResDiscount21to30-GroundResIncentive)*'Ground Base'!D27),2),ROUND(('Ground Base'!D$154+GroundResidentialFee)*(1+GroundFuelSurcharge),2),ROUND((((1-GroundResDiscount21to30-GroundResIncentive)*'Ground Base'!D27)+GroundResidentialFee)*(1+GroundFuelSurcharge),2)))*(1+FedEx_Markup),2)</f>
        <v>17.48</v>
      </c>
      <c r="E32" s="275">
        <f>ROUND((IF('Ground Base'!E$154&gt;ROUND(((1-GroundResDiscount21to30-GroundResIncentive)*'Ground Base'!E27),2),ROUND(('Ground Base'!E$154+GroundResidentialFee)*(1+GroundFuelSurcharge),2),ROUND((((1-GroundResDiscount21to30-GroundResIncentive)*'Ground Base'!E27)+GroundResidentialFee)*(1+GroundFuelSurcharge),2)))*(1+FedEx_Markup),2)</f>
        <v>20.37</v>
      </c>
      <c r="F32" s="275">
        <f>ROUND((IF('Ground Base'!F$154&gt;ROUND(((1-GroundResDiscount21to30-GroundResIncentive)*'Ground Base'!F27),2),ROUND(('Ground Base'!F$154+GroundResidentialFee)*(1+GroundFuelSurcharge),2),ROUND((((1-GroundResDiscount21to30-GroundResIncentive)*'Ground Base'!F27)+GroundResidentialFee)*(1+GroundFuelSurcharge),2)))*(1+FedEx_Markup),2)</f>
        <v>24.41</v>
      </c>
      <c r="G32" s="275">
        <f>ROUND((IF('Ground Base'!G$154&gt;ROUND(((1-GroundResDiscount21to30-GroundResIncentive)*'Ground Base'!G27),2),ROUND(('Ground Base'!G$154+GroundResidentialFee)*(1+GroundFuelSurcharge),2),ROUND((((1-GroundResDiscount21to30-GroundResIncentive)*'Ground Base'!G27)+GroundResidentialFee)*(1+GroundFuelSurcharge),2)))*(1+FedEx_Markup),2)</f>
        <v>28.91</v>
      </c>
      <c r="H32" s="275">
        <f>ROUND((IF('Ground Base'!H$154&gt;ROUND(((1-GroundResDiscount21to30-GroundResIncentive)*'Ground Base'!H27),2),ROUND(('Ground Base'!H$154+GroundResidentialFee)*(1+GroundFuelSurcharge),2),ROUND((((1-GroundResDiscount21to30-GroundResIncentive)*'Ground Base'!H27)+GroundResidentialFee)*(1+GroundFuelSurcharge),2)))*(1+FedEx_Markup),2)</f>
        <v>32.58</v>
      </c>
      <c r="I32" s="275">
        <f>ROUND((IF('Ground Base'!I$154&gt;ROUND(((1-GroundAKHIDiscount)*'Ground Base'!I27),2),ROUND(('Ground Base'!I$154+GroundResidentialFee)*(1+GroundFuelSurcharge),2),ROUND((((1-GroundAKHIDiscount)*'Ground Base'!I27)+GroundResidentialFee)*(1+GroundFuelSurcharge),2)))*(1+FedEx_Markup),2)</f>
        <v>145.97</v>
      </c>
      <c r="J32" s="275">
        <f>ROUND((IF('Ground Base'!J$154&gt;ROUND(((1-GroundAKHIDiscount)*'Ground Base'!J27),2),ROUND(('Ground Base'!J$154+GroundResidentialFee)*(1+GroundFuelSurcharge),2),ROUND((((1-GroundAKHIDiscount)*'Ground Base'!J27)+GroundResidentialFee)*(1+GroundFuelSurcharge),2)))*(1+FedEx_Markup),2)</f>
        <v>145.97</v>
      </c>
      <c r="K32" s="275">
        <f>ROUND((IF('Ground Base'!K$154&gt;ROUND(((1-GroundZone51Discount)*'Ground Base'!K27),2),ROUND(('Ground Base'!K$154+GroundResidentialFee)*(1+GroundFuelSurcharge),2),ROUND((((1-GroundZone51Discount)*'Ground Base'!K27)+GroundResidentialFee)*(1+GroundFuelSurcharge),2)))*(1+FedEx_Markup),2)</f>
        <v>47.39</v>
      </c>
      <c r="L32" s="275">
        <f>ROUND((IF('Ground Base'!L$154&gt;ROUND(((1-GroundZone54Discount)*'Ground Base'!L27),2),ROUND(('Ground Base'!L$154+GroundResidentialFee)*(1+GroundFuelSurcharge),2),ROUND((((1-GroundZone54Discount)*'Ground Base'!L27)+GroundResidentialFee)*(1+GroundFuelSurcharge),2)))*(1+FedEx_Markup),2)</f>
        <v>55.61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274">
        <v>26.0</v>
      </c>
      <c r="B33" s="275">
        <f>ROUND((IF('Ground Base'!B$154&gt;ROUND(((1-GroundResDiscount21to30-GroundResIncentive)*'Ground Base'!B28),2),ROUND(('Ground Base'!B$154+GroundResidentialFee)*(1+GroundFuelSurcharge),2),ROUND((((1-GroundResDiscount21to30-GroundResIncentive)*'Ground Base'!B28)+GroundResidentialFee)*(1+GroundFuelSurcharge),2)))*(1+FedEx_Markup),2)</f>
        <v>16.53</v>
      </c>
      <c r="C33" s="275">
        <f>ROUND((IF('Ground Base'!C$154&gt;ROUND(((1-GroundResDiscount21to30-GroundResIncentive)*'Ground Base'!C28),2),ROUND(('Ground Base'!C$154+GroundResidentialFee)*(1+GroundFuelSurcharge),2),ROUND((((1-GroundResDiscount21to30-GroundResIncentive)*'Ground Base'!C28)+GroundResidentialFee)*(1+GroundFuelSurcharge),2)))*(1+FedEx_Markup),2)</f>
        <v>16.99</v>
      </c>
      <c r="D33" s="275">
        <f>ROUND((IF('Ground Base'!D$154&gt;ROUND(((1-GroundResDiscount21to30-GroundResIncentive)*'Ground Base'!D28),2),ROUND(('Ground Base'!D$154+GroundResidentialFee)*(1+GroundFuelSurcharge),2),ROUND((((1-GroundResDiscount21to30-GroundResIncentive)*'Ground Base'!D28)+GroundResidentialFee)*(1+GroundFuelSurcharge),2)))*(1+FedEx_Markup),2)</f>
        <v>18.09</v>
      </c>
      <c r="E33" s="275">
        <f>ROUND((IF('Ground Base'!E$154&gt;ROUND(((1-GroundResDiscount21to30-GroundResIncentive)*'Ground Base'!E28),2),ROUND(('Ground Base'!E$154+GroundResidentialFee)*(1+GroundFuelSurcharge),2),ROUND((((1-GroundResDiscount21to30-GroundResIncentive)*'Ground Base'!E28)+GroundResidentialFee)*(1+GroundFuelSurcharge),2)))*(1+FedEx_Markup),2)</f>
        <v>21.09</v>
      </c>
      <c r="F33" s="275">
        <f>ROUND((IF('Ground Base'!F$154&gt;ROUND(((1-GroundResDiscount21to30-GroundResIncentive)*'Ground Base'!F28),2),ROUND(('Ground Base'!F$154+GroundResidentialFee)*(1+GroundFuelSurcharge),2),ROUND((((1-GroundResDiscount21to30-GroundResIncentive)*'Ground Base'!F28)+GroundResidentialFee)*(1+GroundFuelSurcharge),2)))*(1+FedEx_Markup),2)</f>
        <v>25.2</v>
      </c>
      <c r="G33" s="275">
        <f>ROUND((IF('Ground Base'!G$154&gt;ROUND(((1-GroundResDiscount21to30-GroundResIncentive)*'Ground Base'!G28),2),ROUND(('Ground Base'!G$154+GroundResidentialFee)*(1+GroundFuelSurcharge),2),ROUND((((1-GroundResDiscount21to30-GroundResIncentive)*'Ground Base'!G28)+GroundResidentialFee)*(1+GroundFuelSurcharge),2)))*(1+FedEx_Markup),2)</f>
        <v>29.98</v>
      </c>
      <c r="H33" s="275">
        <f>ROUND((IF('Ground Base'!H$154&gt;ROUND(((1-GroundResDiscount21to30-GroundResIncentive)*'Ground Base'!H28),2),ROUND(('Ground Base'!H$154+GroundResidentialFee)*(1+GroundFuelSurcharge),2),ROUND((((1-GroundResDiscount21to30-GroundResIncentive)*'Ground Base'!H28)+GroundResidentialFee)*(1+GroundFuelSurcharge),2)))*(1+FedEx_Markup),2)</f>
        <v>33.81</v>
      </c>
      <c r="I33" s="275">
        <f>ROUND((IF('Ground Base'!I$154&gt;ROUND(((1-GroundAKHIDiscount)*'Ground Base'!I28),2),ROUND(('Ground Base'!I$154+GroundResidentialFee)*(1+GroundFuelSurcharge),2),ROUND((((1-GroundAKHIDiscount)*'Ground Base'!I28)+GroundResidentialFee)*(1+GroundFuelSurcharge),2)))*(1+FedEx_Markup),2)</f>
        <v>150.5</v>
      </c>
      <c r="J33" s="275">
        <f>ROUND((IF('Ground Base'!J$154&gt;ROUND(((1-GroundAKHIDiscount)*'Ground Base'!J28),2),ROUND(('Ground Base'!J$154+GroundResidentialFee)*(1+GroundFuelSurcharge),2),ROUND((((1-GroundAKHIDiscount)*'Ground Base'!J28)+GroundResidentialFee)*(1+GroundFuelSurcharge),2)))*(1+FedEx_Markup),2)</f>
        <v>150.5</v>
      </c>
      <c r="K33" s="275">
        <f>ROUND((IF('Ground Base'!K$154&gt;ROUND(((1-GroundZone51Discount)*'Ground Base'!K28),2),ROUND(('Ground Base'!K$154+GroundResidentialFee)*(1+GroundFuelSurcharge),2),ROUND((((1-GroundZone51Discount)*'Ground Base'!K28)+GroundResidentialFee)*(1+GroundFuelSurcharge),2)))*(1+FedEx_Markup),2)</f>
        <v>48.45</v>
      </c>
      <c r="L33" s="275">
        <f>ROUND((IF('Ground Base'!L$154&gt;ROUND(((1-GroundZone54Discount)*'Ground Base'!L28),2),ROUND(('Ground Base'!L$154+GroundResidentialFee)*(1+GroundFuelSurcharge),2),ROUND((((1-GroundZone54Discount)*'Ground Base'!L28)+GroundResidentialFee)*(1+GroundFuelSurcharge),2)))*(1+FedEx_Markup),2)</f>
        <v>57.07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274">
        <v>27.0</v>
      </c>
      <c r="B34" s="275">
        <f>ROUND((IF('Ground Base'!B$154&gt;ROUND(((1-GroundResDiscount21to30-GroundResIncentive)*'Ground Base'!B29),2),ROUND(('Ground Base'!B$154+GroundResidentialFee)*(1+GroundFuelSurcharge),2),ROUND((((1-GroundResDiscount21to30-GroundResIncentive)*'Ground Base'!B29)+GroundResidentialFee)*(1+GroundFuelSurcharge),2)))*(1+FedEx_Markup),2)</f>
        <v>16.53</v>
      </c>
      <c r="C34" s="275">
        <f>ROUND((IF('Ground Base'!C$154&gt;ROUND(((1-GroundResDiscount21to30-GroundResIncentive)*'Ground Base'!C29),2),ROUND(('Ground Base'!C$154+GroundResidentialFee)*(1+GroundFuelSurcharge),2),ROUND((((1-GroundResDiscount21to30-GroundResIncentive)*'Ground Base'!C29)+GroundResidentialFee)*(1+GroundFuelSurcharge),2)))*(1+FedEx_Markup),2)</f>
        <v>17.33</v>
      </c>
      <c r="D34" s="275">
        <f>ROUND((IF('Ground Base'!D$154&gt;ROUND(((1-GroundResDiscount21to30-GroundResIncentive)*'Ground Base'!D29),2),ROUND(('Ground Base'!D$154+GroundResidentialFee)*(1+GroundFuelSurcharge),2),ROUND((((1-GroundResDiscount21to30-GroundResIncentive)*'Ground Base'!D29)+GroundResidentialFee)*(1+GroundFuelSurcharge),2)))*(1+FedEx_Markup),2)</f>
        <v>18.4</v>
      </c>
      <c r="E34" s="275">
        <f>ROUND((IF('Ground Base'!E$154&gt;ROUND(((1-GroundResDiscount21to30-GroundResIncentive)*'Ground Base'!E29),2),ROUND(('Ground Base'!E$154+GroundResidentialFee)*(1+GroundFuelSurcharge),2),ROUND((((1-GroundResDiscount21to30-GroundResIncentive)*'Ground Base'!E29)+GroundResidentialFee)*(1+GroundFuelSurcharge),2)))*(1+FedEx_Markup),2)</f>
        <v>21.39</v>
      </c>
      <c r="F34" s="275">
        <f>ROUND((IF('Ground Base'!F$154&gt;ROUND(((1-GroundResDiscount21to30-GroundResIncentive)*'Ground Base'!F29),2),ROUND(('Ground Base'!F$154+GroundResidentialFee)*(1+GroundFuelSurcharge),2),ROUND((((1-GroundResDiscount21to30-GroundResIncentive)*'Ground Base'!F29)+GroundResidentialFee)*(1+GroundFuelSurcharge),2)))*(1+FedEx_Markup),2)</f>
        <v>26.09</v>
      </c>
      <c r="G34" s="275">
        <f>ROUND((IF('Ground Base'!G$154&gt;ROUND(((1-GroundResDiscount21to30-GroundResIncentive)*'Ground Base'!G29),2),ROUND(('Ground Base'!G$154+GroundResidentialFee)*(1+GroundFuelSurcharge),2),ROUND((((1-GroundResDiscount21to30-GroundResIncentive)*'Ground Base'!G29)+GroundResidentialFee)*(1+GroundFuelSurcharge),2)))*(1+FedEx_Markup),2)</f>
        <v>30.48</v>
      </c>
      <c r="H34" s="275">
        <f>ROUND((IF('Ground Base'!H$154&gt;ROUND(((1-GroundResDiscount21to30-GroundResIncentive)*'Ground Base'!H29),2),ROUND(('Ground Base'!H$154+GroundResidentialFee)*(1+GroundFuelSurcharge),2),ROUND((((1-GroundResDiscount21to30-GroundResIncentive)*'Ground Base'!H29)+GroundResidentialFee)*(1+GroundFuelSurcharge),2)))*(1+FedEx_Markup),2)</f>
        <v>34.33</v>
      </c>
      <c r="I34" s="275">
        <f>ROUND((IF('Ground Base'!I$154&gt;ROUND(((1-GroundAKHIDiscount)*'Ground Base'!I29),2),ROUND(('Ground Base'!I$154+GroundResidentialFee)*(1+GroundFuelSurcharge),2),ROUND((((1-GroundAKHIDiscount)*'Ground Base'!I29)+GroundResidentialFee)*(1+GroundFuelSurcharge),2)))*(1+FedEx_Markup),2)</f>
        <v>154.61</v>
      </c>
      <c r="J34" s="275">
        <f>ROUND((IF('Ground Base'!J$154&gt;ROUND(((1-GroundAKHIDiscount)*'Ground Base'!J29),2),ROUND(('Ground Base'!J$154+GroundResidentialFee)*(1+GroundFuelSurcharge),2),ROUND((((1-GroundAKHIDiscount)*'Ground Base'!J29)+GroundResidentialFee)*(1+GroundFuelSurcharge),2)))*(1+FedEx_Markup),2)</f>
        <v>154.61</v>
      </c>
      <c r="K34" s="275">
        <f>ROUND((IF('Ground Base'!K$154&gt;ROUND(((1-GroundZone51Discount)*'Ground Base'!K29),2),ROUND(('Ground Base'!K$154+GroundResidentialFee)*(1+GroundFuelSurcharge),2),ROUND((((1-GroundZone51Discount)*'Ground Base'!K29)+GroundResidentialFee)*(1+GroundFuelSurcharge),2)))*(1+FedEx_Markup),2)</f>
        <v>49.73</v>
      </c>
      <c r="L34" s="275">
        <f>ROUND((IF('Ground Base'!L$154&gt;ROUND(((1-GroundZone54Discount)*'Ground Base'!L29),2),ROUND(('Ground Base'!L$154+GroundResidentialFee)*(1+GroundFuelSurcharge),2),ROUND((((1-GroundZone54Discount)*'Ground Base'!L29)+GroundResidentialFee)*(1+GroundFuelSurcharge),2)))*(1+FedEx_Markup),2)</f>
        <v>58.41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274">
        <v>28.0</v>
      </c>
      <c r="B35" s="275">
        <f>ROUND((IF('Ground Base'!B$154&gt;ROUND(((1-GroundResDiscount21to30-GroundResIncentive)*'Ground Base'!B30),2),ROUND(('Ground Base'!B$154+GroundResidentialFee)*(1+GroundFuelSurcharge),2),ROUND((((1-GroundResDiscount21to30-GroundResIncentive)*'Ground Base'!B30)+GroundResidentialFee)*(1+GroundFuelSurcharge),2)))*(1+FedEx_Markup),2)</f>
        <v>16.53</v>
      </c>
      <c r="C35" s="275">
        <f>ROUND((IF('Ground Base'!C$154&gt;ROUND(((1-GroundResDiscount21to30-GroundResIncentive)*'Ground Base'!C30),2),ROUND(('Ground Base'!C$154+GroundResidentialFee)*(1+GroundFuelSurcharge),2),ROUND((((1-GroundResDiscount21to30-GroundResIncentive)*'Ground Base'!C30)+GroundResidentialFee)*(1+GroundFuelSurcharge),2)))*(1+FedEx_Markup),2)</f>
        <v>17.68</v>
      </c>
      <c r="D35" s="275">
        <f>ROUND((IF('Ground Base'!D$154&gt;ROUND(((1-GroundResDiscount21to30-GroundResIncentive)*'Ground Base'!D30),2),ROUND(('Ground Base'!D$154+GroundResidentialFee)*(1+GroundFuelSurcharge),2),ROUND((((1-GroundResDiscount21to30-GroundResIncentive)*'Ground Base'!D30)+GroundResidentialFee)*(1+GroundFuelSurcharge),2)))*(1+FedEx_Markup),2)</f>
        <v>19.11</v>
      </c>
      <c r="E35" s="275">
        <f>ROUND((IF('Ground Base'!E$154&gt;ROUND(((1-GroundResDiscount21to30-GroundResIncentive)*'Ground Base'!E30),2),ROUND(('Ground Base'!E$154+GroundResidentialFee)*(1+GroundFuelSurcharge),2),ROUND((((1-GroundResDiscount21to30-GroundResIncentive)*'Ground Base'!E30)+GroundResidentialFee)*(1+GroundFuelSurcharge),2)))*(1+FedEx_Markup),2)</f>
        <v>22.48</v>
      </c>
      <c r="F35" s="275">
        <f>ROUND((IF('Ground Base'!F$154&gt;ROUND(((1-GroundResDiscount21to30-GroundResIncentive)*'Ground Base'!F30),2),ROUND(('Ground Base'!F$154+GroundResidentialFee)*(1+GroundFuelSurcharge),2),ROUND((((1-GroundResDiscount21to30-GroundResIncentive)*'Ground Base'!F30)+GroundResidentialFee)*(1+GroundFuelSurcharge),2)))*(1+FedEx_Markup),2)</f>
        <v>27.23</v>
      </c>
      <c r="G35" s="275">
        <f>ROUND((IF('Ground Base'!G$154&gt;ROUND(((1-GroundResDiscount21to30-GroundResIncentive)*'Ground Base'!G30),2),ROUND(('Ground Base'!G$154+GroundResidentialFee)*(1+GroundFuelSurcharge),2),ROUND((((1-GroundResDiscount21to30-GroundResIncentive)*'Ground Base'!G30)+GroundResidentialFee)*(1+GroundFuelSurcharge),2)))*(1+FedEx_Markup),2)</f>
        <v>31.72</v>
      </c>
      <c r="H35" s="275">
        <f>ROUND((IF('Ground Base'!H$154&gt;ROUND(((1-GroundResDiscount21to30-GroundResIncentive)*'Ground Base'!H30),2),ROUND(('Ground Base'!H$154+GroundResidentialFee)*(1+GroundFuelSurcharge),2),ROUND((((1-GroundResDiscount21to30-GroundResIncentive)*'Ground Base'!H30)+GroundResidentialFee)*(1+GroundFuelSurcharge),2)))*(1+FedEx_Markup),2)</f>
        <v>35.54</v>
      </c>
      <c r="I35" s="275">
        <f>ROUND((IF('Ground Base'!I$154&gt;ROUND(((1-GroundAKHIDiscount)*'Ground Base'!I30),2),ROUND(('Ground Base'!I$154+GroundResidentialFee)*(1+GroundFuelSurcharge),2),ROUND((((1-GroundAKHIDiscount)*'Ground Base'!I30)+GroundResidentialFee)*(1+GroundFuelSurcharge),2)))*(1+FedEx_Markup),2)</f>
        <v>158.68</v>
      </c>
      <c r="J35" s="275">
        <f>ROUND((IF('Ground Base'!J$154&gt;ROUND(((1-GroundAKHIDiscount)*'Ground Base'!J30),2),ROUND(('Ground Base'!J$154+GroundResidentialFee)*(1+GroundFuelSurcharge),2),ROUND((((1-GroundAKHIDiscount)*'Ground Base'!J30)+GroundResidentialFee)*(1+GroundFuelSurcharge),2)))*(1+FedEx_Markup),2)</f>
        <v>158.68</v>
      </c>
      <c r="K35" s="275">
        <f>ROUND((IF('Ground Base'!K$154&gt;ROUND(((1-GroundZone51Discount)*'Ground Base'!K30),2),ROUND(('Ground Base'!K$154+GroundResidentialFee)*(1+GroundFuelSurcharge),2),ROUND((((1-GroundZone51Discount)*'Ground Base'!K30)+GroundResidentialFee)*(1+GroundFuelSurcharge),2)))*(1+FedEx_Markup),2)</f>
        <v>50.85</v>
      </c>
      <c r="L35" s="275">
        <f>ROUND((IF('Ground Base'!L$154&gt;ROUND(((1-GroundZone54Discount)*'Ground Base'!L30),2),ROUND(('Ground Base'!L$154+GroundResidentialFee)*(1+GroundFuelSurcharge),2),ROUND((((1-GroundZone54Discount)*'Ground Base'!L30)+GroundResidentialFee)*(1+GroundFuelSurcharge),2)))*(1+FedEx_Markup),2)</f>
        <v>59.78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2.75" customHeight="1">
      <c r="A36" s="274">
        <v>29.0</v>
      </c>
      <c r="B36" s="275">
        <f>ROUND((IF('Ground Base'!B$154&gt;ROUND(((1-GroundResDiscount21to30-GroundResIncentive)*'Ground Base'!B31),2),ROUND(('Ground Base'!B$154+GroundResidentialFee)*(1+GroundFuelSurcharge),2),ROUND((((1-GroundResDiscount21to30-GroundResIncentive)*'Ground Base'!B31)+GroundResidentialFee)*(1+GroundFuelSurcharge),2)))*(1+FedEx_Markup),2)</f>
        <v>16.53</v>
      </c>
      <c r="C36" s="275">
        <f>ROUND((IF('Ground Base'!C$154&gt;ROUND(((1-GroundResDiscount21to30-GroundResIncentive)*'Ground Base'!C31),2),ROUND(('Ground Base'!C$154+GroundResidentialFee)*(1+GroundFuelSurcharge),2),ROUND((((1-GroundResDiscount21to30-GroundResIncentive)*'Ground Base'!C31)+GroundResidentialFee)*(1+GroundFuelSurcharge),2)))*(1+FedEx_Markup),2)</f>
        <v>17.95</v>
      </c>
      <c r="D36" s="275">
        <f>ROUND((IF('Ground Base'!D$154&gt;ROUND(((1-GroundResDiscount21to30-GroundResIncentive)*'Ground Base'!D31),2),ROUND(('Ground Base'!D$154+GroundResidentialFee)*(1+GroundFuelSurcharge),2),ROUND((((1-GroundResDiscount21to30-GroundResIncentive)*'Ground Base'!D31)+GroundResidentialFee)*(1+GroundFuelSurcharge),2)))*(1+FedEx_Markup),2)</f>
        <v>19.26</v>
      </c>
      <c r="E36" s="275">
        <f>ROUND((IF('Ground Base'!E$154&gt;ROUND(((1-GroundResDiscount21to30-GroundResIncentive)*'Ground Base'!E31),2),ROUND(('Ground Base'!E$154+GroundResidentialFee)*(1+GroundFuelSurcharge),2),ROUND((((1-GroundResDiscount21to30-GroundResIncentive)*'Ground Base'!E31)+GroundResidentialFee)*(1+GroundFuelSurcharge),2)))*(1+FedEx_Markup),2)</f>
        <v>22.49</v>
      </c>
      <c r="F36" s="275">
        <f>ROUND((IF('Ground Base'!F$154&gt;ROUND(((1-GroundResDiscount21to30-GroundResIncentive)*'Ground Base'!F31),2),ROUND(('Ground Base'!F$154+GroundResidentialFee)*(1+GroundFuelSurcharge),2),ROUND((((1-GroundResDiscount21to30-GroundResIncentive)*'Ground Base'!F31)+GroundResidentialFee)*(1+GroundFuelSurcharge),2)))*(1+FedEx_Markup),2)</f>
        <v>27.93</v>
      </c>
      <c r="G36" s="275">
        <f>ROUND((IF('Ground Base'!G$154&gt;ROUND(((1-GroundResDiscount21to30-GroundResIncentive)*'Ground Base'!G31),2),ROUND(('Ground Base'!G$154+GroundResidentialFee)*(1+GroundFuelSurcharge),2),ROUND((((1-GroundResDiscount21to30-GroundResIncentive)*'Ground Base'!G31)+GroundResidentialFee)*(1+GroundFuelSurcharge),2)))*(1+FedEx_Markup),2)</f>
        <v>32.37</v>
      </c>
      <c r="H36" s="275">
        <f>ROUND((IF('Ground Base'!H$154&gt;ROUND(((1-GroundResDiscount21to30-GroundResIncentive)*'Ground Base'!H31),2),ROUND(('Ground Base'!H$154+GroundResidentialFee)*(1+GroundFuelSurcharge),2),ROUND((((1-GroundResDiscount21to30-GroundResIncentive)*'Ground Base'!H31)+GroundResidentialFee)*(1+GroundFuelSurcharge),2)))*(1+FedEx_Markup),2)</f>
        <v>36.41</v>
      </c>
      <c r="I36" s="275">
        <f>ROUND((IF('Ground Base'!I$154&gt;ROUND(((1-GroundAKHIDiscount)*'Ground Base'!I31),2),ROUND(('Ground Base'!I$154+GroundResidentialFee)*(1+GroundFuelSurcharge),2),ROUND((((1-GroundAKHIDiscount)*'Ground Base'!I31)+GroundResidentialFee)*(1+GroundFuelSurcharge),2)))*(1+FedEx_Markup),2)</f>
        <v>162.52</v>
      </c>
      <c r="J36" s="275">
        <f>ROUND((IF('Ground Base'!J$154&gt;ROUND(((1-GroundAKHIDiscount)*'Ground Base'!J31),2),ROUND(('Ground Base'!J$154+GroundResidentialFee)*(1+GroundFuelSurcharge),2),ROUND((((1-GroundAKHIDiscount)*'Ground Base'!J31)+GroundResidentialFee)*(1+GroundFuelSurcharge),2)))*(1+FedEx_Markup),2)</f>
        <v>162.52</v>
      </c>
      <c r="K36" s="275">
        <f>ROUND((IF('Ground Base'!K$154&gt;ROUND(((1-GroundZone51Discount)*'Ground Base'!K31),2),ROUND(('Ground Base'!K$154+GroundResidentialFee)*(1+GroundFuelSurcharge),2),ROUND((((1-GroundZone51Discount)*'Ground Base'!K31)+GroundResidentialFee)*(1+GroundFuelSurcharge),2)))*(1+FedEx_Markup),2)</f>
        <v>51.97</v>
      </c>
      <c r="L36" s="275">
        <f>ROUND((IF('Ground Base'!L$154&gt;ROUND(((1-GroundZone54Discount)*'Ground Base'!L31),2),ROUND(('Ground Base'!L$154+GroundResidentialFee)*(1+GroundFuelSurcharge),2),ROUND((((1-GroundZone54Discount)*'Ground Base'!L31)+GroundResidentialFee)*(1+GroundFuelSurcharge),2)))*(1+FedEx_Markup),2)</f>
        <v>61.1</v>
      </c>
    </row>
    <row r="37" ht="12.75" customHeight="1">
      <c r="A37" s="274">
        <v>30.0</v>
      </c>
      <c r="B37" s="275">
        <f>ROUND((IF('Ground Base'!B$154&gt;ROUND(((1-GroundResDiscount21to30-GroundResIncentive)*'Ground Base'!B32),2),ROUND(('Ground Base'!B$154+GroundResidentialFee)*(1+GroundFuelSurcharge),2),ROUND((((1-GroundResDiscount21to30-GroundResIncentive)*'Ground Base'!B32)+GroundResidentialFee)*(1+GroundFuelSurcharge),2)))*(1+FedEx_Markup),2)</f>
        <v>16.53</v>
      </c>
      <c r="C37" s="275">
        <f>ROUND((IF('Ground Base'!C$154&gt;ROUND(((1-GroundResDiscount21to30-GroundResIncentive)*'Ground Base'!C32),2),ROUND(('Ground Base'!C$154+GroundResidentialFee)*(1+GroundFuelSurcharge),2),ROUND((((1-GroundResDiscount21to30-GroundResIncentive)*'Ground Base'!C32)+GroundResidentialFee)*(1+GroundFuelSurcharge),2)))*(1+FedEx_Markup),2)</f>
        <v>18.31</v>
      </c>
      <c r="D37" s="275">
        <f>ROUND((IF('Ground Base'!D$154&gt;ROUND(((1-GroundResDiscount21to30-GroundResIncentive)*'Ground Base'!D32),2),ROUND(('Ground Base'!D$154+GroundResidentialFee)*(1+GroundFuelSurcharge),2),ROUND((((1-GroundResDiscount21to30-GroundResIncentive)*'Ground Base'!D32)+GroundResidentialFee)*(1+GroundFuelSurcharge),2)))*(1+FedEx_Markup),2)</f>
        <v>19.88</v>
      </c>
      <c r="E37" s="275">
        <f>ROUND((IF('Ground Base'!E$154&gt;ROUND(((1-GroundResDiscount21to30-GroundResIncentive)*'Ground Base'!E32),2),ROUND(('Ground Base'!E$154+GroundResidentialFee)*(1+GroundFuelSurcharge),2),ROUND((((1-GroundResDiscount21to30-GroundResIncentive)*'Ground Base'!E32)+GroundResidentialFee)*(1+GroundFuelSurcharge),2)))*(1+FedEx_Markup),2)</f>
        <v>23.26</v>
      </c>
      <c r="F37" s="275">
        <f>ROUND((IF('Ground Base'!F$154&gt;ROUND(((1-GroundResDiscount21to30-GroundResIncentive)*'Ground Base'!F32),2),ROUND(('Ground Base'!F$154+GroundResidentialFee)*(1+GroundFuelSurcharge),2),ROUND((((1-GroundResDiscount21to30-GroundResIncentive)*'Ground Base'!F32)+GroundResidentialFee)*(1+GroundFuelSurcharge),2)))*(1+FedEx_Markup),2)</f>
        <v>28.34</v>
      </c>
      <c r="G37" s="275">
        <f>ROUND((IF('Ground Base'!G$154&gt;ROUND(((1-GroundResDiscount21to30-GroundResIncentive)*'Ground Base'!G32),2),ROUND(('Ground Base'!G$154+GroundResidentialFee)*(1+GroundFuelSurcharge),2),ROUND((((1-GroundResDiscount21to30-GroundResIncentive)*'Ground Base'!G32)+GroundResidentialFee)*(1+GroundFuelSurcharge),2)))*(1+FedEx_Markup),2)</f>
        <v>32.52</v>
      </c>
      <c r="H37" s="275">
        <f>ROUND((IF('Ground Base'!H$154&gt;ROUND(((1-GroundResDiscount21to30-GroundResIncentive)*'Ground Base'!H32),2),ROUND(('Ground Base'!H$154+GroundResidentialFee)*(1+GroundFuelSurcharge),2),ROUND((((1-GroundResDiscount21to30-GroundResIncentive)*'Ground Base'!H32)+GroundResidentialFee)*(1+GroundFuelSurcharge),2)))*(1+FedEx_Markup),2)</f>
        <v>37.8</v>
      </c>
      <c r="I37" s="275">
        <f>ROUND((IF('Ground Base'!I$154&gt;ROUND(((1-GroundAKHIDiscount)*'Ground Base'!I32),2),ROUND(('Ground Base'!I$154+GroundResidentialFee)*(1+GroundFuelSurcharge),2),ROUND((((1-GroundAKHIDiscount)*'Ground Base'!I32)+GroundResidentialFee)*(1+GroundFuelSurcharge),2)))*(1+FedEx_Markup),2)</f>
        <v>166.34</v>
      </c>
      <c r="J37" s="275">
        <f>ROUND((IF('Ground Base'!J$154&gt;ROUND(((1-GroundAKHIDiscount)*'Ground Base'!J32),2),ROUND(('Ground Base'!J$154+GroundResidentialFee)*(1+GroundFuelSurcharge),2),ROUND((((1-GroundAKHIDiscount)*'Ground Base'!J32)+GroundResidentialFee)*(1+GroundFuelSurcharge),2)))*(1+FedEx_Markup),2)</f>
        <v>166.34</v>
      </c>
      <c r="K37" s="275">
        <f>ROUND((IF('Ground Base'!K$154&gt;ROUND(((1-GroundZone51Discount)*'Ground Base'!K32),2),ROUND(('Ground Base'!K$154+GroundResidentialFee)*(1+GroundFuelSurcharge),2),ROUND((((1-GroundZone51Discount)*'Ground Base'!K32)+GroundResidentialFee)*(1+GroundFuelSurcharge),2)))*(1+FedEx_Markup),2)</f>
        <v>53.08</v>
      </c>
      <c r="L37" s="275">
        <f>ROUND((IF('Ground Base'!L$154&gt;ROUND(((1-GroundZone54Discount)*'Ground Base'!L32),2),ROUND(('Ground Base'!L$154+GroundResidentialFee)*(1+GroundFuelSurcharge),2),ROUND((((1-GroundZone54Discount)*'Ground Base'!L32)+GroundResidentialFee)*(1+GroundFuelSurcharge),2)))*(1+FedEx_Markup),2)</f>
        <v>62.43</v>
      </c>
    </row>
    <row r="38" ht="12.75" customHeight="1">
      <c r="A38" s="274">
        <v>31.0</v>
      </c>
      <c r="B38" s="275">
        <f>IFERROR(__xludf.DUMMYFUNCTION("ROUND((IF(SINGLE('Ground Base'!B$154)&gt;ROUND(((1-GroundResDiscount31Up-GroundResIncentive)*'Ground Base'!B33),2),ROUND((SINGLE('Ground Base'!B$154)+GroundResidentialFee)*(1+GroundFuelSurcharge),2),ROUND((((1-GroundResDiscount31Up-GroundResIncentive)*'Groun"&amp;"d Base'!B33)+GroundResidentialFee)*(1+GroundFuelSurcharge),2)))*(1+FedEx_Markup),2)"),16.53)</f>
        <v>16.53</v>
      </c>
      <c r="C38" s="275">
        <f>IFERROR(__xludf.DUMMYFUNCTION("ROUND((IF(SINGLE('Ground Base'!C$154)&gt;ROUND(((1-GroundResDiscount31Up-GroundResIncentive)*'Ground Base'!C33),2),ROUND((SINGLE('Ground Base'!C$154)+GroundResidentialFee)*(1+GroundFuelSurcharge),2),ROUND((((1-GroundResDiscount31Up-GroundResIncentive)*'Groun"&amp;"d Base'!C33)+GroundResidentialFee)*(1+GroundFuelSurcharge),2)))*(1+FedEx_Markup),2)"),17.94)</f>
        <v>17.94</v>
      </c>
      <c r="D38" s="275">
        <f>IFERROR(__xludf.DUMMYFUNCTION("ROUND((IF(SINGLE('Ground Base'!D$154)&gt;ROUND(((1-GroundResDiscount31Up-GroundResIncentive)*'Ground Base'!D33),2),ROUND((SINGLE('Ground Base'!D$154)+GroundResidentialFee)*(1+GroundFuelSurcharge),2),ROUND((((1-GroundResDiscount31Up-GroundResIncentive)*'Groun"&amp;"d Base'!D33)+GroundResidentialFee)*(1+GroundFuelSurcharge),2)))*(1+FedEx_Markup),2)"),19.45)</f>
        <v>19.45</v>
      </c>
      <c r="E38" s="275">
        <f>IFERROR(__xludf.DUMMYFUNCTION("ROUND((IF(SINGLE('Ground Base'!E$154)&gt;ROUND(((1-GroundResDiscount31Up-GroundResIncentive)*'Ground Base'!E33),2),ROUND((SINGLE('Ground Base'!E$154)+GroundResidentialFee)*(1+GroundFuelSurcharge),2),ROUND((((1-GroundResDiscount31Up-GroundResIncentive)*'Groun"&amp;"d Base'!E33)+GroundResidentialFee)*(1+GroundFuelSurcharge),2)))*(1+FedEx_Markup),2)"),22.59)</f>
        <v>22.59</v>
      </c>
      <c r="F38" s="275">
        <f>IFERROR(__xludf.DUMMYFUNCTION("ROUND((IF(SINGLE('Ground Base'!F$154)&gt;ROUND(((1-GroundResDiscount31Up-GroundResIncentive)*'Ground Base'!F33),2),ROUND((SINGLE('Ground Base'!F$154)+GroundResidentialFee)*(1+GroundFuelSurcharge),2),ROUND((((1-GroundResDiscount31Up-GroundResIncentive)*'Groun"&amp;"d Base'!F33)+GroundResidentialFee)*(1+GroundFuelSurcharge),2)))*(1+FedEx_Markup),2)"),27.89)</f>
        <v>27.89</v>
      </c>
      <c r="G38" s="275">
        <f>IFERROR(__xludf.DUMMYFUNCTION("ROUND((IF(SINGLE('Ground Base'!G$154)&gt;ROUND(((1-GroundResDiscount31Up-GroundResIncentive)*'Ground Base'!G33),2),ROUND((SINGLE('Ground Base'!G$154)+GroundResidentialFee)*(1+GroundFuelSurcharge),2),ROUND((((1-GroundResDiscount31Up-GroundResIncentive)*'Groun"&amp;"d Base'!G33)+GroundResidentialFee)*(1+GroundFuelSurcharge),2)))*(1+FedEx_Markup),2)"),32.22)</f>
        <v>32.22</v>
      </c>
      <c r="H38" s="275">
        <f>IFERROR(__xludf.DUMMYFUNCTION("ROUND((IF(SINGLE('Ground Base'!H$154)&gt;ROUND(((1-GroundResDiscount31Up-GroundResIncentive)*'Ground Base'!H33),2),ROUND((SINGLE('Ground Base'!H$154)+GroundResidentialFee)*(1+GroundFuelSurcharge),2),ROUND((((1-GroundResDiscount31Up-GroundResIncentive)*'Groun"&amp;"d Base'!H33)+GroundResidentialFee)*(1+GroundFuelSurcharge),2)))*(1+FedEx_Markup),2)"),37.28)</f>
        <v>37.28</v>
      </c>
      <c r="I38" s="275">
        <f>ROUND((IF('Ground Base'!I$154&gt;ROUND(((1-GroundAKHIDiscount)*'Ground Base'!I33),2),ROUND(('Ground Base'!I$154+GroundResidentialFee)*(1+GroundFuelSurcharge),2),ROUND((((1-GroundAKHIDiscount)*'Ground Base'!I33)+GroundResidentialFee)*(1+GroundFuelSurcharge),2)))*(1+FedEx_Markup),2)</f>
        <v>166.35</v>
      </c>
      <c r="J38" s="275">
        <f>ROUND((IF('Ground Base'!J$154&gt;ROUND(((1-GroundAKHIDiscount)*'Ground Base'!J33),2),ROUND(('Ground Base'!J$154+GroundResidentialFee)*(1+GroundFuelSurcharge),2),ROUND((((1-GroundAKHIDiscount)*'Ground Base'!J33)+GroundResidentialFee)*(1+GroundFuelSurcharge),2)))*(1+FedEx_Markup),2)</f>
        <v>166.35</v>
      </c>
      <c r="K38" s="275">
        <f>ROUND((IF('Ground Base'!K$154&gt;ROUND(((1-GroundZone51Discount)*'Ground Base'!K33),2),ROUND(('Ground Base'!K$154+GroundResidentialFee)*(1+GroundFuelSurcharge),2),ROUND((((1-GroundZone51Discount)*'Ground Base'!K33)+GroundResidentialFee)*(1+GroundFuelSurcharge),2)))*(1+FedEx_Markup),2)</f>
        <v>54.02</v>
      </c>
      <c r="L38" s="275">
        <f>ROUND((IF('Ground Base'!L$154&gt;ROUND(((1-GroundZone54Discount)*'Ground Base'!L33),2),ROUND(('Ground Base'!L$154+GroundResidentialFee)*(1+GroundFuelSurcharge),2),ROUND((((1-GroundZone54Discount)*'Ground Base'!L33)+GroundResidentialFee)*(1+GroundFuelSurcharge),2)))*(1+FedEx_Markup),2)</f>
        <v>63.86</v>
      </c>
    </row>
    <row r="39" ht="12.75" customHeight="1">
      <c r="A39" s="274">
        <v>32.0</v>
      </c>
      <c r="B39" s="275">
        <f>IFERROR(__xludf.DUMMYFUNCTION("ROUND((IF(SINGLE('Ground Base'!B$154)&gt;ROUND(((1-GroundResDiscount31Up-GroundResIncentive)*'Ground Base'!B34),2),ROUND((SINGLE('Ground Base'!B$154)+GroundResidentialFee)*(1+GroundFuelSurcharge),2),ROUND((((1-GroundResDiscount31Up-GroundResIncentive)*'Groun"&amp;"d Base'!B34)+GroundResidentialFee)*(1+GroundFuelSurcharge),2)))*(1+FedEx_Markup),2)"),16.53)</f>
        <v>16.53</v>
      </c>
      <c r="C39" s="275">
        <f>IFERROR(__xludf.DUMMYFUNCTION("ROUND((IF(SINGLE('Ground Base'!C$154)&gt;ROUND(((1-GroundResDiscount31Up-GroundResIncentive)*'Ground Base'!C34),2),ROUND((SINGLE('Ground Base'!C$154)+GroundResidentialFee)*(1+GroundFuelSurcharge),2),ROUND((((1-GroundResDiscount31Up-GroundResIncentive)*'Groun"&amp;"d Base'!C34)+GroundResidentialFee)*(1+GroundFuelSurcharge),2)))*(1+FedEx_Markup),2)"),17.95)</f>
        <v>17.95</v>
      </c>
      <c r="D39" s="275">
        <f>IFERROR(__xludf.DUMMYFUNCTION("ROUND((IF(SINGLE('Ground Base'!D$154)&gt;ROUND(((1-GroundResDiscount31Up-GroundResIncentive)*'Ground Base'!D34),2),ROUND((SINGLE('Ground Base'!D$154)+GroundResidentialFee)*(1+GroundFuelSurcharge),2),ROUND((((1-GroundResDiscount31Up-GroundResIncentive)*'Groun"&amp;"d Base'!D34)+GroundResidentialFee)*(1+GroundFuelSurcharge),2)))*(1+FedEx_Markup),2)"),19.45)</f>
        <v>19.45</v>
      </c>
      <c r="E39" s="275">
        <f>IFERROR(__xludf.DUMMYFUNCTION("ROUND((IF(SINGLE('Ground Base'!E$154)&gt;ROUND(((1-GroundResDiscount31Up-GroundResIncentive)*'Ground Base'!E34),2),ROUND((SINGLE('Ground Base'!E$154)+GroundResidentialFee)*(1+GroundFuelSurcharge),2),ROUND((((1-GroundResDiscount31Up-GroundResIncentive)*'Groun"&amp;"d Base'!E34)+GroundResidentialFee)*(1+GroundFuelSurcharge),2)))*(1+FedEx_Markup),2)"),22.59)</f>
        <v>22.59</v>
      </c>
      <c r="F39" s="275">
        <f>IFERROR(__xludf.DUMMYFUNCTION("ROUND((IF(SINGLE('Ground Base'!F$154)&gt;ROUND(((1-GroundResDiscount31Up-GroundResIncentive)*'Ground Base'!F34),2),ROUND((SINGLE('Ground Base'!F$154)+GroundResidentialFee)*(1+GroundFuelSurcharge),2),ROUND((((1-GroundResDiscount31Up-GroundResIncentive)*'Groun"&amp;"d Base'!F34)+GroundResidentialFee)*(1+GroundFuelSurcharge),2)))*(1+FedEx_Markup),2)"),27.89)</f>
        <v>27.89</v>
      </c>
      <c r="G39" s="275">
        <f>IFERROR(__xludf.DUMMYFUNCTION("ROUND((IF(SINGLE('Ground Base'!G$154)&gt;ROUND(((1-GroundResDiscount31Up-GroundResIncentive)*'Ground Base'!G34),2),ROUND((SINGLE('Ground Base'!G$154)+GroundResidentialFee)*(1+GroundFuelSurcharge),2),ROUND((((1-GroundResDiscount31Up-GroundResIncentive)*'Groun"&amp;"d Base'!G34)+GroundResidentialFee)*(1+GroundFuelSurcharge),2)))*(1+FedEx_Markup),2)"),32.23)</f>
        <v>32.23</v>
      </c>
      <c r="H39" s="275">
        <f>IFERROR(__xludf.DUMMYFUNCTION("ROUND((IF(SINGLE('Ground Base'!H$154)&gt;ROUND(((1-GroundResDiscount31Up-GroundResIncentive)*'Ground Base'!H34),2),ROUND((SINGLE('Ground Base'!H$154)+GroundResidentialFee)*(1+GroundFuelSurcharge),2),ROUND((((1-GroundResDiscount31Up-GroundResIncentive)*'Groun"&amp;"d Base'!H34)+GroundResidentialFee)*(1+GroundFuelSurcharge),2)))*(1+FedEx_Markup),2)"),37.66)</f>
        <v>37.66</v>
      </c>
      <c r="I39" s="275">
        <f>ROUND((IF('Ground Base'!I$154&gt;ROUND(((1-GroundAKHIDiscount)*'Ground Base'!I34),2),ROUND(('Ground Base'!I$154+GroundResidentialFee)*(1+GroundFuelSurcharge),2),ROUND((((1-GroundAKHIDiscount)*'Ground Base'!I34)+GroundResidentialFee)*(1+GroundFuelSurcharge),2)))*(1+FedEx_Markup),2)</f>
        <v>166.91</v>
      </c>
      <c r="J39" s="275">
        <f>ROUND((IF('Ground Base'!J$154&gt;ROUND(((1-GroundAKHIDiscount)*'Ground Base'!J34),2),ROUND(('Ground Base'!J$154+GroundResidentialFee)*(1+GroundFuelSurcharge),2),ROUND((((1-GroundAKHIDiscount)*'Ground Base'!J34)+GroundResidentialFee)*(1+GroundFuelSurcharge),2)))*(1+FedEx_Markup),2)</f>
        <v>166.91</v>
      </c>
      <c r="K39" s="275">
        <f>ROUND((IF('Ground Base'!K$154&gt;ROUND(((1-GroundZone51Discount)*'Ground Base'!K34),2),ROUND(('Ground Base'!K$154+GroundResidentialFee)*(1+GroundFuelSurcharge),2),ROUND((((1-GroundZone51Discount)*'Ground Base'!K34)+GroundResidentialFee)*(1+GroundFuelSurcharge),2)))*(1+FedEx_Markup),2)</f>
        <v>55.12</v>
      </c>
      <c r="L39" s="275">
        <f>ROUND((IF('Ground Base'!L$154&gt;ROUND(((1-GroundZone54Discount)*'Ground Base'!L34),2),ROUND(('Ground Base'!L$154+GroundResidentialFee)*(1+GroundFuelSurcharge),2),ROUND((((1-GroundZone54Discount)*'Ground Base'!L34)+GroundResidentialFee)*(1+GroundFuelSurcharge),2)))*(1+FedEx_Markup),2)</f>
        <v>65.23</v>
      </c>
    </row>
    <row r="40" ht="12.75" customHeight="1">
      <c r="A40" s="274">
        <v>33.0</v>
      </c>
      <c r="B40" s="275">
        <f>IFERROR(__xludf.DUMMYFUNCTION("ROUND((IF(SINGLE('Ground Base'!B$154)&gt;ROUND(((1-GroundResDiscount31Up-GroundResIncentive)*'Ground Base'!B35),2),ROUND((SINGLE('Ground Base'!B$154)+GroundResidentialFee)*(1+GroundFuelSurcharge),2),ROUND((((1-GroundResDiscount31Up-GroundResIncentive)*'Groun"&amp;"d Base'!B35)+GroundResidentialFee)*(1+GroundFuelSurcharge),2)))*(1+FedEx_Markup),2)"),16.53)</f>
        <v>16.53</v>
      </c>
      <c r="C40" s="275">
        <f>IFERROR(__xludf.DUMMYFUNCTION("ROUND((IF(SINGLE('Ground Base'!C$154)&gt;ROUND(((1-GroundResDiscount31Up-GroundResIncentive)*'Ground Base'!C35),2),ROUND((SINGLE('Ground Base'!C$154)+GroundResidentialFee)*(1+GroundFuelSurcharge),2),ROUND((((1-GroundResDiscount31Up-GroundResIncentive)*'Groun"&amp;"d Base'!C35)+GroundResidentialFee)*(1+GroundFuelSurcharge),2)))*(1+FedEx_Markup),2)"),18.17)</f>
        <v>18.17</v>
      </c>
      <c r="D40" s="275">
        <f>IFERROR(__xludf.DUMMYFUNCTION("ROUND((IF(SINGLE('Ground Base'!D$154)&gt;ROUND(((1-GroundResDiscount31Up-GroundResIncentive)*'Ground Base'!D35),2),ROUND((SINGLE('Ground Base'!D$154)+GroundResidentialFee)*(1+GroundFuelSurcharge),2),ROUND((((1-GroundResDiscount31Up-GroundResIncentive)*'Groun"&amp;"d Base'!D35)+GroundResidentialFee)*(1+GroundFuelSurcharge),2)))*(1+FedEx_Markup),2)"),20.19)</f>
        <v>20.19</v>
      </c>
      <c r="E40" s="275">
        <f>IFERROR(__xludf.DUMMYFUNCTION("ROUND((IF(SINGLE('Ground Base'!E$154)&gt;ROUND(((1-GroundResDiscount31Up-GroundResIncentive)*'Ground Base'!E35),2),ROUND((SINGLE('Ground Base'!E$154)+GroundResidentialFee)*(1+GroundFuelSurcharge),2),ROUND((((1-GroundResDiscount31Up-GroundResIncentive)*'Groun"&amp;"d Base'!E35)+GroundResidentialFee)*(1+GroundFuelSurcharge),2)))*(1+FedEx_Markup),2)"),23.52)</f>
        <v>23.52</v>
      </c>
      <c r="F40" s="275">
        <f>IFERROR(__xludf.DUMMYFUNCTION("ROUND((IF(SINGLE('Ground Base'!F$154)&gt;ROUND(((1-GroundResDiscount31Up-GroundResIncentive)*'Ground Base'!F35),2),ROUND((SINGLE('Ground Base'!F$154)+GroundResidentialFee)*(1+GroundFuelSurcharge),2),ROUND((((1-GroundResDiscount31Up-GroundResIncentive)*'Groun"&amp;"d Base'!F35)+GroundResidentialFee)*(1+GroundFuelSurcharge),2)))*(1+FedEx_Markup),2)"),29.46)</f>
        <v>29.46</v>
      </c>
      <c r="G40" s="275">
        <f>IFERROR(__xludf.DUMMYFUNCTION("ROUND((IF(SINGLE('Ground Base'!G$154)&gt;ROUND(((1-GroundResDiscount31Up-GroundResIncentive)*'Ground Base'!G35),2),ROUND((SINGLE('Ground Base'!G$154)+GroundResidentialFee)*(1+GroundFuelSurcharge),2),ROUND((((1-GroundResDiscount31Up-GroundResIncentive)*'Groun"&amp;"d Base'!G35)+GroundResidentialFee)*(1+GroundFuelSurcharge),2)))*(1+FedEx_Markup),2)"),33.2)</f>
        <v>33.2</v>
      </c>
      <c r="H40" s="275">
        <f>IFERROR(__xludf.DUMMYFUNCTION("ROUND((IF(SINGLE('Ground Base'!H$154)&gt;ROUND(((1-GroundResDiscount31Up-GroundResIncentive)*'Ground Base'!H35),2),ROUND((SINGLE('Ground Base'!H$154)+GroundResidentialFee)*(1+GroundFuelSurcharge),2),ROUND((((1-GroundResDiscount31Up-GroundResIncentive)*'Groun"&amp;"d Base'!H35)+GroundResidentialFee)*(1+GroundFuelSurcharge),2)))*(1+FedEx_Markup),2)"),38.59)</f>
        <v>38.59</v>
      </c>
      <c r="I40" s="275">
        <f>ROUND((IF('Ground Base'!I$154&gt;ROUND(((1-GroundAKHIDiscount)*'Ground Base'!I35),2),ROUND(('Ground Base'!I$154+GroundResidentialFee)*(1+GroundFuelSurcharge),2),ROUND((((1-GroundAKHIDiscount)*'Ground Base'!I35)+GroundResidentialFee)*(1+GroundFuelSurcharge),2)))*(1+FedEx_Markup),2)</f>
        <v>170.35</v>
      </c>
      <c r="J40" s="275">
        <f>ROUND((IF('Ground Base'!J$154&gt;ROUND(((1-GroundAKHIDiscount)*'Ground Base'!J35),2),ROUND(('Ground Base'!J$154+GroundResidentialFee)*(1+GroundFuelSurcharge),2),ROUND((((1-GroundAKHIDiscount)*'Ground Base'!J35)+GroundResidentialFee)*(1+GroundFuelSurcharge),2)))*(1+FedEx_Markup),2)</f>
        <v>170.35</v>
      </c>
      <c r="K40" s="275">
        <f>ROUND((IF('Ground Base'!K$154&gt;ROUND(((1-GroundZone51Discount)*'Ground Base'!K35),2),ROUND(('Ground Base'!K$154+GroundResidentialFee)*(1+GroundFuelSurcharge),2),ROUND((((1-GroundZone51Discount)*'Ground Base'!K35)+GroundResidentialFee)*(1+GroundFuelSurcharge),2)))*(1+FedEx_Markup),2)</f>
        <v>56.43</v>
      </c>
      <c r="L40" s="275">
        <f>ROUND((IF('Ground Base'!L$154&gt;ROUND(((1-GroundZone54Discount)*'Ground Base'!L35),2),ROUND(('Ground Base'!L$154+GroundResidentialFee)*(1+GroundFuelSurcharge),2),ROUND((((1-GroundZone54Discount)*'Ground Base'!L35)+GroundResidentialFee)*(1+GroundFuelSurcharge),2)))*(1+FedEx_Markup),2)</f>
        <v>66.56</v>
      </c>
    </row>
    <row r="41" ht="12.75" customHeight="1">
      <c r="A41" s="274">
        <v>34.0</v>
      </c>
      <c r="B41" s="275">
        <f>IFERROR(__xludf.DUMMYFUNCTION("ROUND((IF(SINGLE('Ground Base'!B$154)&gt;ROUND(((1-GroundResDiscount31Up-GroundResIncentive)*'Ground Base'!B36),2),ROUND((SINGLE('Ground Base'!B$154)+GroundResidentialFee)*(1+GroundFuelSurcharge),2),ROUND((((1-GroundResDiscount31Up-GroundResIncentive)*'Groun"&amp;"d Base'!B36)+GroundResidentialFee)*(1+GroundFuelSurcharge),2)))*(1+FedEx_Markup),2)"),16.53)</f>
        <v>16.53</v>
      </c>
      <c r="C41" s="275">
        <f>IFERROR(__xludf.DUMMYFUNCTION("ROUND((IF(SINGLE('Ground Base'!C$154)&gt;ROUND(((1-GroundResDiscount31Up-GroundResIncentive)*'Ground Base'!C36),2),ROUND((SINGLE('Ground Base'!C$154)+GroundResidentialFee)*(1+GroundFuelSurcharge),2),ROUND((((1-GroundResDiscount31Up-GroundResIncentive)*'Groun"&amp;"d Base'!C36)+GroundResidentialFee)*(1+GroundFuelSurcharge),2)))*(1+FedEx_Markup),2)"),18.52)</f>
        <v>18.52</v>
      </c>
      <c r="D41" s="275">
        <f>IFERROR(__xludf.DUMMYFUNCTION("ROUND((IF(SINGLE('Ground Base'!D$154)&gt;ROUND(((1-GroundResDiscount31Up-GroundResIncentive)*'Ground Base'!D36),2),ROUND((SINGLE('Ground Base'!D$154)+GroundResidentialFee)*(1+GroundFuelSurcharge),2),ROUND((((1-GroundResDiscount31Up-GroundResIncentive)*'Groun"&amp;"d Base'!D36)+GroundResidentialFee)*(1+GroundFuelSurcharge),2)))*(1+FedEx_Markup),2)"),20.75)</f>
        <v>20.75</v>
      </c>
      <c r="E41" s="275">
        <f>IFERROR(__xludf.DUMMYFUNCTION("ROUND((IF(SINGLE('Ground Base'!E$154)&gt;ROUND(((1-GroundResDiscount31Up-GroundResIncentive)*'Ground Base'!E36),2),ROUND((SINGLE('Ground Base'!E$154)+GroundResidentialFee)*(1+GroundFuelSurcharge),2),ROUND((((1-GroundResDiscount31Up-GroundResIncentive)*'Groun"&amp;"d Base'!E36)+GroundResidentialFee)*(1+GroundFuelSurcharge),2)))*(1+FedEx_Markup),2)"),24.24)</f>
        <v>24.24</v>
      </c>
      <c r="F41" s="275">
        <f>IFERROR(__xludf.DUMMYFUNCTION("ROUND((IF(SINGLE('Ground Base'!F$154)&gt;ROUND(((1-GroundResDiscount31Up-GroundResIncentive)*'Ground Base'!F36),2),ROUND((SINGLE('Ground Base'!F$154)+GroundResidentialFee)*(1+GroundFuelSurcharge),2),ROUND((((1-GroundResDiscount31Up-GroundResIncentive)*'Groun"&amp;"d Base'!F36)+GroundResidentialFee)*(1+GroundFuelSurcharge),2)))*(1+FedEx_Markup),2)"),29.47)</f>
        <v>29.47</v>
      </c>
      <c r="G41" s="275">
        <f>IFERROR(__xludf.DUMMYFUNCTION("ROUND((IF(SINGLE('Ground Base'!G$154)&gt;ROUND(((1-GroundResDiscount31Up-GroundResIncentive)*'Ground Base'!G36),2),ROUND((SINGLE('Ground Base'!G$154)+GroundResidentialFee)*(1+GroundFuelSurcharge),2),ROUND((((1-GroundResDiscount31Up-GroundResIncentive)*'Groun"&amp;"d Base'!G36)+GroundResidentialFee)*(1+GroundFuelSurcharge),2)))*(1+FedEx_Markup),2)"),34.11)</f>
        <v>34.11</v>
      </c>
      <c r="H41" s="275">
        <f>IFERROR(__xludf.DUMMYFUNCTION("ROUND((IF(SINGLE('Ground Base'!H$154)&gt;ROUND(((1-GroundResDiscount31Up-GroundResIncentive)*'Ground Base'!H36),2),ROUND((SINGLE('Ground Base'!H$154)+GroundResidentialFee)*(1+GroundFuelSurcharge),2),ROUND((((1-GroundResDiscount31Up-GroundResIncentive)*'Groun"&amp;"d Base'!H36)+GroundResidentialFee)*(1+GroundFuelSurcharge),2)))*(1+FedEx_Markup),2)"),40.31)</f>
        <v>40.31</v>
      </c>
      <c r="I41" s="275">
        <f>ROUND((IF('Ground Base'!I$154&gt;ROUND(((1-GroundAKHIDiscount)*'Ground Base'!I36),2),ROUND(('Ground Base'!I$154+GroundResidentialFee)*(1+GroundFuelSurcharge),2),ROUND((((1-GroundAKHIDiscount)*'Ground Base'!I36)+GroundResidentialFee)*(1+GroundFuelSurcharge),2)))*(1+FedEx_Markup),2)</f>
        <v>174.11</v>
      </c>
      <c r="J41" s="275">
        <f>ROUND((IF('Ground Base'!J$154&gt;ROUND(((1-GroundAKHIDiscount)*'Ground Base'!J36),2),ROUND(('Ground Base'!J$154+GroundResidentialFee)*(1+GroundFuelSurcharge),2),ROUND((((1-GroundAKHIDiscount)*'Ground Base'!J36)+GroundResidentialFee)*(1+GroundFuelSurcharge),2)))*(1+FedEx_Markup),2)</f>
        <v>174.11</v>
      </c>
      <c r="K41" s="275">
        <f>ROUND((IF('Ground Base'!K$154&gt;ROUND(((1-GroundZone51Discount)*'Ground Base'!K36),2),ROUND(('Ground Base'!K$154+GroundResidentialFee)*(1+GroundFuelSurcharge),2),ROUND((((1-GroundZone51Discount)*'Ground Base'!K36)+GroundResidentialFee)*(1+GroundFuelSurcharge),2)))*(1+FedEx_Markup),2)</f>
        <v>57.44</v>
      </c>
      <c r="L41" s="275">
        <f>ROUND((IF('Ground Base'!L$154&gt;ROUND(((1-GroundZone54Discount)*'Ground Base'!L36),2),ROUND(('Ground Base'!L$154+GroundResidentialFee)*(1+GroundFuelSurcharge),2),ROUND((((1-GroundZone54Discount)*'Ground Base'!L36)+GroundResidentialFee)*(1+GroundFuelSurcharge),2)))*(1+FedEx_Markup),2)</f>
        <v>67.9</v>
      </c>
    </row>
    <row r="42" ht="12.75" customHeight="1">
      <c r="A42" s="274">
        <v>35.0</v>
      </c>
      <c r="B42" s="275">
        <f>IFERROR(__xludf.DUMMYFUNCTION("ROUND((IF(SINGLE('Ground Base'!B$154)&gt;ROUND(((1-GroundResDiscount31Up-GroundResIncentive)*'Ground Base'!B37),2),ROUND((SINGLE('Ground Base'!B$154)+GroundResidentialFee)*(1+GroundFuelSurcharge),2),ROUND((((1-GroundResDiscount31Up-GroundResIncentive)*'Groun"&amp;"d Base'!B37)+GroundResidentialFee)*(1+GroundFuelSurcharge),2)))*(1+FedEx_Markup),2)"),16.53)</f>
        <v>16.53</v>
      </c>
      <c r="C42" s="275">
        <f>IFERROR(__xludf.DUMMYFUNCTION("ROUND((IF(SINGLE('Ground Base'!C$154)&gt;ROUND(((1-GroundResDiscount31Up-GroundResIncentive)*'Ground Base'!C37),2),ROUND((SINGLE('Ground Base'!C$154)+GroundResidentialFee)*(1+GroundFuelSurcharge),2),ROUND((((1-GroundResDiscount31Up-GroundResIncentive)*'Groun"&amp;"d Base'!C37)+GroundResidentialFee)*(1+GroundFuelSurcharge),2)))*(1+FedEx_Markup),2)"),19.34)</f>
        <v>19.34</v>
      </c>
      <c r="D42" s="275">
        <f>IFERROR(__xludf.DUMMYFUNCTION("ROUND((IF(SINGLE('Ground Base'!D$154)&gt;ROUND(((1-GroundResDiscount31Up-GroundResIncentive)*'Ground Base'!D37),2),ROUND((SINGLE('Ground Base'!D$154)+GroundResidentialFee)*(1+GroundFuelSurcharge),2),ROUND((((1-GroundResDiscount31Up-GroundResIncentive)*'Groun"&amp;"d Base'!D37)+GroundResidentialFee)*(1+GroundFuelSurcharge),2)))*(1+FedEx_Markup),2)"),21.34)</f>
        <v>21.34</v>
      </c>
      <c r="E42" s="275">
        <f>IFERROR(__xludf.DUMMYFUNCTION("ROUND((IF(SINGLE('Ground Base'!E$154)&gt;ROUND(((1-GroundResDiscount31Up-GroundResIncentive)*'Ground Base'!E37),2),ROUND((SINGLE('Ground Base'!E$154)+GroundResidentialFee)*(1+GroundFuelSurcharge),2),ROUND((((1-GroundResDiscount31Up-GroundResIncentive)*'Groun"&amp;"d Base'!E37)+GroundResidentialFee)*(1+GroundFuelSurcharge),2)))*(1+FedEx_Markup),2)"),24.76)</f>
        <v>24.76</v>
      </c>
      <c r="F42" s="275">
        <f>IFERROR(__xludf.DUMMYFUNCTION("ROUND((IF(SINGLE('Ground Base'!F$154)&gt;ROUND(((1-GroundResDiscount31Up-GroundResIncentive)*'Ground Base'!F37),2),ROUND((SINGLE('Ground Base'!F$154)+GroundResidentialFee)*(1+GroundFuelSurcharge),2),ROUND((((1-GroundResDiscount31Up-GroundResIncentive)*'Groun"&amp;"d Base'!F37)+GroundResidentialFee)*(1+GroundFuelSurcharge),2)))*(1+FedEx_Markup),2)"),29.93)</f>
        <v>29.93</v>
      </c>
      <c r="G42" s="275">
        <f>IFERROR(__xludf.DUMMYFUNCTION("ROUND((IF(SINGLE('Ground Base'!G$154)&gt;ROUND(((1-GroundResDiscount31Up-GroundResIncentive)*'Ground Base'!G37),2),ROUND((SINGLE('Ground Base'!G$154)+GroundResidentialFee)*(1+GroundFuelSurcharge),2),ROUND((((1-GroundResDiscount31Up-GroundResIncentive)*'Groun"&amp;"d Base'!G37)+GroundResidentialFee)*(1+GroundFuelSurcharge),2)))*(1+FedEx_Markup),2)"),34.91)</f>
        <v>34.91</v>
      </c>
      <c r="H42" s="275">
        <f>IFERROR(__xludf.DUMMYFUNCTION("ROUND((IF(SINGLE('Ground Base'!H$154)&gt;ROUND(((1-GroundResDiscount31Up-GroundResIncentive)*'Ground Base'!H37),2),ROUND((SINGLE('Ground Base'!H$154)+GroundResidentialFee)*(1+GroundFuelSurcharge),2),ROUND((((1-GroundResDiscount31Up-GroundResIncentive)*'Groun"&amp;"d Base'!H37)+GroundResidentialFee)*(1+GroundFuelSurcharge),2)))*(1+FedEx_Markup),2)"),40.58)</f>
        <v>40.58</v>
      </c>
      <c r="I42" s="275">
        <f>ROUND((IF('Ground Base'!I$154&gt;ROUND(((1-GroundAKHIDiscount)*'Ground Base'!I37),2),ROUND(('Ground Base'!I$154+GroundResidentialFee)*(1+GroundFuelSurcharge),2),ROUND((((1-GroundAKHIDiscount)*'Ground Base'!I37)+GroundResidentialFee)*(1+GroundFuelSurcharge),2)))*(1+FedEx_Markup),2)</f>
        <v>178.35</v>
      </c>
      <c r="J42" s="275">
        <f>ROUND((IF('Ground Base'!J$154&gt;ROUND(((1-GroundAKHIDiscount)*'Ground Base'!J37),2),ROUND(('Ground Base'!J$154+GroundResidentialFee)*(1+GroundFuelSurcharge),2),ROUND((((1-GroundAKHIDiscount)*'Ground Base'!J37)+GroundResidentialFee)*(1+GroundFuelSurcharge),2)))*(1+FedEx_Markup),2)</f>
        <v>178.35</v>
      </c>
      <c r="K42" s="275">
        <f>ROUND((IF('Ground Base'!K$154&gt;ROUND(((1-GroundZone51Discount)*'Ground Base'!K37),2),ROUND(('Ground Base'!K$154+GroundResidentialFee)*(1+GroundFuelSurcharge),2),ROUND((((1-GroundZone51Discount)*'Ground Base'!K37)+GroundResidentialFee)*(1+GroundFuelSurcharge),2)))*(1+FedEx_Markup),2)</f>
        <v>58.49</v>
      </c>
      <c r="L42" s="275">
        <f>ROUND((IF('Ground Base'!L$154&gt;ROUND(((1-GroundZone54Discount)*'Ground Base'!L37),2),ROUND(('Ground Base'!L$154+GroundResidentialFee)*(1+GroundFuelSurcharge),2),ROUND((((1-GroundZone54Discount)*'Ground Base'!L37)+GroundResidentialFee)*(1+GroundFuelSurcharge),2)))*(1+FedEx_Markup),2)</f>
        <v>68.76</v>
      </c>
    </row>
    <row r="43" ht="12.75" customHeight="1">
      <c r="A43" s="274">
        <v>36.0</v>
      </c>
      <c r="B43" s="275">
        <f>IFERROR(__xludf.DUMMYFUNCTION("ROUND((IF(SINGLE('Ground Base'!B$154)&gt;ROUND(((1-GroundResDiscount31Up-GroundResIncentive)*'Ground Base'!B38),2),ROUND((SINGLE('Ground Base'!B$154)+GroundResidentialFee)*(1+GroundFuelSurcharge),2),ROUND((((1-GroundResDiscount31Up-GroundResIncentive)*'Groun"&amp;"d Base'!B38)+GroundResidentialFee)*(1+GroundFuelSurcharge),2)))*(1+FedEx_Markup),2)"),16.53)</f>
        <v>16.53</v>
      </c>
      <c r="C43" s="275">
        <f>IFERROR(__xludf.DUMMYFUNCTION("ROUND((IF(SINGLE('Ground Base'!C$154)&gt;ROUND(((1-GroundResDiscount31Up-GroundResIncentive)*'Ground Base'!C38),2),ROUND((SINGLE('Ground Base'!C$154)+GroundResidentialFee)*(1+GroundFuelSurcharge),2),ROUND((((1-GroundResDiscount31Up-GroundResIncentive)*'Groun"&amp;"d Base'!C38)+GroundResidentialFee)*(1+GroundFuelSurcharge),2)))*(1+FedEx_Markup),2)"),19.35)</f>
        <v>19.35</v>
      </c>
      <c r="D43" s="275">
        <f>IFERROR(__xludf.DUMMYFUNCTION("ROUND((IF(SINGLE('Ground Base'!D$154)&gt;ROUND(((1-GroundResDiscount31Up-GroundResIncentive)*'Ground Base'!D38),2),ROUND((SINGLE('Ground Base'!D$154)+GroundResidentialFee)*(1+GroundFuelSurcharge),2),ROUND((((1-GroundResDiscount31Up-GroundResIncentive)*'Groun"&amp;"d Base'!D38)+GroundResidentialFee)*(1+GroundFuelSurcharge),2)))*(1+FedEx_Markup),2)"),21.48)</f>
        <v>21.48</v>
      </c>
      <c r="E43" s="275">
        <f>IFERROR(__xludf.DUMMYFUNCTION("ROUND((IF(SINGLE('Ground Base'!E$154)&gt;ROUND(((1-GroundResDiscount31Up-GroundResIncentive)*'Ground Base'!E38),2),ROUND((SINGLE('Ground Base'!E$154)+GroundResidentialFee)*(1+GroundFuelSurcharge),2),ROUND((((1-GroundResDiscount31Up-GroundResIncentive)*'Groun"&amp;"d Base'!E38)+GroundResidentialFee)*(1+GroundFuelSurcharge),2)))*(1+FedEx_Markup),2)"),25.3)</f>
        <v>25.3</v>
      </c>
      <c r="F43" s="275">
        <f>IFERROR(__xludf.DUMMYFUNCTION("ROUND((IF(SINGLE('Ground Base'!F$154)&gt;ROUND(((1-GroundResDiscount31Up-GroundResIncentive)*'Ground Base'!F38),2),ROUND((SINGLE('Ground Base'!F$154)+GroundResidentialFee)*(1+GroundFuelSurcharge),2),ROUND((((1-GroundResDiscount31Up-GroundResIncentive)*'Groun"&amp;"d Base'!F38)+GroundResidentialFee)*(1+GroundFuelSurcharge),2)))*(1+FedEx_Markup),2)"),31.06)</f>
        <v>31.06</v>
      </c>
      <c r="G43" s="275">
        <f>IFERROR(__xludf.DUMMYFUNCTION("ROUND((IF(SINGLE('Ground Base'!G$154)&gt;ROUND(((1-GroundResDiscount31Up-GroundResIncentive)*'Ground Base'!G38),2),ROUND((SINGLE('Ground Base'!G$154)+GroundResidentialFee)*(1+GroundFuelSurcharge),2),ROUND((((1-GroundResDiscount31Up-GroundResIncentive)*'Groun"&amp;"d Base'!G38)+GroundResidentialFee)*(1+GroundFuelSurcharge),2)))*(1+FedEx_Markup),2)"),36.01)</f>
        <v>36.01</v>
      </c>
      <c r="H43" s="275">
        <f>IFERROR(__xludf.DUMMYFUNCTION("ROUND((IF(SINGLE('Ground Base'!H$154)&gt;ROUND(((1-GroundResDiscount31Up-GroundResIncentive)*'Ground Base'!H38),2),ROUND((SINGLE('Ground Base'!H$154)+GroundResidentialFee)*(1+GroundFuelSurcharge),2),ROUND((((1-GroundResDiscount31Up-GroundResIncentive)*'Groun"&amp;"d Base'!H38)+GroundResidentialFee)*(1+GroundFuelSurcharge),2)))*(1+FedEx_Markup),2)"),42.06)</f>
        <v>42.06</v>
      </c>
      <c r="I43" s="275">
        <f>ROUND((IF('Ground Base'!I$154&gt;ROUND(((1-GroundAKHIDiscount)*'Ground Base'!I38),2),ROUND(('Ground Base'!I$154+GroundResidentialFee)*(1+GroundFuelSurcharge),2),ROUND((((1-GroundAKHIDiscount)*'Ground Base'!I38)+GroundResidentialFee)*(1+GroundFuelSurcharge),2)))*(1+FedEx_Markup),2)</f>
        <v>182.1</v>
      </c>
      <c r="J43" s="275">
        <f>ROUND((IF('Ground Base'!J$154&gt;ROUND(((1-GroundAKHIDiscount)*'Ground Base'!J38),2),ROUND(('Ground Base'!J$154+GroundResidentialFee)*(1+GroundFuelSurcharge),2),ROUND((((1-GroundAKHIDiscount)*'Ground Base'!J38)+GroundResidentialFee)*(1+GroundFuelSurcharge),2)))*(1+FedEx_Markup),2)</f>
        <v>182.1</v>
      </c>
      <c r="K43" s="275">
        <f>ROUND((IF('Ground Base'!K$154&gt;ROUND(((1-GroundZone51Discount)*'Ground Base'!K38),2),ROUND(('Ground Base'!K$154+GroundResidentialFee)*(1+GroundFuelSurcharge),2),ROUND((((1-GroundZone51Discount)*'Ground Base'!K38)+GroundResidentialFee)*(1+GroundFuelSurcharge),2)))*(1+FedEx_Markup),2)</f>
        <v>59.51</v>
      </c>
      <c r="L43" s="275">
        <f>ROUND((IF('Ground Base'!L$154&gt;ROUND(((1-GroundZone54Discount)*'Ground Base'!L38),2),ROUND(('Ground Base'!L$154+GroundResidentialFee)*(1+GroundFuelSurcharge),2),ROUND((((1-GroundZone54Discount)*'Ground Base'!L38)+GroundResidentialFee)*(1+GroundFuelSurcharge),2)))*(1+FedEx_Markup),2)</f>
        <v>70.29</v>
      </c>
    </row>
    <row r="44" ht="12.75" customHeight="1">
      <c r="A44" s="274">
        <v>37.0</v>
      </c>
      <c r="B44" s="275">
        <f>IFERROR(__xludf.DUMMYFUNCTION("ROUND((IF(SINGLE('Ground Base'!B$154)&gt;ROUND(((1-GroundResDiscount31Up-GroundResIncentive)*'Ground Base'!B39),2),ROUND((SINGLE('Ground Base'!B$154)+GroundResidentialFee)*(1+GroundFuelSurcharge),2),ROUND((((1-GroundResDiscount31Up-GroundResIncentive)*'Groun"&amp;"d Base'!B39)+GroundResidentialFee)*(1+GroundFuelSurcharge),2)))*(1+FedEx_Markup),2)"),16.66)</f>
        <v>16.66</v>
      </c>
      <c r="C44" s="275">
        <f>IFERROR(__xludf.DUMMYFUNCTION("ROUND((IF(SINGLE('Ground Base'!C$154)&gt;ROUND(((1-GroundResDiscount31Up-GroundResIncentive)*'Ground Base'!C39),2),ROUND((SINGLE('Ground Base'!C$154)+GroundResidentialFee)*(1+GroundFuelSurcharge),2),ROUND((((1-GroundResDiscount31Up-GroundResIncentive)*'Groun"&amp;"d Base'!C39)+GroundResidentialFee)*(1+GroundFuelSurcharge),2)))*(1+FedEx_Markup),2)"),19.57)</f>
        <v>19.57</v>
      </c>
      <c r="D44" s="275">
        <f>IFERROR(__xludf.DUMMYFUNCTION("ROUND((IF(SINGLE('Ground Base'!D$154)&gt;ROUND(((1-GroundResDiscount31Up-GroundResIncentive)*'Ground Base'!D39),2),ROUND((SINGLE('Ground Base'!D$154)+GroundResidentialFee)*(1+GroundFuelSurcharge),2),ROUND((((1-GroundResDiscount31Up-GroundResIncentive)*'Groun"&amp;"d Base'!D39)+GroundResidentialFee)*(1+GroundFuelSurcharge),2)))*(1+FedEx_Markup),2)"),21.68)</f>
        <v>21.68</v>
      </c>
      <c r="E44" s="275">
        <f>IFERROR(__xludf.DUMMYFUNCTION("ROUND((IF(SINGLE('Ground Base'!E$154)&gt;ROUND(((1-GroundResDiscount31Up-GroundResIncentive)*'Ground Base'!E39),2),ROUND((SINGLE('Ground Base'!E$154)+GroundResidentialFee)*(1+GroundFuelSurcharge),2),ROUND((((1-GroundResDiscount31Up-GroundResIncentive)*'Groun"&amp;"d Base'!E39)+GroundResidentialFee)*(1+GroundFuelSurcharge),2)))*(1+FedEx_Markup),2)"),25.79)</f>
        <v>25.79</v>
      </c>
      <c r="F44" s="275">
        <f>IFERROR(__xludf.DUMMYFUNCTION("ROUND((IF(SINGLE('Ground Base'!F$154)&gt;ROUND(((1-GroundResDiscount31Up-GroundResIncentive)*'Ground Base'!F39),2),ROUND((SINGLE('Ground Base'!F$154)+GroundResidentialFee)*(1+GroundFuelSurcharge),2),ROUND((((1-GroundResDiscount31Up-GroundResIncentive)*'Groun"&amp;"d Base'!F39)+GroundResidentialFee)*(1+GroundFuelSurcharge),2)))*(1+FedEx_Markup),2)"),31.19)</f>
        <v>31.19</v>
      </c>
      <c r="G44" s="275">
        <f>IFERROR(__xludf.DUMMYFUNCTION("ROUND((IF(SINGLE('Ground Base'!G$154)&gt;ROUND(((1-GroundResDiscount31Up-GroundResIncentive)*'Ground Base'!G39),2),ROUND((SINGLE('Ground Base'!G$154)+GroundResidentialFee)*(1+GroundFuelSurcharge),2),ROUND((((1-GroundResDiscount31Up-GroundResIncentive)*'Groun"&amp;"d Base'!G39)+GroundResidentialFee)*(1+GroundFuelSurcharge),2)))*(1+FedEx_Markup),2)"),37.08)</f>
        <v>37.08</v>
      </c>
      <c r="H44" s="275">
        <f>IFERROR(__xludf.DUMMYFUNCTION("ROUND((IF(SINGLE('Ground Base'!H$154)&gt;ROUND(((1-GroundResDiscount31Up-GroundResIncentive)*'Ground Base'!H39),2),ROUND((SINGLE('Ground Base'!H$154)+GroundResidentialFee)*(1+GroundFuelSurcharge),2),ROUND((((1-GroundResDiscount31Up-GroundResIncentive)*'Groun"&amp;"d Base'!H39)+GroundResidentialFee)*(1+GroundFuelSurcharge),2)))*(1+FedEx_Markup),2)"),42.45)</f>
        <v>42.45</v>
      </c>
      <c r="I44" s="275">
        <f>ROUND((IF('Ground Base'!I$154&gt;ROUND(((1-GroundAKHIDiscount)*'Ground Base'!I39),2),ROUND(('Ground Base'!I$154+GroundResidentialFee)*(1+GroundFuelSurcharge),2),ROUND((((1-GroundAKHIDiscount)*'Ground Base'!I39)+GroundResidentialFee)*(1+GroundFuelSurcharge),2)))*(1+FedEx_Markup),2)</f>
        <v>186.21</v>
      </c>
      <c r="J44" s="275">
        <f>ROUND((IF('Ground Base'!J$154&gt;ROUND(((1-GroundAKHIDiscount)*'Ground Base'!J39),2),ROUND(('Ground Base'!J$154+GroundResidentialFee)*(1+GroundFuelSurcharge),2),ROUND((((1-GroundAKHIDiscount)*'Ground Base'!J39)+GroundResidentialFee)*(1+GroundFuelSurcharge),2)))*(1+FedEx_Markup),2)</f>
        <v>186.21</v>
      </c>
      <c r="K44" s="275">
        <f>ROUND((IF('Ground Base'!K$154&gt;ROUND(((1-GroundZone51Discount)*'Ground Base'!K39),2),ROUND(('Ground Base'!K$154+GroundResidentialFee)*(1+GroundFuelSurcharge),2),ROUND((((1-GroundZone51Discount)*'Ground Base'!K39)+GroundResidentialFee)*(1+GroundFuelSurcharge),2)))*(1+FedEx_Markup),2)</f>
        <v>60.79</v>
      </c>
      <c r="L44" s="275">
        <f>ROUND((IF('Ground Base'!L$154&gt;ROUND(((1-GroundZone54Discount)*'Ground Base'!L39),2),ROUND(('Ground Base'!L$154+GroundResidentialFee)*(1+GroundFuelSurcharge),2),ROUND((((1-GroundZone54Discount)*'Ground Base'!L39)+GroundResidentialFee)*(1+GroundFuelSurcharge),2)))*(1+FedEx_Markup),2)</f>
        <v>71.66</v>
      </c>
    </row>
    <row r="45" ht="12.75" customHeight="1">
      <c r="A45" s="274">
        <v>38.0</v>
      </c>
      <c r="B45" s="275">
        <f>IFERROR(__xludf.DUMMYFUNCTION("ROUND((IF(SINGLE('Ground Base'!B$154)&gt;ROUND(((1-GroundResDiscount31Up-GroundResIncentive)*'Ground Base'!B40),2),ROUND((SINGLE('Ground Base'!B$154)+GroundResidentialFee)*(1+GroundFuelSurcharge),2),ROUND((((1-GroundResDiscount31Up-GroundResIncentive)*'Groun"&amp;"d Base'!B40)+GroundResidentialFee)*(1+GroundFuelSurcharge),2)))*(1+FedEx_Markup),2)"),16.88)</f>
        <v>16.88</v>
      </c>
      <c r="C45" s="275">
        <f>IFERROR(__xludf.DUMMYFUNCTION("ROUND((IF(SINGLE('Ground Base'!C$154)&gt;ROUND(((1-GroundResDiscount31Up-GroundResIncentive)*'Ground Base'!C40),2),ROUND((SINGLE('Ground Base'!C$154)+GroundResidentialFee)*(1+GroundFuelSurcharge),2),ROUND((((1-GroundResDiscount31Up-GroundResIncentive)*'Groun"&amp;"d Base'!C40)+GroundResidentialFee)*(1+GroundFuelSurcharge),2)))*(1+FedEx_Markup),2)"),19.83)</f>
        <v>19.83</v>
      </c>
      <c r="D45" s="275">
        <f>IFERROR(__xludf.DUMMYFUNCTION("ROUND((IF(SINGLE('Ground Base'!D$154)&gt;ROUND(((1-GroundResDiscount31Up-GroundResIncentive)*'Ground Base'!D40),2),ROUND((SINGLE('Ground Base'!D$154)+GroundResidentialFee)*(1+GroundFuelSurcharge),2),ROUND((((1-GroundResDiscount31Up-GroundResIncentive)*'Groun"&amp;"d Base'!D40)+GroundResidentialFee)*(1+GroundFuelSurcharge),2)))*(1+FedEx_Markup),2)"),22.29)</f>
        <v>22.29</v>
      </c>
      <c r="E45" s="275">
        <f>IFERROR(__xludf.DUMMYFUNCTION("ROUND((IF(SINGLE('Ground Base'!E$154)&gt;ROUND(((1-GroundResDiscount31Up-GroundResIncentive)*'Ground Base'!E40),2),ROUND((SINGLE('Ground Base'!E$154)+GroundResidentialFee)*(1+GroundFuelSurcharge),2),ROUND((((1-GroundResDiscount31Up-GroundResIncentive)*'Groun"&amp;"d Base'!E40)+GroundResidentialFee)*(1+GroundFuelSurcharge),2)))*(1+FedEx_Markup),2)"),26.35)</f>
        <v>26.35</v>
      </c>
      <c r="F45" s="275">
        <f>IFERROR(__xludf.DUMMYFUNCTION("ROUND((IF(SINGLE('Ground Base'!F$154)&gt;ROUND(((1-GroundResDiscount31Up-GroundResIncentive)*'Ground Base'!F40),2),ROUND((SINGLE('Ground Base'!F$154)+GroundResidentialFee)*(1+GroundFuelSurcharge),2),ROUND((((1-GroundResDiscount31Up-GroundResIncentive)*'Groun"&amp;"d Base'!F40)+GroundResidentialFee)*(1+GroundFuelSurcharge),2)))*(1+FedEx_Markup),2)"),31.83)</f>
        <v>31.83</v>
      </c>
      <c r="G45" s="275">
        <f>IFERROR(__xludf.DUMMYFUNCTION("ROUND((IF(SINGLE('Ground Base'!G$154)&gt;ROUND(((1-GroundResDiscount31Up-GroundResIncentive)*'Ground Base'!G40),2),ROUND((SINGLE('Ground Base'!G$154)+GroundResidentialFee)*(1+GroundFuelSurcharge),2),ROUND((((1-GroundResDiscount31Up-GroundResIncentive)*'Groun"&amp;"d Base'!G40)+GroundResidentialFee)*(1+GroundFuelSurcharge),2)))*(1+FedEx_Markup),2)"),37.21)</f>
        <v>37.21</v>
      </c>
      <c r="H45" s="275">
        <f>IFERROR(__xludf.DUMMYFUNCTION("ROUND((IF(SINGLE('Ground Base'!H$154)&gt;ROUND(((1-GroundResDiscount31Up-GroundResIncentive)*'Ground Base'!H40),2),ROUND((SINGLE('Ground Base'!H$154)+GroundResidentialFee)*(1+GroundFuelSurcharge),2),ROUND((((1-GroundResDiscount31Up-GroundResIncentive)*'Groun"&amp;"d Base'!H40)+GroundResidentialFee)*(1+GroundFuelSurcharge),2)))*(1+FedEx_Markup),2)"),43.18)</f>
        <v>43.18</v>
      </c>
      <c r="I45" s="275">
        <f>ROUND((IF('Ground Base'!I$154&gt;ROUND(((1-GroundAKHIDiscount)*'Ground Base'!I40),2),ROUND(('Ground Base'!I$154+GroundResidentialFee)*(1+GroundFuelSurcharge),2),ROUND((((1-GroundAKHIDiscount)*'Ground Base'!I40)+GroundResidentialFee)*(1+GroundFuelSurcharge),2)))*(1+FedEx_Markup),2)</f>
        <v>190.59</v>
      </c>
      <c r="J45" s="275">
        <f>ROUND((IF('Ground Base'!J$154&gt;ROUND(((1-GroundAKHIDiscount)*'Ground Base'!J40),2),ROUND(('Ground Base'!J$154+GroundResidentialFee)*(1+GroundFuelSurcharge),2),ROUND((((1-GroundAKHIDiscount)*'Ground Base'!J40)+GroundResidentialFee)*(1+GroundFuelSurcharge),2)))*(1+FedEx_Markup),2)</f>
        <v>190.59</v>
      </c>
      <c r="K45" s="275">
        <f>ROUND((IF('Ground Base'!K$154&gt;ROUND(((1-GroundZone51Discount)*'Ground Base'!K40),2),ROUND(('Ground Base'!K$154+GroundResidentialFee)*(1+GroundFuelSurcharge),2),ROUND((((1-GroundZone51Discount)*'Ground Base'!K40)+GroundResidentialFee)*(1+GroundFuelSurcharge),2)))*(1+FedEx_Markup),2)</f>
        <v>61.84</v>
      </c>
      <c r="L45" s="275">
        <f>ROUND((IF('Ground Base'!L$154&gt;ROUND(((1-GroundZone54Discount)*'Ground Base'!L40),2),ROUND(('Ground Base'!L$154+GroundResidentialFee)*(1+GroundFuelSurcharge),2),ROUND((((1-GroundZone54Discount)*'Ground Base'!L40)+GroundResidentialFee)*(1+GroundFuelSurcharge),2)))*(1+FedEx_Markup),2)</f>
        <v>72.84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12.75" customHeight="1">
      <c r="A46" s="274">
        <v>39.0</v>
      </c>
      <c r="B46" s="275">
        <f>IFERROR(__xludf.DUMMYFUNCTION("ROUND((IF(SINGLE('Ground Base'!B$154)&gt;ROUND(((1-GroundResDiscount31Up-GroundResIncentive)*'Ground Base'!B41),2),ROUND((SINGLE('Ground Base'!B$154)+GroundResidentialFee)*(1+GroundFuelSurcharge),2),ROUND((((1-GroundResDiscount31Up-GroundResIncentive)*'Groun"&amp;"d Base'!B41)+GroundResidentialFee)*(1+GroundFuelSurcharge),2)))*(1+FedEx_Markup),2)"),17.34)</f>
        <v>17.34</v>
      </c>
      <c r="C46" s="275">
        <f>IFERROR(__xludf.DUMMYFUNCTION("ROUND((IF(SINGLE('Ground Base'!C$154)&gt;ROUND(((1-GroundResDiscount31Up-GroundResIncentive)*'Ground Base'!C41),2),ROUND((SINGLE('Ground Base'!C$154)+GroundResidentialFee)*(1+GroundFuelSurcharge),2),ROUND((((1-GroundResDiscount31Up-GroundResIncentive)*'Groun"&amp;"d Base'!C41)+GroundResidentialFee)*(1+GroundFuelSurcharge),2)))*(1+FedEx_Markup),2)"),20.49)</f>
        <v>20.49</v>
      </c>
      <c r="D46" s="275">
        <f>IFERROR(__xludf.DUMMYFUNCTION("ROUND((IF(SINGLE('Ground Base'!D$154)&gt;ROUND(((1-GroundResDiscount31Up-GroundResIncentive)*'Ground Base'!D41),2),ROUND((SINGLE('Ground Base'!D$154)+GroundResidentialFee)*(1+GroundFuelSurcharge),2),ROUND((((1-GroundResDiscount31Up-GroundResIncentive)*'Groun"&amp;"d Base'!D41)+GroundResidentialFee)*(1+GroundFuelSurcharge),2)))*(1+FedEx_Markup),2)"),23.12)</f>
        <v>23.12</v>
      </c>
      <c r="E46" s="275">
        <f>IFERROR(__xludf.DUMMYFUNCTION("ROUND((IF(SINGLE('Ground Base'!E$154)&gt;ROUND(((1-GroundResDiscount31Up-GroundResIncentive)*'Ground Base'!E41),2),ROUND((SINGLE('Ground Base'!E$154)+GroundResidentialFee)*(1+GroundFuelSurcharge),2),ROUND((((1-GroundResDiscount31Up-GroundResIncentive)*'Groun"&amp;"d Base'!E41)+GroundResidentialFee)*(1+GroundFuelSurcharge),2)))*(1+FedEx_Markup),2)"),27.07)</f>
        <v>27.07</v>
      </c>
      <c r="F46" s="275">
        <f>IFERROR(__xludf.DUMMYFUNCTION("ROUND((IF(SINGLE('Ground Base'!F$154)&gt;ROUND(((1-GroundResDiscount31Up-GroundResIncentive)*'Ground Base'!F41),2),ROUND((SINGLE('Ground Base'!F$154)+GroundResidentialFee)*(1+GroundFuelSurcharge),2),ROUND((((1-GroundResDiscount31Up-GroundResIncentive)*'Groun"&amp;"d Base'!F41)+GroundResidentialFee)*(1+GroundFuelSurcharge),2)))*(1+FedEx_Markup),2)"),33.15)</f>
        <v>33.15</v>
      </c>
      <c r="G46" s="275">
        <f>IFERROR(__xludf.DUMMYFUNCTION("ROUND((IF(SINGLE('Ground Base'!G$154)&gt;ROUND(((1-GroundResDiscount31Up-GroundResIncentive)*'Ground Base'!G41),2),ROUND((SINGLE('Ground Base'!G$154)+GroundResidentialFee)*(1+GroundFuelSurcharge),2),ROUND((((1-GroundResDiscount31Up-GroundResIncentive)*'Groun"&amp;"d Base'!G41)+GroundResidentialFee)*(1+GroundFuelSurcharge),2)))*(1+FedEx_Markup),2)"),38.56)</f>
        <v>38.56</v>
      </c>
      <c r="H46" s="275">
        <f>IFERROR(__xludf.DUMMYFUNCTION("ROUND((IF(SINGLE('Ground Base'!H$154)&gt;ROUND(((1-GroundResDiscount31Up-GroundResIncentive)*'Ground Base'!H41),2),ROUND((SINGLE('Ground Base'!H$154)+GroundResidentialFee)*(1+GroundFuelSurcharge),2),ROUND((((1-GroundResDiscount31Up-GroundResIncentive)*'Groun"&amp;"d Base'!H41)+GroundResidentialFee)*(1+GroundFuelSurcharge),2)))*(1+FedEx_Markup),2)"),44.01)</f>
        <v>44.01</v>
      </c>
      <c r="I46" s="275">
        <f>ROUND((IF('Ground Base'!I$154&gt;ROUND(((1-GroundAKHIDiscount)*'Ground Base'!I41),2),ROUND(('Ground Base'!I$154+GroundResidentialFee)*(1+GroundFuelSurcharge),2),ROUND((((1-GroundAKHIDiscount)*'Ground Base'!I41)+GroundResidentialFee)*(1+GroundFuelSurcharge),2)))*(1+FedEx_Markup),2)</f>
        <v>194.64</v>
      </c>
      <c r="J46" s="275">
        <f>ROUND((IF('Ground Base'!J$154&gt;ROUND(((1-GroundAKHIDiscount)*'Ground Base'!J41),2),ROUND(('Ground Base'!J$154+GroundResidentialFee)*(1+GroundFuelSurcharge),2),ROUND((((1-GroundAKHIDiscount)*'Ground Base'!J41)+GroundResidentialFee)*(1+GroundFuelSurcharge),2)))*(1+FedEx_Markup),2)</f>
        <v>194.64</v>
      </c>
      <c r="K46" s="275">
        <f>ROUND((IF('Ground Base'!K$154&gt;ROUND(((1-GroundZone51Discount)*'Ground Base'!K41),2),ROUND(('Ground Base'!K$154+GroundResidentialFee)*(1+GroundFuelSurcharge),2),ROUND((((1-GroundZone51Discount)*'Ground Base'!K41)+GroundResidentialFee)*(1+GroundFuelSurcharge),2)))*(1+FedEx_Markup),2)</f>
        <v>63.18</v>
      </c>
      <c r="L46" s="275">
        <f>ROUND((IF('Ground Base'!L$154&gt;ROUND(((1-GroundZone54Discount)*'Ground Base'!L41),2),ROUND(('Ground Base'!L$154+GroundResidentialFee)*(1+GroundFuelSurcharge),2),ROUND((((1-GroundZone54Discount)*'Ground Base'!L41)+GroundResidentialFee)*(1+GroundFuelSurcharge),2)))*(1+FedEx_Markup),2)</f>
        <v>73.97</v>
      </c>
    </row>
    <row r="47" ht="12.75" customHeight="1">
      <c r="A47" s="274">
        <v>40.0</v>
      </c>
      <c r="B47" s="275">
        <f>IFERROR(__xludf.DUMMYFUNCTION("ROUND((IF(SINGLE('Ground Base'!B$154)&gt;ROUND(((1-GroundResDiscount31Up-GroundResIncentive)*'Ground Base'!B42),2),ROUND((SINGLE('Ground Base'!B$154)+GroundResidentialFee)*(1+GroundFuelSurcharge),2),ROUND((((1-GroundResDiscount31Up-GroundResIncentive)*'Groun"&amp;"d Base'!B42)+GroundResidentialFee)*(1+GroundFuelSurcharge),2)))*(1+FedEx_Markup),2)"),17.35)</f>
        <v>17.35</v>
      </c>
      <c r="C47" s="275">
        <f>IFERROR(__xludf.DUMMYFUNCTION("ROUND((IF(SINGLE('Ground Base'!C$154)&gt;ROUND(((1-GroundResDiscount31Up-GroundResIncentive)*'Ground Base'!C42),2),ROUND((SINGLE('Ground Base'!C$154)+GroundResidentialFee)*(1+GroundFuelSurcharge),2),ROUND((((1-GroundResDiscount31Up-GroundResIncentive)*'Groun"&amp;"d Base'!C42)+GroundResidentialFee)*(1+GroundFuelSurcharge),2)))*(1+FedEx_Markup),2)"),20.56)</f>
        <v>20.56</v>
      </c>
      <c r="D47" s="275">
        <f>IFERROR(__xludf.DUMMYFUNCTION("ROUND((IF(SINGLE('Ground Base'!D$154)&gt;ROUND(((1-GroundResDiscount31Up-GroundResIncentive)*'Ground Base'!D42),2),ROUND((SINGLE('Ground Base'!D$154)+GroundResidentialFee)*(1+GroundFuelSurcharge),2),ROUND((((1-GroundResDiscount31Up-GroundResIncentive)*'Groun"&amp;"d Base'!D42)+GroundResidentialFee)*(1+GroundFuelSurcharge),2)))*(1+FedEx_Markup),2)"),23.13)</f>
        <v>23.13</v>
      </c>
      <c r="E47" s="275">
        <f>IFERROR(__xludf.DUMMYFUNCTION("ROUND((IF(SINGLE('Ground Base'!E$154)&gt;ROUND(((1-GroundResDiscount31Up-GroundResIncentive)*'Ground Base'!E42),2),ROUND((SINGLE('Ground Base'!E$154)+GroundResidentialFee)*(1+GroundFuelSurcharge),2),ROUND((((1-GroundResDiscount31Up-GroundResIncentive)*'Groun"&amp;"d Base'!E42)+GroundResidentialFee)*(1+GroundFuelSurcharge),2)))*(1+FedEx_Markup),2)"),27.08)</f>
        <v>27.08</v>
      </c>
      <c r="F47" s="275">
        <f>IFERROR(__xludf.DUMMYFUNCTION("ROUND((IF(SINGLE('Ground Base'!F$154)&gt;ROUND(((1-GroundResDiscount31Up-GroundResIncentive)*'Ground Base'!F42),2),ROUND((SINGLE('Ground Base'!F$154)+GroundResidentialFee)*(1+GroundFuelSurcharge),2),ROUND((((1-GroundResDiscount31Up-GroundResIncentive)*'Groun"&amp;"d Base'!F42)+GroundResidentialFee)*(1+GroundFuelSurcharge),2)))*(1+FedEx_Markup),2)"),33.19)</f>
        <v>33.19</v>
      </c>
      <c r="G47" s="275">
        <f>IFERROR(__xludf.DUMMYFUNCTION("ROUND((IF(SINGLE('Ground Base'!G$154)&gt;ROUND(((1-GroundResDiscount31Up-GroundResIncentive)*'Ground Base'!G42),2),ROUND((SINGLE('Ground Base'!G$154)+GroundResidentialFee)*(1+GroundFuelSurcharge),2),ROUND((((1-GroundResDiscount31Up-GroundResIncentive)*'Groun"&amp;"d Base'!G42)+GroundResidentialFee)*(1+GroundFuelSurcharge),2)))*(1+FedEx_Markup),2)"),38.57)</f>
        <v>38.57</v>
      </c>
      <c r="H47" s="275">
        <f>IFERROR(__xludf.DUMMYFUNCTION("ROUND((IF(SINGLE('Ground Base'!H$154)&gt;ROUND(((1-GroundResDiscount31Up-GroundResIncentive)*'Ground Base'!H42),2),ROUND((SINGLE('Ground Base'!H$154)+GroundResidentialFee)*(1+GroundFuelSurcharge),2),ROUND((((1-GroundResDiscount31Up-GroundResIncentive)*'Groun"&amp;"d Base'!H42)+GroundResidentialFee)*(1+GroundFuelSurcharge),2)))*(1+FedEx_Markup),2)"),44.02)</f>
        <v>44.02</v>
      </c>
      <c r="I47" s="275">
        <f>ROUND((IF('Ground Base'!I$154&gt;ROUND(((1-GroundAKHIDiscount)*'Ground Base'!I42),2),ROUND(('Ground Base'!I$154+GroundResidentialFee)*(1+GroundFuelSurcharge),2),ROUND((((1-GroundAKHIDiscount)*'Ground Base'!I42)+GroundResidentialFee)*(1+GroundFuelSurcharge),2)))*(1+FedEx_Markup),2)</f>
        <v>198.74</v>
      </c>
      <c r="J47" s="275">
        <f>ROUND((IF('Ground Base'!J$154&gt;ROUND(((1-GroundAKHIDiscount)*'Ground Base'!J42),2),ROUND(('Ground Base'!J$154+GroundResidentialFee)*(1+GroundFuelSurcharge),2),ROUND((((1-GroundAKHIDiscount)*'Ground Base'!J42)+GroundResidentialFee)*(1+GroundFuelSurcharge),2)))*(1+FedEx_Markup),2)</f>
        <v>198.74</v>
      </c>
      <c r="K47" s="275">
        <f>ROUND((IF('Ground Base'!K$154&gt;ROUND(((1-GroundZone51Discount)*'Ground Base'!K42),2),ROUND(('Ground Base'!K$154+GroundResidentialFee)*(1+GroundFuelSurcharge),2),ROUND((((1-GroundZone51Discount)*'Ground Base'!K42)+GroundResidentialFee)*(1+GroundFuelSurcharge),2)))*(1+FedEx_Markup),2)</f>
        <v>64.2</v>
      </c>
      <c r="L47" s="275">
        <f>ROUND((IF('Ground Base'!L$154&gt;ROUND(((1-GroundZone54Discount)*'Ground Base'!L42),2),ROUND(('Ground Base'!L$154+GroundResidentialFee)*(1+GroundFuelSurcharge),2),ROUND((((1-GroundZone54Discount)*'Ground Base'!L42)+GroundResidentialFee)*(1+GroundFuelSurcharge),2)))*(1+FedEx_Markup),2)</f>
        <v>75.34</v>
      </c>
    </row>
    <row r="48" ht="12.75" customHeight="1">
      <c r="A48" s="274">
        <v>41.0</v>
      </c>
      <c r="B48" s="275">
        <f>IFERROR(__xludf.DUMMYFUNCTION("ROUND((IF(SINGLE('Ground Base'!B$154)&gt;ROUND(((1-GroundResDiscount31Up-GroundResIncentive)*'Ground Base'!B43),2),ROUND((SINGLE('Ground Base'!B$154)+GroundResidentialFee)*(1+GroundFuelSurcharge),2),ROUND((((1-GroundResDiscount31Up-GroundResIncentive)*'Groun"&amp;"d Base'!B43)+GroundResidentialFee)*(1+GroundFuelSurcharge),2)))*(1+FedEx_Markup),2)"),17.69)</f>
        <v>17.69</v>
      </c>
      <c r="C48" s="275">
        <f>IFERROR(__xludf.DUMMYFUNCTION("ROUND((IF(SINGLE('Ground Base'!C$154)&gt;ROUND(((1-GroundResDiscount31Up-GroundResIncentive)*'Ground Base'!C43),2),ROUND((SINGLE('Ground Base'!C$154)+GroundResidentialFee)*(1+GroundFuelSurcharge),2),ROUND((((1-GroundResDiscount31Up-GroundResIncentive)*'Groun"&amp;"d Base'!C43)+GroundResidentialFee)*(1+GroundFuelSurcharge),2)))*(1+FedEx_Markup),2)"),21.32)</f>
        <v>21.32</v>
      </c>
      <c r="D48" s="275">
        <f>IFERROR(__xludf.DUMMYFUNCTION("ROUND((IF(SINGLE('Ground Base'!D$154)&gt;ROUND(((1-GroundResDiscount31Up-GroundResIncentive)*'Ground Base'!D43),2),ROUND((SINGLE('Ground Base'!D$154)+GroundResidentialFee)*(1+GroundFuelSurcharge),2),ROUND((((1-GroundResDiscount31Up-GroundResIncentive)*'Groun"&amp;"d Base'!D43)+GroundResidentialFee)*(1+GroundFuelSurcharge),2)))*(1+FedEx_Markup),2)"),23.71)</f>
        <v>23.71</v>
      </c>
      <c r="E48" s="275">
        <f>IFERROR(__xludf.DUMMYFUNCTION("ROUND((IF(SINGLE('Ground Base'!E$154)&gt;ROUND(((1-GroundResDiscount31Up-GroundResIncentive)*'Ground Base'!E43),2),ROUND((SINGLE('Ground Base'!E$154)+GroundResidentialFee)*(1+GroundFuelSurcharge),2),ROUND((((1-GroundResDiscount31Up-GroundResIncentive)*'Groun"&amp;"d Base'!E43)+GroundResidentialFee)*(1+GroundFuelSurcharge),2)))*(1+FedEx_Markup),2)"),27.95)</f>
        <v>27.95</v>
      </c>
      <c r="F48" s="275">
        <f>IFERROR(__xludf.DUMMYFUNCTION("ROUND((IF(SINGLE('Ground Base'!F$154)&gt;ROUND(((1-GroundResDiscount31Up-GroundResIncentive)*'Ground Base'!F43),2),ROUND((SINGLE('Ground Base'!F$154)+GroundResidentialFee)*(1+GroundFuelSurcharge),2),ROUND((((1-GroundResDiscount31Up-GroundResIncentive)*'Groun"&amp;"d Base'!F43)+GroundResidentialFee)*(1+GroundFuelSurcharge),2)))*(1+FedEx_Markup),2)"),34.45)</f>
        <v>34.45</v>
      </c>
      <c r="G48" s="275">
        <f>IFERROR(__xludf.DUMMYFUNCTION("ROUND((IF(SINGLE('Ground Base'!G$154)&gt;ROUND(((1-GroundResDiscount31Up-GroundResIncentive)*'Ground Base'!G43),2),ROUND((SINGLE('Ground Base'!G$154)+GroundResidentialFee)*(1+GroundFuelSurcharge),2),ROUND((((1-GroundResDiscount31Up-GroundResIncentive)*'Groun"&amp;"d Base'!G43)+GroundResidentialFee)*(1+GroundFuelSurcharge),2)))*(1+FedEx_Markup),2)"),39.68)</f>
        <v>39.68</v>
      </c>
      <c r="H48" s="275">
        <f>IFERROR(__xludf.DUMMYFUNCTION("ROUND((IF(SINGLE('Ground Base'!H$154)&gt;ROUND(((1-GroundResDiscount31Up-GroundResIncentive)*'Ground Base'!H43),2),ROUND((SINGLE('Ground Base'!H$154)+GroundResidentialFee)*(1+GroundFuelSurcharge),2),ROUND((((1-GroundResDiscount31Up-GroundResIncentive)*'Groun"&amp;"d Base'!H43)+GroundResidentialFee)*(1+GroundFuelSurcharge),2)))*(1+FedEx_Markup),2)"),45.57)</f>
        <v>45.57</v>
      </c>
      <c r="I48" s="275">
        <f>ROUND((IF('Ground Base'!I$154&gt;ROUND(((1-GroundAKHIDiscount)*'Ground Base'!I43),2),ROUND(('Ground Base'!I$154+GroundResidentialFee)*(1+GroundFuelSurcharge),2),ROUND((((1-GroundAKHIDiscount)*'Ground Base'!I43)+GroundResidentialFee)*(1+GroundFuelSurcharge),2)))*(1+FedEx_Markup),2)</f>
        <v>202.12</v>
      </c>
      <c r="J48" s="275">
        <f>ROUND((IF('Ground Base'!J$154&gt;ROUND(((1-GroundAKHIDiscount)*'Ground Base'!J43),2),ROUND(('Ground Base'!J$154+GroundResidentialFee)*(1+GroundFuelSurcharge),2),ROUND((((1-GroundAKHIDiscount)*'Ground Base'!J43)+GroundResidentialFee)*(1+GroundFuelSurcharge),2)))*(1+FedEx_Markup),2)</f>
        <v>202.12</v>
      </c>
      <c r="K48" s="275">
        <f>ROUND((IF('Ground Base'!K$154&gt;ROUND(((1-GroundZone51Discount)*'Ground Base'!K43),2),ROUND(('Ground Base'!K$154+GroundResidentialFee)*(1+GroundFuelSurcharge),2),ROUND((((1-GroundZone51Discount)*'Ground Base'!K43)+GroundResidentialFee)*(1+GroundFuelSurcharge),2)))*(1+FedEx_Markup),2)</f>
        <v>65.26</v>
      </c>
      <c r="L48" s="275">
        <f>ROUND((IF('Ground Base'!L$154&gt;ROUND(((1-GroundZone54Discount)*'Ground Base'!L43),2),ROUND(('Ground Base'!L$154+GroundResidentialFee)*(1+GroundFuelSurcharge),2),ROUND((((1-GroundZone54Discount)*'Ground Base'!L43)+GroundResidentialFee)*(1+GroundFuelSurcharge),2)))*(1+FedEx_Markup),2)</f>
        <v>76.57</v>
      </c>
    </row>
    <row r="49" ht="12.75" customHeight="1">
      <c r="A49" s="274">
        <v>42.0</v>
      </c>
      <c r="B49" s="275">
        <f>IFERROR(__xludf.DUMMYFUNCTION("ROUND((IF(SINGLE('Ground Base'!B$154)&gt;ROUND(((1-GroundResDiscount31Up-GroundResIncentive)*'Ground Base'!B44),2),ROUND((SINGLE('Ground Base'!B$154)+GroundResidentialFee)*(1+GroundFuelSurcharge),2),ROUND((((1-GroundResDiscount31Up-GroundResIncentive)*'Groun"&amp;"d Base'!B44)+GroundResidentialFee)*(1+GroundFuelSurcharge),2)))*(1+FedEx_Markup),2)"),17.69)</f>
        <v>17.69</v>
      </c>
      <c r="C49" s="275">
        <f>IFERROR(__xludf.DUMMYFUNCTION("ROUND((IF(SINGLE('Ground Base'!C$154)&gt;ROUND(((1-GroundResDiscount31Up-GroundResIncentive)*'Ground Base'!C44),2),ROUND((SINGLE('Ground Base'!C$154)+GroundResidentialFee)*(1+GroundFuelSurcharge),2),ROUND((((1-GroundResDiscount31Up-GroundResIncentive)*'Groun"&amp;"d Base'!C44)+GroundResidentialFee)*(1+GroundFuelSurcharge),2)))*(1+FedEx_Markup),2)"),21.39)</f>
        <v>21.39</v>
      </c>
      <c r="D49" s="275">
        <f>IFERROR(__xludf.DUMMYFUNCTION("ROUND((IF(SINGLE('Ground Base'!D$154)&gt;ROUND(((1-GroundResDiscount31Up-GroundResIncentive)*'Ground Base'!D44),2),ROUND((SINGLE('Ground Base'!D$154)+GroundResidentialFee)*(1+GroundFuelSurcharge),2),ROUND((((1-GroundResDiscount31Up-GroundResIncentive)*'Groun"&amp;"d Base'!D44)+GroundResidentialFee)*(1+GroundFuelSurcharge),2)))*(1+FedEx_Markup),2)"),24.52)</f>
        <v>24.52</v>
      </c>
      <c r="E49" s="275">
        <f>IFERROR(__xludf.DUMMYFUNCTION("ROUND((IF(SINGLE('Ground Base'!E$154)&gt;ROUND(((1-GroundResDiscount31Up-GroundResIncentive)*'Ground Base'!E44),2),ROUND((SINGLE('Ground Base'!E$154)+GroundResidentialFee)*(1+GroundFuelSurcharge),2),ROUND((((1-GroundResDiscount31Up-GroundResIncentive)*'Groun"&amp;"d Base'!E44)+GroundResidentialFee)*(1+GroundFuelSurcharge),2)))*(1+FedEx_Markup),2)"),28.03)</f>
        <v>28.03</v>
      </c>
      <c r="F49" s="275">
        <f>IFERROR(__xludf.DUMMYFUNCTION("ROUND((IF(SINGLE('Ground Base'!F$154)&gt;ROUND(((1-GroundResDiscount31Up-GroundResIncentive)*'Ground Base'!F44),2),ROUND((SINGLE('Ground Base'!F$154)+GroundResidentialFee)*(1+GroundFuelSurcharge),2),ROUND((((1-GroundResDiscount31Up-GroundResIncentive)*'Groun"&amp;"d Base'!F44)+GroundResidentialFee)*(1+GroundFuelSurcharge),2)))*(1+FedEx_Markup),2)"),34.59)</f>
        <v>34.59</v>
      </c>
      <c r="G49" s="275">
        <f>IFERROR(__xludf.DUMMYFUNCTION("ROUND((IF(SINGLE('Ground Base'!G$154)&gt;ROUND(((1-GroundResDiscount31Up-GroundResIncentive)*'Ground Base'!G44),2),ROUND((SINGLE('Ground Base'!G$154)+GroundResidentialFee)*(1+GroundFuelSurcharge),2),ROUND((((1-GroundResDiscount31Up-GroundResIncentive)*'Groun"&amp;"d Base'!G44)+GroundResidentialFee)*(1+GroundFuelSurcharge),2)))*(1+FedEx_Markup),2)"),40.3)</f>
        <v>40.3</v>
      </c>
      <c r="H49" s="275">
        <f>IFERROR(__xludf.DUMMYFUNCTION("ROUND((IF(SINGLE('Ground Base'!H$154)&gt;ROUND(((1-GroundResDiscount31Up-GroundResIncentive)*'Ground Base'!H44),2),ROUND((SINGLE('Ground Base'!H$154)+GroundResidentialFee)*(1+GroundFuelSurcharge),2),ROUND((((1-GroundResDiscount31Up-GroundResIncentive)*'Groun"&amp;"d Base'!H44)+GroundResidentialFee)*(1+GroundFuelSurcharge),2)))*(1+FedEx_Markup),2)"),45.79)</f>
        <v>45.79</v>
      </c>
      <c r="I49" s="275">
        <f>ROUND((IF('Ground Base'!I$154&gt;ROUND(((1-GroundAKHIDiscount)*'Ground Base'!I44),2),ROUND(('Ground Base'!I$154+GroundResidentialFee)*(1+GroundFuelSurcharge),2),ROUND((((1-GroundAKHIDiscount)*'Ground Base'!I44)+GroundResidentialFee)*(1+GroundFuelSurcharge),2)))*(1+FedEx_Markup),2)</f>
        <v>205.9</v>
      </c>
      <c r="J49" s="275">
        <f>ROUND((IF('Ground Base'!J$154&gt;ROUND(((1-GroundAKHIDiscount)*'Ground Base'!J44),2),ROUND(('Ground Base'!J$154+GroundResidentialFee)*(1+GroundFuelSurcharge),2),ROUND((((1-GroundAKHIDiscount)*'Ground Base'!J44)+GroundResidentialFee)*(1+GroundFuelSurcharge),2)))*(1+FedEx_Markup),2)</f>
        <v>205.9</v>
      </c>
      <c r="K49" s="275">
        <f>ROUND((IF('Ground Base'!K$154&gt;ROUND(((1-GroundZone51Discount)*'Ground Base'!K44),2),ROUND(('Ground Base'!K$154+GroundResidentialFee)*(1+GroundFuelSurcharge),2),ROUND((((1-GroundZone51Discount)*'Ground Base'!K44)+GroundResidentialFee)*(1+GroundFuelSurcharge),2)))*(1+FedEx_Markup),2)</f>
        <v>66.25</v>
      </c>
      <c r="L49" s="275">
        <f>ROUND((IF('Ground Base'!L$154&gt;ROUND(((1-GroundZone54Discount)*'Ground Base'!L44),2),ROUND(('Ground Base'!L$154+GroundResidentialFee)*(1+GroundFuelSurcharge),2),ROUND((((1-GroundZone54Discount)*'Ground Base'!L44)+GroundResidentialFee)*(1+GroundFuelSurcharge),2)))*(1+FedEx_Markup),2)</f>
        <v>77.66</v>
      </c>
    </row>
    <row r="50" ht="12.75" customHeight="1">
      <c r="A50" s="274">
        <v>43.0</v>
      </c>
      <c r="B50" s="275">
        <f>IFERROR(__xludf.DUMMYFUNCTION("ROUND((IF(SINGLE('Ground Base'!B$154)&gt;ROUND(((1-GroundResDiscount31Up-GroundResIncentive)*'Ground Base'!B45),2),ROUND((SINGLE('Ground Base'!B$154)+GroundResidentialFee)*(1+GroundFuelSurcharge),2),ROUND((((1-GroundResDiscount31Up-GroundResIncentive)*'Groun"&amp;"d Base'!B45)+GroundResidentialFee)*(1+GroundFuelSurcharge),2)))*(1+FedEx_Markup),2)"),17.97)</f>
        <v>17.97</v>
      </c>
      <c r="C50" s="275">
        <f>IFERROR(__xludf.DUMMYFUNCTION("ROUND((IF(SINGLE('Ground Base'!C$154)&gt;ROUND(((1-GroundResDiscount31Up-GroundResIncentive)*'Ground Base'!C45),2),ROUND((SINGLE('Ground Base'!C$154)+GroundResidentialFee)*(1+GroundFuelSurcharge),2),ROUND((((1-GroundResDiscount31Up-GroundResIncentive)*'Groun"&amp;"d Base'!C45)+GroundResidentialFee)*(1+GroundFuelSurcharge),2)))*(1+FedEx_Markup),2)"),21.65)</f>
        <v>21.65</v>
      </c>
      <c r="D50" s="275">
        <f>IFERROR(__xludf.DUMMYFUNCTION("ROUND((IF(SINGLE('Ground Base'!D$154)&gt;ROUND(((1-GroundResDiscount31Up-GroundResIncentive)*'Ground Base'!D45),2),ROUND((SINGLE('Ground Base'!D$154)+GroundResidentialFee)*(1+GroundFuelSurcharge),2),ROUND((((1-GroundResDiscount31Up-GroundResIncentive)*'Groun"&amp;"d Base'!D45)+GroundResidentialFee)*(1+GroundFuelSurcharge),2)))*(1+FedEx_Markup),2)"),24.55)</f>
        <v>24.55</v>
      </c>
      <c r="E50" s="275">
        <f>IFERROR(__xludf.DUMMYFUNCTION("ROUND((IF(SINGLE('Ground Base'!E$154)&gt;ROUND(((1-GroundResDiscount31Up-GroundResIncentive)*'Ground Base'!E45),2),ROUND((SINGLE('Ground Base'!E$154)+GroundResidentialFee)*(1+GroundFuelSurcharge),2),ROUND((((1-GroundResDiscount31Up-GroundResIncentive)*'Groun"&amp;"d Base'!E45)+GroundResidentialFee)*(1+GroundFuelSurcharge),2)))*(1+FedEx_Markup),2)"),29.3)</f>
        <v>29.3</v>
      </c>
      <c r="F50" s="275">
        <f>IFERROR(__xludf.DUMMYFUNCTION("ROUND((IF(SINGLE('Ground Base'!F$154)&gt;ROUND(((1-GroundResDiscount31Up-GroundResIncentive)*'Ground Base'!F45),2),ROUND((SINGLE('Ground Base'!F$154)+GroundResidentialFee)*(1+GroundFuelSurcharge),2),ROUND((((1-GroundResDiscount31Up-GroundResIncentive)*'Groun"&amp;"d Base'!F45)+GroundResidentialFee)*(1+GroundFuelSurcharge),2)))*(1+FedEx_Markup),2)"),36.32)</f>
        <v>36.32</v>
      </c>
      <c r="G50" s="275">
        <f>IFERROR(__xludf.DUMMYFUNCTION("ROUND((IF(SINGLE('Ground Base'!G$154)&gt;ROUND(((1-GroundResDiscount31Up-GroundResIncentive)*'Ground Base'!G45),2),ROUND((SINGLE('Ground Base'!G$154)+GroundResidentialFee)*(1+GroundFuelSurcharge),2),ROUND((((1-GroundResDiscount31Up-GroundResIncentive)*'Groun"&amp;"d Base'!G45)+GroundResidentialFee)*(1+GroundFuelSurcharge),2)))*(1+FedEx_Markup),2)"),41.66)</f>
        <v>41.66</v>
      </c>
      <c r="H50" s="275">
        <f>IFERROR(__xludf.DUMMYFUNCTION("ROUND((IF(SINGLE('Ground Base'!H$154)&gt;ROUND(((1-GroundResDiscount31Up-GroundResIncentive)*'Ground Base'!H45),2),ROUND((SINGLE('Ground Base'!H$154)+GroundResidentialFee)*(1+GroundFuelSurcharge),2),ROUND((((1-GroundResDiscount31Up-GroundResIncentive)*'Groun"&amp;"d Base'!H45)+GroundResidentialFee)*(1+GroundFuelSurcharge),2)))*(1+FedEx_Markup),2)"),46.97)</f>
        <v>46.97</v>
      </c>
      <c r="I50" s="275">
        <f>ROUND((IF('Ground Base'!I$154&gt;ROUND(((1-GroundAKHIDiscount)*'Ground Base'!I45),2),ROUND(('Ground Base'!I$154+GroundResidentialFee)*(1+GroundFuelSurcharge),2),ROUND((((1-GroundAKHIDiscount)*'Ground Base'!I45)+GroundResidentialFee)*(1+GroundFuelSurcharge),2)))*(1+FedEx_Markup),2)</f>
        <v>210.04</v>
      </c>
      <c r="J50" s="275">
        <f>ROUND((IF('Ground Base'!J$154&gt;ROUND(((1-GroundAKHIDiscount)*'Ground Base'!J45),2),ROUND(('Ground Base'!J$154+GroundResidentialFee)*(1+GroundFuelSurcharge),2),ROUND((((1-GroundAKHIDiscount)*'Ground Base'!J45)+GroundResidentialFee)*(1+GroundFuelSurcharge),2)))*(1+FedEx_Markup),2)</f>
        <v>210.04</v>
      </c>
      <c r="K50" s="275">
        <f>ROUND((IF('Ground Base'!K$154&gt;ROUND(((1-GroundZone51Discount)*'Ground Base'!K45),2),ROUND(('Ground Base'!K$154+GroundResidentialFee)*(1+GroundFuelSurcharge),2),ROUND((((1-GroundZone51Discount)*'Ground Base'!K45)+GroundResidentialFee)*(1+GroundFuelSurcharge),2)))*(1+FedEx_Markup),2)</f>
        <v>67.42</v>
      </c>
      <c r="L50" s="275">
        <f>ROUND((IF('Ground Base'!L$154&gt;ROUND(((1-GroundZone54Discount)*'Ground Base'!L45),2),ROUND(('Ground Base'!L$154+GroundResidentialFee)*(1+GroundFuelSurcharge),2),ROUND((((1-GroundZone54Discount)*'Ground Base'!L45)+GroundResidentialFee)*(1+GroundFuelSurcharge),2)))*(1+FedEx_Markup),2)</f>
        <v>78.94</v>
      </c>
    </row>
    <row r="51" ht="12.75" customHeight="1">
      <c r="A51" s="274">
        <v>44.0</v>
      </c>
      <c r="B51" s="275">
        <f>IFERROR(__xludf.DUMMYFUNCTION("ROUND((IF(SINGLE('Ground Base'!B$154)&gt;ROUND(((1-GroundResDiscount31Up-GroundResIncentive)*'Ground Base'!B46),2),ROUND((SINGLE('Ground Base'!B$154)+GroundResidentialFee)*(1+GroundFuelSurcharge),2),ROUND((((1-GroundResDiscount31Up-GroundResIncentive)*'Groun"&amp;"d Base'!B46)+GroundResidentialFee)*(1+GroundFuelSurcharge),2)))*(1+FedEx_Markup),2)"),18.18)</f>
        <v>18.18</v>
      </c>
      <c r="C51" s="275">
        <f>IFERROR(__xludf.DUMMYFUNCTION("ROUND((IF(SINGLE('Ground Base'!C$154)&gt;ROUND(((1-GroundResDiscount31Up-GroundResIncentive)*'Ground Base'!C46),2),ROUND((SINGLE('Ground Base'!C$154)+GroundResidentialFee)*(1+GroundFuelSurcharge),2),ROUND((((1-GroundResDiscount31Up-GroundResIncentive)*'Groun"&amp;"d Base'!C46)+GroundResidentialFee)*(1+GroundFuelSurcharge),2)))*(1+FedEx_Markup),2)"),21.94)</f>
        <v>21.94</v>
      </c>
      <c r="D51" s="275">
        <f>IFERROR(__xludf.DUMMYFUNCTION("ROUND((IF(SINGLE('Ground Base'!D$154)&gt;ROUND(((1-GroundResDiscount31Up-GroundResIncentive)*'Ground Base'!D46),2),ROUND((SINGLE('Ground Base'!D$154)+GroundResidentialFee)*(1+GroundFuelSurcharge),2),ROUND((((1-GroundResDiscount31Up-GroundResIncentive)*'Groun"&amp;"d Base'!D46)+GroundResidentialFee)*(1+GroundFuelSurcharge),2)))*(1+FedEx_Markup),2)"),25.12)</f>
        <v>25.12</v>
      </c>
      <c r="E51" s="275">
        <f>IFERROR(__xludf.DUMMYFUNCTION("ROUND((IF(SINGLE('Ground Base'!E$154)&gt;ROUND(((1-GroundResDiscount31Up-GroundResIncentive)*'Ground Base'!E46),2),ROUND((SINGLE('Ground Base'!E$154)+GroundResidentialFee)*(1+GroundFuelSurcharge),2),ROUND((((1-GroundResDiscount31Up-GroundResIncentive)*'Groun"&amp;"d Base'!E46)+GroundResidentialFee)*(1+GroundFuelSurcharge),2)))*(1+FedEx_Markup),2)"),29.79)</f>
        <v>29.79</v>
      </c>
      <c r="F51" s="275">
        <f>IFERROR(__xludf.DUMMYFUNCTION("ROUND((IF(SINGLE('Ground Base'!F$154)&gt;ROUND(((1-GroundResDiscount31Up-GroundResIncentive)*'Ground Base'!F46),2),ROUND((SINGLE('Ground Base'!F$154)+GroundResidentialFee)*(1+GroundFuelSurcharge),2),ROUND((((1-GroundResDiscount31Up-GroundResIncentive)*'Groun"&amp;"d Base'!F46)+GroundResidentialFee)*(1+GroundFuelSurcharge),2)))*(1+FedEx_Markup),2)"),36.51)</f>
        <v>36.51</v>
      </c>
      <c r="G51" s="275">
        <f>IFERROR(__xludf.DUMMYFUNCTION("ROUND((IF(SINGLE('Ground Base'!G$154)&gt;ROUND(((1-GroundResDiscount31Up-GroundResIncentive)*'Ground Base'!G46),2),ROUND((SINGLE('Ground Base'!G$154)+GroundResidentialFee)*(1+GroundFuelSurcharge),2),ROUND((((1-GroundResDiscount31Up-GroundResIncentive)*'Groun"&amp;"d Base'!G46)+GroundResidentialFee)*(1+GroundFuelSurcharge),2)))*(1+FedEx_Markup),2)"),42.86)</f>
        <v>42.86</v>
      </c>
      <c r="H51" s="275">
        <f>IFERROR(__xludf.DUMMYFUNCTION("ROUND((IF(SINGLE('Ground Base'!H$154)&gt;ROUND(((1-GroundResDiscount31Up-GroundResIncentive)*'Ground Base'!H46),2),ROUND((SINGLE('Ground Base'!H$154)+GroundResidentialFee)*(1+GroundFuelSurcharge),2),ROUND((((1-GroundResDiscount31Up-GroundResIncentive)*'Groun"&amp;"d Base'!H46)+GroundResidentialFee)*(1+GroundFuelSurcharge),2)))*(1+FedEx_Markup),2)"),47.43)</f>
        <v>47.43</v>
      </c>
      <c r="I51" s="275">
        <f>ROUND((IF('Ground Base'!I$154&gt;ROUND(((1-GroundAKHIDiscount)*'Ground Base'!I46),2),ROUND(('Ground Base'!I$154+GroundResidentialFee)*(1+GroundFuelSurcharge),2),ROUND((((1-GroundAKHIDiscount)*'Ground Base'!I46)+GroundResidentialFee)*(1+GroundFuelSurcharge),2)))*(1+FedEx_Markup),2)</f>
        <v>213</v>
      </c>
      <c r="J51" s="275">
        <f>ROUND((IF('Ground Base'!J$154&gt;ROUND(((1-GroundAKHIDiscount)*'Ground Base'!J46),2),ROUND(('Ground Base'!J$154+GroundResidentialFee)*(1+GroundFuelSurcharge),2),ROUND((((1-GroundAKHIDiscount)*'Ground Base'!J46)+GroundResidentialFee)*(1+GroundFuelSurcharge),2)))*(1+FedEx_Markup),2)</f>
        <v>213</v>
      </c>
      <c r="K51" s="275">
        <f>ROUND((IF('Ground Base'!K$154&gt;ROUND(((1-GroundZone51Discount)*'Ground Base'!K46),2),ROUND(('Ground Base'!K$154+GroundResidentialFee)*(1+GroundFuelSurcharge),2),ROUND((((1-GroundZone51Discount)*'Ground Base'!K46)+GroundResidentialFee)*(1+GroundFuelSurcharge),2)))*(1+FedEx_Markup),2)</f>
        <v>68.26</v>
      </c>
      <c r="L51" s="275">
        <f>ROUND((IF('Ground Base'!L$154&gt;ROUND(((1-GroundZone54Discount)*'Ground Base'!L46),2),ROUND(('Ground Base'!L$154+GroundResidentialFee)*(1+GroundFuelSurcharge),2),ROUND((((1-GroundZone54Discount)*'Ground Base'!L46)+GroundResidentialFee)*(1+GroundFuelSurcharge),2)))*(1+FedEx_Markup),2)</f>
        <v>79.9</v>
      </c>
    </row>
    <row r="52" ht="12.75" customHeight="1">
      <c r="A52" s="274">
        <v>45.0</v>
      </c>
      <c r="B52" s="275">
        <f>IFERROR(__xludf.DUMMYFUNCTION("ROUND((IF(SINGLE('Ground Base'!B$154)&gt;ROUND(((1-GroundResDiscount31Up-GroundResIncentive)*'Ground Base'!B47),2),ROUND((SINGLE('Ground Base'!B$154)+GroundResidentialFee)*(1+GroundFuelSurcharge),2),ROUND((((1-GroundResDiscount31Up-GroundResIncentive)*'Groun"&amp;"d Base'!B47)+GroundResidentialFee)*(1+GroundFuelSurcharge),2)))*(1+FedEx_Markup),2)"),18.2)</f>
        <v>18.2</v>
      </c>
      <c r="C52" s="275">
        <f>IFERROR(__xludf.DUMMYFUNCTION("ROUND((IF(SINGLE('Ground Base'!C$154)&gt;ROUND(((1-GroundResDiscount31Up-GroundResIncentive)*'Ground Base'!C47),2),ROUND((SINGLE('Ground Base'!C$154)+GroundResidentialFee)*(1+GroundFuelSurcharge),2),ROUND((((1-GroundResDiscount31Up-GroundResIncentive)*'Groun"&amp;"d Base'!C47)+GroundResidentialFee)*(1+GroundFuelSurcharge),2)))*(1+FedEx_Markup),2)"),21.94)</f>
        <v>21.94</v>
      </c>
      <c r="D52" s="275">
        <f>IFERROR(__xludf.DUMMYFUNCTION("ROUND((IF(SINGLE('Ground Base'!D$154)&gt;ROUND(((1-GroundResDiscount31Up-GroundResIncentive)*'Ground Base'!D47),2),ROUND((SINGLE('Ground Base'!D$154)+GroundResidentialFee)*(1+GroundFuelSurcharge),2),ROUND((((1-GroundResDiscount31Up-GroundResIncentive)*'Groun"&amp;"d Base'!D47)+GroundResidentialFee)*(1+GroundFuelSurcharge),2)))*(1+FedEx_Markup),2)"),25.12)</f>
        <v>25.12</v>
      </c>
      <c r="E52" s="275">
        <f>IFERROR(__xludf.DUMMYFUNCTION("ROUND((IF(SINGLE('Ground Base'!E$154)&gt;ROUND(((1-GroundResDiscount31Up-GroundResIncentive)*'Ground Base'!E47),2),ROUND((SINGLE('Ground Base'!E$154)+GroundResidentialFee)*(1+GroundFuelSurcharge),2),ROUND((((1-GroundResDiscount31Up-GroundResIncentive)*'Groun"&amp;"d Base'!E47)+GroundResidentialFee)*(1+GroundFuelSurcharge),2)))*(1+FedEx_Markup),2)"),29.79)</f>
        <v>29.79</v>
      </c>
      <c r="F52" s="275">
        <f>IFERROR(__xludf.DUMMYFUNCTION("ROUND((IF(SINGLE('Ground Base'!F$154)&gt;ROUND(((1-GroundResDiscount31Up-GroundResIncentive)*'Ground Base'!F47),2),ROUND((SINGLE('Ground Base'!F$154)+GroundResidentialFee)*(1+GroundFuelSurcharge),2),ROUND((((1-GroundResDiscount31Up-GroundResIncentive)*'Groun"&amp;"d Base'!F47)+GroundResidentialFee)*(1+GroundFuelSurcharge),2)))*(1+FedEx_Markup),2)"),36.52)</f>
        <v>36.52</v>
      </c>
      <c r="G52" s="275">
        <f>IFERROR(__xludf.DUMMYFUNCTION("ROUND((IF(SINGLE('Ground Base'!G$154)&gt;ROUND(((1-GroundResDiscount31Up-GroundResIncentive)*'Ground Base'!G47),2),ROUND((SINGLE('Ground Base'!G$154)+GroundResidentialFee)*(1+GroundFuelSurcharge),2),ROUND((((1-GroundResDiscount31Up-GroundResIncentive)*'Groun"&amp;"d Base'!G47)+GroundResidentialFee)*(1+GroundFuelSurcharge),2)))*(1+FedEx_Markup),2)"),43.65)</f>
        <v>43.65</v>
      </c>
      <c r="H52" s="275">
        <f>IFERROR(__xludf.DUMMYFUNCTION("ROUND((IF(SINGLE('Ground Base'!H$154)&gt;ROUND(((1-GroundResDiscount31Up-GroundResIncentive)*'Ground Base'!H47),2),ROUND((SINGLE('Ground Base'!H$154)+GroundResidentialFee)*(1+GroundFuelSurcharge),2),ROUND((((1-GroundResDiscount31Up-GroundResIncentive)*'Groun"&amp;"d Base'!H47)+GroundResidentialFee)*(1+GroundFuelSurcharge),2)))*(1+FedEx_Markup),2)"),47.74)</f>
        <v>47.74</v>
      </c>
      <c r="I52" s="275">
        <f>ROUND((IF('Ground Base'!I$154&gt;ROUND(((1-GroundAKHIDiscount)*'Ground Base'!I47),2),ROUND(('Ground Base'!I$154+GroundResidentialFee)*(1+GroundFuelSurcharge),2),ROUND((((1-GroundAKHIDiscount)*'Ground Base'!I47)+GroundResidentialFee)*(1+GroundFuelSurcharge),2)))*(1+FedEx_Markup),2)</f>
        <v>217.05</v>
      </c>
      <c r="J52" s="275">
        <f>ROUND((IF('Ground Base'!J$154&gt;ROUND(((1-GroundAKHIDiscount)*'Ground Base'!J47),2),ROUND(('Ground Base'!J$154+GroundResidentialFee)*(1+GroundFuelSurcharge),2),ROUND((((1-GroundAKHIDiscount)*'Ground Base'!J47)+GroundResidentialFee)*(1+GroundFuelSurcharge),2)))*(1+FedEx_Markup),2)</f>
        <v>217.05</v>
      </c>
      <c r="K52" s="275">
        <f>ROUND((IF('Ground Base'!K$154&gt;ROUND(((1-GroundZone51Discount)*'Ground Base'!K47),2),ROUND(('Ground Base'!K$154+GroundResidentialFee)*(1+GroundFuelSurcharge),2),ROUND((((1-GroundZone51Discount)*'Ground Base'!K47)+GroundResidentialFee)*(1+GroundFuelSurcharge),2)))*(1+FedEx_Markup),2)</f>
        <v>69.49</v>
      </c>
      <c r="L52" s="275">
        <f>ROUND((IF('Ground Base'!L$154&gt;ROUND(((1-GroundZone54Discount)*'Ground Base'!L47),2),ROUND(('Ground Base'!L$154+GroundResidentialFee)*(1+GroundFuelSurcharge),2),ROUND((((1-GroundZone54Discount)*'Ground Base'!L47)+GroundResidentialFee)*(1+GroundFuelSurcharge),2)))*(1+FedEx_Markup),2)</f>
        <v>81.34</v>
      </c>
    </row>
    <row r="53" ht="12.75" customHeight="1">
      <c r="A53" s="274">
        <v>46.0</v>
      </c>
      <c r="B53" s="275">
        <f>IFERROR(__xludf.DUMMYFUNCTION("ROUND((IF(SINGLE('Ground Base'!B$154)&gt;ROUND(((1-GroundResDiscount31Up-GroundResIncentive)*'Ground Base'!B48),2),ROUND((SINGLE('Ground Base'!B$154)+GroundResidentialFee)*(1+GroundFuelSurcharge),2),ROUND((((1-GroundResDiscount31Up-GroundResIncentive)*'Groun"&amp;"d Base'!B48)+GroundResidentialFee)*(1+GroundFuelSurcharge),2)))*(1+FedEx_Markup),2)"),18.61)</f>
        <v>18.61</v>
      </c>
      <c r="C53" s="275">
        <f>IFERROR(__xludf.DUMMYFUNCTION("ROUND((IF(SINGLE('Ground Base'!C$154)&gt;ROUND(((1-GroundResDiscount31Up-GroundResIncentive)*'Ground Base'!C48),2),ROUND((SINGLE('Ground Base'!C$154)+GroundResidentialFee)*(1+GroundFuelSurcharge),2),ROUND((((1-GroundResDiscount31Up-GroundResIncentive)*'Groun"&amp;"d Base'!C48)+GroundResidentialFee)*(1+GroundFuelSurcharge),2)))*(1+FedEx_Markup),2)"),22.15)</f>
        <v>22.15</v>
      </c>
      <c r="D53" s="275">
        <f>IFERROR(__xludf.DUMMYFUNCTION("ROUND((IF(SINGLE('Ground Base'!D$154)&gt;ROUND(((1-GroundResDiscount31Up-GroundResIncentive)*'Ground Base'!D48),2),ROUND((SINGLE('Ground Base'!D$154)+GroundResidentialFee)*(1+GroundFuelSurcharge),2),ROUND((((1-GroundResDiscount31Up-GroundResIncentive)*'Groun"&amp;"d Base'!D48)+GroundResidentialFee)*(1+GroundFuelSurcharge),2)))*(1+FedEx_Markup),2)"),25.83)</f>
        <v>25.83</v>
      </c>
      <c r="E53" s="275">
        <f>IFERROR(__xludf.DUMMYFUNCTION("ROUND((IF(SINGLE('Ground Base'!E$154)&gt;ROUND(((1-GroundResDiscount31Up-GroundResIncentive)*'Ground Base'!E48),2),ROUND((SINGLE('Ground Base'!E$154)+GroundResidentialFee)*(1+GroundFuelSurcharge),2),ROUND((((1-GroundResDiscount31Up-GroundResIncentive)*'Groun"&amp;"d Base'!E48)+GroundResidentialFee)*(1+GroundFuelSurcharge),2)))*(1+FedEx_Markup),2)"),30.3)</f>
        <v>30.3</v>
      </c>
      <c r="F53" s="275">
        <f>IFERROR(__xludf.DUMMYFUNCTION("ROUND((IF(SINGLE('Ground Base'!F$154)&gt;ROUND(((1-GroundResDiscount31Up-GroundResIncentive)*'Ground Base'!F48),2),ROUND((SINGLE('Ground Base'!F$154)+GroundResidentialFee)*(1+GroundFuelSurcharge),2),ROUND((((1-GroundResDiscount31Up-GroundResIncentive)*'Groun"&amp;"d Base'!F48)+GroundResidentialFee)*(1+GroundFuelSurcharge),2)))*(1+FedEx_Markup),2)"),37.42)</f>
        <v>37.42</v>
      </c>
      <c r="G53" s="275">
        <f>IFERROR(__xludf.DUMMYFUNCTION("ROUND((IF(SINGLE('Ground Base'!G$154)&gt;ROUND(((1-GroundResDiscount31Up-GroundResIncentive)*'Ground Base'!G48),2),ROUND((SINGLE('Ground Base'!G$154)+GroundResidentialFee)*(1+GroundFuelSurcharge),2),ROUND((((1-GroundResDiscount31Up-GroundResIncentive)*'Groun"&amp;"d Base'!G48)+GroundResidentialFee)*(1+GroundFuelSurcharge),2)))*(1+FedEx_Markup),2)"),44.09)</f>
        <v>44.09</v>
      </c>
      <c r="H53" s="275">
        <f>IFERROR(__xludf.DUMMYFUNCTION("ROUND((IF(SINGLE('Ground Base'!H$154)&gt;ROUND(((1-GroundResDiscount31Up-GroundResIncentive)*'Ground Base'!H48),2),ROUND((SINGLE('Ground Base'!H$154)+GroundResidentialFee)*(1+GroundFuelSurcharge),2),ROUND((((1-GroundResDiscount31Up-GroundResIncentive)*'Groun"&amp;"d Base'!H48)+GroundResidentialFee)*(1+GroundFuelSurcharge),2)))*(1+FedEx_Markup),2)"),48.93)</f>
        <v>48.93</v>
      </c>
      <c r="I53" s="275">
        <f>ROUND((IF('Ground Base'!I$154&gt;ROUND(((1-GroundAKHIDiscount)*'Ground Base'!I48),2),ROUND(('Ground Base'!I$154+GroundResidentialFee)*(1+GroundFuelSurcharge),2),ROUND((((1-GroundAKHIDiscount)*'Ground Base'!I48)+GroundResidentialFee)*(1+GroundFuelSurcharge),2)))*(1+FedEx_Markup),2)</f>
        <v>221.17</v>
      </c>
      <c r="J53" s="275">
        <f>ROUND((IF('Ground Base'!J$154&gt;ROUND(((1-GroundAKHIDiscount)*'Ground Base'!J48),2),ROUND(('Ground Base'!J$154+GroundResidentialFee)*(1+GroundFuelSurcharge),2),ROUND((((1-GroundAKHIDiscount)*'Ground Base'!J48)+GroundResidentialFee)*(1+GroundFuelSurcharge),2)))*(1+FedEx_Markup),2)</f>
        <v>221.17</v>
      </c>
      <c r="K53" s="275">
        <f>ROUND((IF('Ground Base'!K$154&gt;ROUND(((1-GroundZone51Discount)*'Ground Base'!K48),2),ROUND(('Ground Base'!K$154+GroundResidentialFee)*(1+GroundFuelSurcharge),2),ROUND((((1-GroundZone51Discount)*'Ground Base'!K48)+GroundResidentialFee)*(1+GroundFuelSurcharge),2)))*(1+FedEx_Markup),2)</f>
        <v>70.58</v>
      </c>
      <c r="L53" s="275">
        <f>ROUND((IF('Ground Base'!L$154&gt;ROUND(((1-GroundZone54Discount)*'Ground Base'!L48),2),ROUND(('Ground Base'!L$154+GroundResidentialFee)*(1+GroundFuelSurcharge),2),ROUND((((1-GroundZone54Discount)*'Ground Base'!L48)+GroundResidentialFee)*(1+GroundFuelSurcharge),2)))*(1+FedEx_Markup),2)</f>
        <v>82.46</v>
      </c>
    </row>
    <row r="54" ht="12.75" customHeight="1">
      <c r="A54" s="274">
        <v>47.0</v>
      </c>
      <c r="B54" s="275">
        <f>IFERROR(__xludf.DUMMYFUNCTION("ROUND((IF(SINGLE('Ground Base'!B$154)&gt;ROUND(((1-GroundResDiscount31Up-GroundResIncentive)*'Ground Base'!B49),2),ROUND((SINGLE('Ground Base'!B$154)+GroundResidentialFee)*(1+GroundFuelSurcharge),2),ROUND((((1-GroundResDiscount31Up-GroundResIncentive)*'Groun"&amp;"d Base'!B49)+GroundResidentialFee)*(1+GroundFuelSurcharge),2)))*(1+FedEx_Markup),2)"),18.62)</f>
        <v>18.62</v>
      </c>
      <c r="C54" s="275">
        <f>IFERROR(__xludf.DUMMYFUNCTION("ROUND((IF(SINGLE('Ground Base'!C$154)&gt;ROUND(((1-GroundResDiscount31Up-GroundResIncentive)*'Ground Base'!C49),2),ROUND((SINGLE('Ground Base'!C$154)+GroundResidentialFee)*(1+GroundFuelSurcharge),2),ROUND((((1-GroundResDiscount31Up-GroundResIncentive)*'Groun"&amp;"d Base'!C49)+GroundResidentialFee)*(1+GroundFuelSurcharge),2)))*(1+FedEx_Markup),2)"),22.57)</f>
        <v>22.57</v>
      </c>
      <c r="D54" s="275">
        <f>IFERROR(__xludf.DUMMYFUNCTION("ROUND((IF(SINGLE('Ground Base'!D$154)&gt;ROUND(((1-GroundResDiscount31Up-GroundResIncentive)*'Ground Base'!D49),2),ROUND((SINGLE('Ground Base'!D$154)+GroundResidentialFee)*(1+GroundFuelSurcharge),2),ROUND((((1-GroundResDiscount31Up-GroundResIncentive)*'Groun"&amp;"d Base'!D49)+GroundResidentialFee)*(1+GroundFuelSurcharge),2)))*(1+FedEx_Markup),2)"),26.2)</f>
        <v>26.2</v>
      </c>
      <c r="E54" s="275">
        <f>IFERROR(__xludf.DUMMYFUNCTION("ROUND((IF(SINGLE('Ground Base'!E$154)&gt;ROUND(((1-GroundResDiscount31Up-GroundResIncentive)*'Ground Base'!E49),2),ROUND((SINGLE('Ground Base'!E$154)+GroundResidentialFee)*(1+GroundFuelSurcharge),2),ROUND((((1-GroundResDiscount31Up-GroundResIncentive)*'Groun"&amp;"d Base'!E49)+GroundResidentialFee)*(1+GroundFuelSurcharge),2)))*(1+FedEx_Markup),2)"),30.5)</f>
        <v>30.5</v>
      </c>
      <c r="F54" s="275">
        <f>IFERROR(__xludf.DUMMYFUNCTION("ROUND((IF(SINGLE('Ground Base'!F$154)&gt;ROUND(((1-GroundResDiscount31Up-GroundResIncentive)*'Ground Base'!F49),2),ROUND((SINGLE('Ground Base'!F$154)+GroundResidentialFee)*(1+GroundFuelSurcharge),2),ROUND((((1-GroundResDiscount31Up-GroundResIncentive)*'Groun"&amp;"d Base'!F49)+GroundResidentialFee)*(1+GroundFuelSurcharge),2)))*(1+FedEx_Markup),2)"),37.88)</f>
        <v>37.88</v>
      </c>
      <c r="G54" s="275">
        <f>IFERROR(__xludf.DUMMYFUNCTION("ROUND((IF(SINGLE('Ground Base'!G$154)&gt;ROUND(((1-GroundResDiscount31Up-GroundResIncentive)*'Ground Base'!G49),2),ROUND((SINGLE('Ground Base'!G$154)+GroundResidentialFee)*(1+GroundFuelSurcharge),2),ROUND((((1-GroundResDiscount31Up-GroundResIncentive)*'Groun"&amp;"d Base'!G49)+GroundResidentialFee)*(1+GroundFuelSurcharge),2)))*(1+FedEx_Markup),2)"),44.88)</f>
        <v>44.88</v>
      </c>
      <c r="H54" s="275">
        <f>IFERROR(__xludf.DUMMYFUNCTION("ROUND((IF(SINGLE('Ground Base'!H$154)&gt;ROUND(((1-GroundResDiscount31Up-GroundResIncentive)*'Ground Base'!H49),2),ROUND((SINGLE('Ground Base'!H$154)+GroundResidentialFee)*(1+GroundFuelSurcharge),2),ROUND((((1-GroundResDiscount31Up-GroundResIncentive)*'Groun"&amp;"d Base'!H49)+GroundResidentialFee)*(1+GroundFuelSurcharge),2)))*(1+FedEx_Markup),2)"),49.67)</f>
        <v>49.67</v>
      </c>
      <c r="I54" s="275">
        <f>ROUND((IF('Ground Base'!I$154&gt;ROUND(((1-GroundAKHIDiscount)*'Ground Base'!I49),2),ROUND(('Ground Base'!I$154+GroundResidentialFee)*(1+GroundFuelSurcharge),2),ROUND((((1-GroundAKHIDiscount)*'Ground Base'!I49)+GroundResidentialFee)*(1+GroundFuelSurcharge),2)))*(1+FedEx_Markup),2)</f>
        <v>225.35</v>
      </c>
      <c r="J54" s="275">
        <f>ROUND((IF('Ground Base'!J$154&gt;ROUND(((1-GroundAKHIDiscount)*'Ground Base'!J49),2),ROUND(('Ground Base'!J$154+GroundResidentialFee)*(1+GroundFuelSurcharge),2),ROUND((((1-GroundAKHIDiscount)*'Ground Base'!J49)+GroundResidentialFee)*(1+GroundFuelSurcharge),2)))*(1+FedEx_Markup),2)</f>
        <v>225.35</v>
      </c>
      <c r="K54" s="275">
        <f>ROUND((IF('Ground Base'!K$154&gt;ROUND(((1-GroundZone51Discount)*'Ground Base'!K49),2),ROUND(('Ground Base'!K$154+GroundResidentialFee)*(1+GroundFuelSurcharge),2),ROUND((((1-GroundZone51Discount)*'Ground Base'!K49)+GroundResidentialFee)*(1+GroundFuelSurcharge),2)))*(1+FedEx_Markup),2)</f>
        <v>71.62</v>
      </c>
      <c r="L54" s="275">
        <f>ROUND((IF('Ground Base'!L$154&gt;ROUND(((1-GroundZone54Discount)*'Ground Base'!L49),2),ROUND(('Ground Base'!L$154+GroundResidentialFee)*(1+GroundFuelSurcharge),2),ROUND((((1-GroundZone54Discount)*'Ground Base'!L49)+GroundResidentialFee)*(1+GroundFuelSurcharge),2)))*(1+FedEx_Markup),2)</f>
        <v>83.7</v>
      </c>
    </row>
    <row r="55" ht="12.75" customHeight="1">
      <c r="A55" s="274">
        <v>48.0</v>
      </c>
      <c r="B55" s="275">
        <f>IFERROR(__xludf.DUMMYFUNCTION("ROUND((IF(SINGLE('Ground Base'!B$154)&gt;ROUND(((1-GroundResDiscount31Up-GroundResIncentive)*'Ground Base'!B50),2),ROUND((SINGLE('Ground Base'!B$154)+GroundResidentialFee)*(1+GroundFuelSurcharge),2),ROUND((((1-GroundResDiscount31Up-GroundResIncentive)*'Groun"&amp;"d Base'!B50)+GroundResidentialFee)*(1+GroundFuelSurcharge),2)))*(1+FedEx_Markup),2)"),18.62)</f>
        <v>18.62</v>
      </c>
      <c r="C55" s="275">
        <f>IFERROR(__xludf.DUMMYFUNCTION("ROUND((IF(SINGLE('Ground Base'!C$154)&gt;ROUND(((1-GroundResDiscount31Up-GroundResIncentive)*'Ground Base'!C50),2),ROUND((SINGLE('Ground Base'!C$154)+GroundResidentialFee)*(1+GroundFuelSurcharge),2),ROUND((((1-GroundResDiscount31Up-GroundResIncentive)*'Groun"&amp;"d Base'!C50)+GroundResidentialFee)*(1+GroundFuelSurcharge),2)))*(1+FedEx_Markup),2)"),22.59)</f>
        <v>22.59</v>
      </c>
      <c r="D55" s="275">
        <f>IFERROR(__xludf.DUMMYFUNCTION("ROUND((IF(SINGLE('Ground Base'!D$154)&gt;ROUND(((1-GroundResDiscount31Up-GroundResIncentive)*'Ground Base'!D50),2),ROUND((SINGLE('Ground Base'!D$154)+GroundResidentialFee)*(1+GroundFuelSurcharge),2),ROUND((((1-GroundResDiscount31Up-GroundResIncentive)*'Groun"&amp;"d Base'!D50)+GroundResidentialFee)*(1+GroundFuelSurcharge),2)))*(1+FedEx_Markup),2)"),26.47)</f>
        <v>26.47</v>
      </c>
      <c r="E55" s="275">
        <f>IFERROR(__xludf.DUMMYFUNCTION("ROUND((IF(SINGLE('Ground Base'!E$154)&gt;ROUND(((1-GroundResDiscount31Up-GroundResIncentive)*'Ground Base'!E50),2),ROUND((SINGLE('Ground Base'!E$154)+GroundResidentialFee)*(1+GroundFuelSurcharge),2),ROUND((((1-GroundResDiscount31Up-GroundResIncentive)*'Groun"&amp;"d Base'!E50)+GroundResidentialFee)*(1+GroundFuelSurcharge),2)))*(1+FedEx_Markup),2)"),31.5)</f>
        <v>31.5</v>
      </c>
      <c r="F55" s="275">
        <f>IFERROR(__xludf.DUMMYFUNCTION("ROUND((IF(SINGLE('Ground Base'!F$154)&gt;ROUND(((1-GroundResDiscount31Up-GroundResIncentive)*'Ground Base'!F50),2),ROUND((SINGLE('Ground Base'!F$154)+GroundResidentialFee)*(1+GroundFuelSurcharge),2),ROUND((((1-GroundResDiscount31Up-GroundResIncentive)*'Groun"&amp;"d Base'!F50)+GroundResidentialFee)*(1+GroundFuelSurcharge),2)))*(1+FedEx_Markup),2)"),38.41)</f>
        <v>38.41</v>
      </c>
      <c r="G55" s="275">
        <f>IFERROR(__xludf.DUMMYFUNCTION("ROUND((IF(SINGLE('Ground Base'!G$154)&gt;ROUND(((1-GroundResDiscount31Up-GroundResIncentive)*'Ground Base'!G50),2),ROUND((SINGLE('Ground Base'!G$154)+GroundResidentialFee)*(1+GroundFuelSurcharge),2),ROUND((((1-GroundResDiscount31Up-GroundResIncentive)*'Groun"&amp;"d Base'!G50)+GroundResidentialFee)*(1+GroundFuelSurcharge),2)))*(1+FedEx_Markup),2)"),45.28)</f>
        <v>45.28</v>
      </c>
      <c r="H55" s="275">
        <f>IFERROR(__xludf.DUMMYFUNCTION("ROUND((IF(SINGLE('Ground Base'!H$154)&gt;ROUND(((1-GroundResDiscount31Up-GroundResIncentive)*'Ground Base'!H50),2),ROUND((SINGLE('Ground Base'!H$154)+GroundResidentialFee)*(1+GroundFuelSurcharge),2),ROUND((((1-GroundResDiscount31Up-GroundResIncentive)*'Groun"&amp;"d Base'!H50)+GroundResidentialFee)*(1+GroundFuelSurcharge),2)))*(1+FedEx_Markup),2)"),50.42)</f>
        <v>50.42</v>
      </c>
      <c r="I55" s="275">
        <f>ROUND((IF('Ground Base'!I$154&gt;ROUND(((1-GroundAKHIDiscount)*'Ground Base'!I50),2),ROUND(('Ground Base'!I$154+GroundResidentialFee)*(1+GroundFuelSurcharge),2),ROUND((((1-GroundAKHIDiscount)*'Ground Base'!I50)+GroundResidentialFee)*(1+GroundFuelSurcharge),2)))*(1+FedEx_Markup),2)</f>
        <v>229.17</v>
      </c>
      <c r="J55" s="275">
        <f>ROUND((IF('Ground Base'!J$154&gt;ROUND(((1-GroundAKHIDiscount)*'Ground Base'!J50),2),ROUND(('Ground Base'!J$154+GroundResidentialFee)*(1+GroundFuelSurcharge),2),ROUND((((1-GroundAKHIDiscount)*'Ground Base'!J50)+GroundResidentialFee)*(1+GroundFuelSurcharge),2)))*(1+FedEx_Markup),2)</f>
        <v>229.17</v>
      </c>
      <c r="K55" s="275">
        <f>ROUND((IF('Ground Base'!K$154&gt;ROUND(((1-GroundZone51Discount)*'Ground Base'!K50),2),ROUND(('Ground Base'!K$154+GroundResidentialFee)*(1+GroundFuelSurcharge),2),ROUND((((1-GroundZone51Discount)*'Ground Base'!K50)+GroundResidentialFee)*(1+GroundFuelSurcharge),2)))*(1+FedEx_Markup),2)</f>
        <v>72.52</v>
      </c>
      <c r="L55" s="275">
        <f>ROUND((IF('Ground Base'!L$154&gt;ROUND(((1-GroundZone54Discount)*'Ground Base'!L50),2),ROUND(('Ground Base'!L$154+GroundResidentialFee)*(1+GroundFuelSurcharge),2),ROUND((((1-GroundZone54Discount)*'Ground Base'!L50)+GroundResidentialFee)*(1+GroundFuelSurcharge),2)))*(1+FedEx_Markup),2)</f>
        <v>84.9</v>
      </c>
    </row>
    <row r="56" ht="12.75" customHeight="1">
      <c r="A56" s="274">
        <v>49.0</v>
      </c>
      <c r="B56" s="275">
        <f>IFERROR(__xludf.DUMMYFUNCTION("ROUND((IF(SINGLE('Ground Base'!B$154)&gt;ROUND(((1-GroundResDiscount31Up-GroundResIncentive)*'Ground Base'!B51),2),ROUND((SINGLE('Ground Base'!B$154)+GroundResidentialFee)*(1+GroundFuelSurcharge),2),ROUND((((1-GroundResDiscount31Up-GroundResIncentive)*'Groun"&amp;"d Base'!B51)+GroundResidentialFee)*(1+GroundFuelSurcharge),2)))*(1+FedEx_Markup),2)"),18.63)</f>
        <v>18.63</v>
      </c>
      <c r="C56" s="275">
        <f>IFERROR(__xludf.DUMMYFUNCTION("ROUND((IF(SINGLE('Ground Base'!C$154)&gt;ROUND(((1-GroundResDiscount31Up-GroundResIncentive)*'Ground Base'!C51),2),ROUND((SINGLE('Ground Base'!C$154)+GroundResidentialFee)*(1+GroundFuelSurcharge),2),ROUND((((1-GroundResDiscount31Up-GroundResIncentive)*'Groun"&amp;"d Base'!C51)+GroundResidentialFee)*(1+GroundFuelSurcharge),2)))*(1+FedEx_Markup),2)"),22.59)</f>
        <v>22.59</v>
      </c>
      <c r="D56" s="275">
        <f>IFERROR(__xludf.DUMMYFUNCTION("ROUND((IF(SINGLE('Ground Base'!D$154)&gt;ROUND(((1-GroundResDiscount31Up-GroundResIncentive)*'Ground Base'!D51),2),ROUND((SINGLE('Ground Base'!D$154)+GroundResidentialFee)*(1+GroundFuelSurcharge),2),ROUND((((1-GroundResDiscount31Up-GroundResIncentive)*'Groun"&amp;"d Base'!D51)+GroundResidentialFee)*(1+GroundFuelSurcharge),2)))*(1+FedEx_Markup),2)"),26.47)</f>
        <v>26.47</v>
      </c>
      <c r="E56" s="275">
        <f>IFERROR(__xludf.DUMMYFUNCTION("ROUND((IF(SINGLE('Ground Base'!E$154)&gt;ROUND(((1-GroundResDiscount31Up-GroundResIncentive)*'Ground Base'!E51),2),ROUND((SINGLE('Ground Base'!E$154)+GroundResidentialFee)*(1+GroundFuelSurcharge),2),ROUND((((1-GroundResDiscount31Up-GroundResIncentive)*'Groun"&amp;"d Base'!E51)+GroundResidentialFee)*(1+GroundFuelSurcharge),2)))*(1+FedEx_Markup),2)"),31.5)</f>
        <v>31.5</v>
      </c>
      <c r="F56" s="275">
        <f>IFERROR(__xludf.DUMMYFUNCTION("ROUND((IF(SINGLE('Ground Base'!F$154)&gt;ROUND(((1-GroundResDiscount31Up-GroundResIncentive)*'Ground Base'!F51),2),ROUND((SINGLE('Ground Base'!F$154)+GroundResidentialFee)*(1+GroundFuelSurcharge),2),ROUND((((1-GroundResDiscount31Up-GroundResIncentive)*'Groun"&amp;"d Base'!F51)+GroundResidentialFee)*(1+GroundFuelSurcharge),2)))*(1+FedEx_Markup),2)"),38.67)</f>
        <v>38.67</v>
      </c>
      <c r="G56" s="275">
        <f>IFERROR(__xludf.DUMMYFUNCTION("ROUND((IF(SINGLE('Ground Base'!G$154)&gt;ROUND(((1-GroundResDiscount31Up-GroundResIncentive)*'Ground Base'!G51),2),ROUND((SINGLE('Ground Base'!G$154)+GroundResidentialFee)*(1+GroundFuelSurcharge),2),ROUND((((1-GroundResDiscount31Up-GroundResIncentive)*'Groun"&amp;"d Base'!G51)+GroundResidentialFee)*(1+GroundFuelSurcharge),2)))*(1+FedEx_Markup),2)"),46.13)</f>
        <v>46.13</v>
      </c>
      <c r="H56" s="275">
        <f>IFERROR(__xludf.DUMMYFUNCTION("ROUND((IF(SINGLE('Ground Base'!H$154)&gt;ROUND(((1-GroundResDiscount31Up-GroundResIncentive)*'Ground Base'!H51),2),ROUND((SINGLE('Ground Base'!H$154)+GroundResidentialFee)*(1+GroundFuelSurcharge),2),ROUND((((1-GroundResDiscount31Up-GroundResIncentive)*'Groun"&amp;"d Base'!H51)+GroundResidentialFee)*(1+GroundFuelSurcharge),2)))*(1+FedEx_Markup),2)"),50.69)</f>
        <v>50.69</v>
      </c>
      <c r="I56" s="275">
        <f>ROUND((IF('Ground Base'!I$154&gt;ROUND(((1-GroundAKHIDiscount)*'Ground Base'!I51),2),ROUND(('Ground Base'!I$154+GroundResidentialFee)*(1+GroundFuelSurcharge),2),ROUND((((1-GroundAKHIDiscount)*'Ground Base'!I51)+GroundResidentialFee)*(1+GroundFuelSurcharge),2)))*(1+FedEx_Markup),2)</f>
        <v>233.05</v>
      </c>
      <c r="J56" s="275">
        <f>ROUND((IF('Ground Base'!J$154&gt;ROUND(((1-GroundAKHIDiscount)*'Ground Base'!J51),2),ROUND(('Ground Base'!J$154+GroundResidentialFee)*(1+GroundFuelSurcharge),2),ROUND((((1-GroundAKHIDiscount)*'Ground Base'!J51)+GroundResidentialFee)*(1+GroundFuelSurcharge),2)))*(1+FedEx_Markup),2)</f>
        <v>233.05</v>
      </c>
      <c r="K56" s="275">
        <f>ROUND((IF('Ground Base'!K$154&gt;ROUND(((1-GroundZone51Discount)*'Ground Base'!K51),2),ROUND(('Ground Base'!K$154+GroundResidentialFee)*(1+GroundFuelSurcharge),2),ROUND((((1-GroundZone51Discount)*'Ground Base'!K51)+GroundResidentialFee)*(1+GroundFuelSurcharge),2)))*(1+FedEx_Markup),2)</f>
        <v>73.68</v>
      </c>
      <c r="L56" s="275">
        <f>ROUND((IF('Ground Base'!L$154&gt;ROUND(((1-GroundZone54Discount)*'Ground Base'!L51),2),ROUND(('Ground Base'!L$154+GroundResidentialFee)*(1+GroundFuelSurcharge),2),ROUND((((1-GroundZone54Discount)*'Ground Base'!L51)+GroundResidentialFee)*(1+GroundFuelSurcharge),2)))*(1+FedEx_Markup),2)</f>
        <v>86.04</v>
      </c>
    </row>
    <row r="57" ht="12.75" customHeight="1">
      <c r="A57" s="274">
        <v>50.0</v>
      </c>
      <c r="B57" s="275">
        <f>IFERROR(__xludf.DUMMYFUNCTION("ROUND((IF(SINGLE('Ground Base'!B$154)&gt;ROUND(((1-GroundResDiscount31Up-GroundResIncentive)*'Ground Base'!B52),2),ROUND((SINGLE('Ground Base'!B$154)+GroundResidentialFee)*(1+GroundFuelSurcharge),2),ROUND((((1-GroundResDiscount31Up-GroundResIncentive)*'Groun"&amp;"d Base'!B52)+GroundResidentialFee)*(1+GroundFuelSurcharge),2)))*(1+FedEx_Markup),2)"),18.63)</f>
        <v>18.63</v>
      </c>
      <c r="C57" s="275">
        <f>IFERROR(__xludf.DUMMYFUNCTION("ROUND((IF(SINGLE('Ground Base'!C$154)&gt;ROUND(((1-GroundResDiscount31Up-GroundResIncentive)*'Ground Base'!C52),2),ROUND((SINGLE('Ground Base'!C$154)+GroundResidentialFee)*(1+GroundFuelSurcharge),2),ROUND((((1-GroundResDiscount31Up-GroundResIncentive)*'Groun"&amp;"d Base'!C52)+GroundResidentialFee)*(1+GroundFuelSurcharge),2)))*(1+FedEx_Markup),2)"),22.6)</f>
        <v>22.6</v>
      </c>
      <c r="D57" s="275">
        <f>IFERROR(__xludf.DUMMYFUNCTION("ROUND((IF(SINGLE('Ground Base'!D$154)&gt;ROUND(((1-GroundResDiscount31Up-GroundResIncentive)*'Ground Base'!D52),2),ROUND((SINGLE('Ground Base'!D$154)+GroundResidentialFee)*(1+GroundFuelSurcharge),2),ROUND((((1-GroundResDiscount31Up-GroundResIncentive)*'Groun"&amp;"d Base'!D52)+GroundResidentialFee)*(1+GroundFuelSurcharge),2)))*(1+FedEx_Markup),2)"),26.48)</f>
        <v>26.48</v>
      </c>
      <c r="E57" s="275">
        <f>IFERROR(__xludf.DUMMYFUNCTION("ROUND((IF(SINGLE('Ground Base'!E$154)&gt;ROUND(((1-GroundResDiscount31Up-GroundResIncentive)*'Ground Base'!E52),2),ROUND((SINGLE('Ground Base'!E$154)+GroundResidentialFee)*(1+GroundFuelSurcharge),2),ROUND((((1-GroundResDiscount31Up-GroundResIncentive)*'Groun"&amp;"d Base'!E52)+GroundResidentialFee)*(1+GroundFuelSurcharge),2)))*(1+FedEx_Markup),2)"),31.52)</f>
        <v>31.52</v>
      </c>
      <c r="F57" s="275">
        <f>IFERROR(__xludf.DUMMYFUNCTION("ROUND((IF(SINGLE('Ground Base'!F$154)&gt;ROUND(((1-GroundResDiscount31Up-GroundResIncentive)*'Ground Base'!F52),2),ROUND((SINGLE('Ground Base'!F$154)+GroundResidentialFee)*(1+GroundFuelSurcharge),2),ROUND((((1-GroundResDiscount31Up-GroundResIncentive)*'Groun"&amp;"d Base'!F52)+GroundResidentialFee)*(1+GroundFuelSurcharge),2)))*(1+FedEx_Markup),2)"),38.99)</f>
        <v>38.99</v>
      </c>
      <c r="G57" s="275">
        <f>IFERROR(__xludf.DUMMYFUNCTION("ROUND((IF(SINGLE('Ground Base'!G$154)&gt;ROUND(((1-GroundResDiscount31Up-GroundResIncentive)*'Ground Base'!G52),2),ROUND((SINGLE('Ground Base'!G$154)+GroundResidentialFee)*(1+GroundFuelSurcharge),2),ROUND((((1-GroundResDiscount31Up-GroundResIncentive)*'Groun"&amp;"d Base'!G52)+GroundResidentialFee)*(1+GroundFuelSurcharge),2)))*(1+FedEx_Markup),2)"),46.51)</f>
        <v>46.51</v>
      </c>
      <c r="H57" s="275">
        <f>IFERROR(__xludf.DUMMYFUNCTION("ROUND((IF(SINGLE('Ground Base'!H$154)&gt;ROUND(((1-GroundResDiscount31Up-GroundResIncentive)*'Ground Base'!H52),2),ROUND((SINGLE('Ground Base'!H$154)+GroundResidentialFee)*(1+GroundFuelSurcharge),2),ROUND((((1-GroundResDiscount31Up-GroundResIncentive)*'Groun"&amp;"d Base'!H52)+GroundResidentialFee)*(1+GroundFuelSurcharge),2)))*(1+FedEx_Markup),2)"),51.37)</f>
        <v>51.37</v>
      </c>
      <c r="I57" s="275">
        <f>ROUND((IF('Ground Base'!I$154&gt;ROUND(((1-GroundAKHIDiscount)*'Ground Base'!I52),2),ROUND(('Ground Base'!I$154+GroundResidentialFee)*(1+GroundFuelSurcharge),2),ROUND((((1-GroundAKHIDiscount)*'Ground Base'!I52)+GroundResidentialFee)*(1+GroundFuelSurcharge),2)))*(1+FedEx_Markup),2)</f>
        <v>236.91</v>
      </c>
      <c r="J57" s="275">
        <f>ROUND((IF('Ground Base'!J$154&gt;ROUND(((1-GroundAKHIDiscount)*'Ground Base'!J52),2),ROUND(('Ground Base'!J$154+GroundResidentialFee)*(1+GroundFuelSurcharge),2),ROUND((((1-GroundAKHIDiscount)*'Ground Base'!J52)+GroundResidentialFee)*(1+GroundFuelSurcharge),2)))*(1+FedEx_Markup),2)</f>
        <v>236.91</v>
      </c>
      <c r="K57" s="275">
        <f>ROUND((IF('Ground Base'!K$154&gt;ROUND(((1-GroundZone51Discount)*'Ground Base'!K52),2),ROUND(('Ground Base'!K$154+GroundResidentialFee)*(1+GroundFuelSurcharge),2),ROUND((((1-GroundZone51Discount)*'Ground Base'!K52)+GroundResidentialFee)*(1+GroundFuelSurcharge),2)))*(1+FedEx_Markup),2)</f>
        <v>74.84</v>
      </c>
      <c r="L57" s="275">
        <f>ROUND((IF('Ground Base'!L$154&gt;ROUND(((1-GroundZone54Discount)*'Ground Base'!L52),2),ROUND(('Ground Base'!L$154+GroundResidentialFee)*(1+GroundFuelSurcharge),2),ROUND((((1-GroundZone54Discount)*'Ground Base'!L52)+GroundResidentialFee)*(1+GroundFuelSurcharge),2)))*(1+FedEx_Markup),2)</f>
        <v>87.37</v>
      </c>
    </row>
    <row r="58" ht="12.75" customHeight="1">
      <c r="A58" s="274">
        <v>51.0</v>
      </c>
      <c r="B58" s="275">
        <f>IFERROR(__xludf.DUMMYFUNCTION("ROUND((IF(SINGLE('Ground Base'!B$154)&gt;ROUND(((1-GroundResDiscount31Up-GroundResIncentive)*'Ground Base'!B53),2),ROUND((SINGLE('Ground Base'!B$154)+GroundResidentialFee)*(1+GroundFuelSurcharge),2),ROUND((((1-GroundResDiscount31Up-GroundResIncentive)*'Groun"&amp;"d Base'!B53)+GroundResidentialFee)*(1+GroundFuelSurcharge),2)))*(1+FedEx_Markup),2)"),18.64)</f>
        <v>18.64</v>
      </c>
      <c r="C58" s="275">
        <f>IFERROR(__xludf.DUMMYFUNCTION("ROUND((IF(SINGLE('Ground Base'!C$154)&gt;ROUND(((1-GroundResDiscount31Up-GroundResIncentive)*'Ground Base'!C53),2),ROUND((SINGLE('Ground Base'!C$154)+GroundResidentialFee)*(1+GroundFuelSurcharge),2),ROUND((((1-GroundResDiscount31Up-GroundResIncentive)*'Groun"&amp;"d Base'!C53)+GroundResidentialFee)*(1+GroundFuelSurcharge),2)))*(1+FedEx_Markup),2)"),22.6)</f>
        <v>22.6</v>
      </c>
      <c r="D58" s="275">
        <f>IFERROR(__xludf.DUMMYFUNCTION("ROUND((IF(SINGLE('Ground Base'!D$154)&gt;ROUND(((1-GroundResDiscount31Up-GroundResIncentive)*'Ground Base'!D53),2),ROUND((SINGLE('Ground Base'!D$154)+GroundResidentialFee)*(1+GroundFuelSurcharge),2),ROUND((((1-GroundResDiscount31Up-GroundResIncentive)*'Groun"&amp;"d Base'!D53)+GroundResidentialFee)*(1+GroundFuelSurcharge),2)))*(1+FedEx_Markup),2)"),26.6)</f>
        <v>26.6</v>
      </c>
      <c r="E58" s="275">
        <f>IFERROR(__xludf.DUMMYFUNCTION("ROUND((IF(SINGLE('Ground Base'!E$154)&gt;ROUND(((1-GroundResDiscount31Up-GroundResIncentive)*'Ground Base'!E53),2),ROUND((SINGLE('Ground Base'!E$154)+GroundResidentialFee)*(1+GroundFuelSurcharge),2),ROUND((((1-GroundResDiscount31Up-GroundResIncentive)*'Groun"&amp;"d Base'!E53)+GroundResidentialFee)*(1+GroundFuelSurcharge),2)))*(1+FedEx_Markup),2)"),31.66)</f>
        <v>31.66</v>
      </c>
      <c r="F58" s="275">
        <f>IFERROR(__xludf.DUMMYFUNCTION("ROUND((IF(SINGLE('Ground Base'!F$154)&gt;ROUND(((1-GroundResDiscount31Up-GroundResIncentive)*'Ground Base'!F53),2),ROUND((SINGLE('Ground Base'!F$154)+GroundResidentialFee)*(1+GroundFuelSurcharge),2),ROUND((((1-GroundResDiscount31Up-GroundResIncentive)*'Groun"&amp;"d Base'!F53)+GroundResidentialFee)*(1+GroundFuelSurcharge),2)))*(1+FedEx_Markup),2)"),39.43)</f>
        <v>39.43</v>
      </c>
      <c r="G58" s="275">
        <f>IFERROR(__xludf.DUMMYFUNCTION("ROUND((IF(SINGLE('Ground Base'!G$154)&gt;ROUND(((1-GroundResDiscount31Up-GroundResIncentive)*'Ground Base'!G53),2),ROUND((SINGLE('Ground Base'!G$154)+GroundResidentialFee)*(1+GroundFuelSurcharge),2),ROUND((((1-GroundResDiscount31Up-GroundResIncentive)*'Groun"&amp;"d Base'!G53)+GroundResidentialFee)*(1+GroundFuelSurcharge),2)))*(1+FedEx_Markup),2)"),47.05)</f>
        <v>47.05</v>
      </c>
      <c r="H58" s="275">
        <f>IFERROR(__xludf.DUMMYFUNCTION("ROUND((IF(SINGLE('Ground Base'!H$154)&gt;ROUND(((1-GroundResDiscount31Up-GroundResIncentive)*'Ground Base'!H53),2),ROUND((SINGLE('Ground Base'!H$154)+GroundResidentialFee)*(1+GroundFuelSurcharge),2),ROUND((((1-GroundResDiscount31Up-GroundResIncentive)*'Groun"&amp;"d Base'!H53)+GroundResidentialFee)*(1+GroundFuelSurcharge),2)))*(1+FedEx_Markup),2)"),52.49)</f>
        <v>52.49</v>
      </c>
      <c r="I58" s="275">
        <f>ROUND((IF('Ground Base'!I$154&gt;ROUND(((1-GroundAKHIDiscount)*'Ground Base'!I53),2),ROUND(('Ground Base'!I$154+GroundResidentialFee)*(1+GroundFuelSurcharge),2),ROUND((((1-GroundAKHIDiscount)*'Ground Base'!I53)+GroundResidentialFee)*(1+GroundFuelSurcharge),2)))*(1+FedEx_Markup),2)</f>
        <v>243.02</v>
      </c>
      <c r="J58" s="275">
        <f>ROUND((IF('Ground Base'!J$154&gt;ROUND(((1-GroundAKHIDiscount)*'Ground Base'!J53),2),ROUND(('Ground Base'!J$154+GroundResidentialFee)*(1+GroundFuelSurcharge),2),ROUND((((1-GroundAKHIDiscount)*'Ground Base'!J53)+GroundResidentialFee)*(1+GroundFuelSurcharge),2)))*(1+FedEx_Markup),2)</f>
        <v>243.02</v>
      </c>
      <c r="K58" s="275">
        <f>ROUND((IF('Ground Base'!K$154&gt;ROUND(((1-GroundZone51Discount)*'Ground Base'!K53),2),ROUND(('Ground Base'!K$154+GroundResidentialFee)*(1+GroundFuelSurcharge),2),ROUND((((1-GroundZone51Discount)*'Ground Base'!K53)+GroundResidentialFee)*(1+GroundFuelSurcharge),2)))*(1+FedEx_Markup),2)</f>
        <v>77.04</v>
      </c>
      <c r="L58" s="275">
        <f>ROUND((IF('Ground Base'!L$154&gt;ROUND(((1-GroundZone54Discount)*'Ground Base'!L53),2),ROUND(('Ground Base'!L$154+GroundResidentialFee)*(1+GroundFuelSurcharge),2),ROUND((((1-GroundZone54Discount)*'Ground Base'!L53)+GroundResidentialFee)*(1+GroundFuelSurcharge),2)))*(1+FedEx_Markup),2)</f>
        <v>89.14</v>
      </c>
    </row>
    <row r="59" ht="12.75" customHeight="1">
      <c r="A59" s="274">
        <v>52.0</v>
      </c>
      <c r="B59" s="275">
        <f>IFERROR(__xludf.DUMMYFUNCTION("ROUND((IF(SINGLE('Ground Base'!B$154)&gt;ROUND(((1-GroundResDiscount31Up-GroundResIncentive)*'Ground Base'!B54),2),ROUND((SINGLE('Ground Base'!B$154)+GroundResidentialFee)*(1+GroundFuelSurcharge),2),ROUND((((1-GroundResDiscount31Up-GroundResIncentive)*'Groun"&amp;"d Base'!B54)+GroundResidentialFee)*(1+GroundFuelSurcharge),2)))*(1+FedEx_Markup),2)"),18.64)</f>
        <v>18.64</v>
      </c>
      <c r="C59" s="275">
        <f>IFERROR(__xludf.DUMMYFUNCTION("ROUND((IF(SINGLE('Ground Base'!C$154)&gt;ROUND(((1-GroundResDiscount31Up-GroundResIncentive)*'Ground Base'!C54),2),ROUND((SINGLE('Ground Base'!C$154)+GroundResidentialFee)*(1+GroundFuelSurcharge),2),ROUND((((1-GroundResDiscount31Up-GroundResIncentive)*'Groun"&amp;"d Base'!C54)+GroundResidentialFee)*(1+GroundFuelSurcharge),2)))*(1+FedEx_Markup),2)"),22.61)</f>
        <v>22.61</v>
      </c>
      <c r="D59" s="275">
        <f>IFERROR(__xludf.DUMMYFUNCTION("ROUND((IF(SINGLE('Ground Base'!D$154)&gt;ROUND(((1-GroundResDiscount31Up-GroundResIncentive)*'Ground Base'!D54),2),ROUND((SINGLE('Ground Base'!D$154)+GroundResidentialFee)*(1+GroundFuelSurcharge),2),ROUND((((1-GroundResDiscount31Up-GroundResIncentive)*'Groun"&amp;"d Base'!D54)+GroundResidentialFee)*(1+GroundFuelSurcharge),2)))*(1+FedEx_Markup),2)"),26.61)</f>
        <v>26.61</v>
      </c>
      <c r="E59" s="275">
        <f>IFERROR(__xludf.DUMMYFUNCTION("ROUND((IF(SINGLE('Ground Base'!E$154)&gt;ROUND(((1-GroundResDiscount31Up-GroundResIncentive)*'Ground Base'!E54),2),ROUND((SINGLE('Ground Base'!E$154)+GroundResidentialFee)*(1+GroundFuelSurcharge),2),ROUND((((1-GroundResDiscount31Up-GroundResIncentive)*'Groun"&amp;"d Base'!E54)+GroundResidentialFee)*(1+GroundFuelSurcharge),2)))*(1+FedEx_Markup),2)"),31.68)</f>
        <v>31.68</v>
      </c>
      <c r="F59" s="275">
        <f>IFERROR(__xludf.DUMMYFUNCTION("ROUND((IF(SINGLE('Ground Base'!F$154)&gt;ROUND(((1-GroundResDiscount31Up-GroundResIncentive)*'Ground Base'!F54),2),ROUND((SINGLE('Ground Base'!F$154)+GroundResidentialFee)*(1+GroundFuelSurcharge),2),ROUND((((1-GroundResDiscount31Up-GroundResIncentive)*'Groun"&amp;"d Base'!F54)+GroundResidentialFee)*(1+GroundFuelSurcharge),2)))*(1+FedEx_Markup),2)"),39.43)</f>
        <v>39.43</v>
      </c>
      <c r="G59" s="275">
        <f>IFERROR(__xludf.DUMMYFUNCTION("ROUND((IF(SINGLE('Ground Base'!G$154)&gt;ROUND(((1-GroundResDiscount31Up-GroundResIncentive)*'Ground Base'!G54),2),ROUND((SINGLE('Ground Base'!G$154)+GroundResidentialFee)*(1+GroundFuelSurcharge),2),ROUND((((1-GroundResDiscount31Up-GroundResIncentive)*'Groun"&amp;"d Base'!G54)+GroundResidentialFee)*(1+GroundFuelSurcharge),2)))*(1+FedEx_Markup),2)"),47.06)</f>
        <v>47.06</v>
      </c>
      <c r="H59" s="275">
        <f>IFERROR(__xludf.DUMMYFUNCTION("ROUND((IF(SINGLE('Ground Base'!H$154)&gt;ROUND(((1-GroundResDiscount31Up-GroundResIncentive)*'Ground Base'!H54),2),ROUND((SINGLE('Ground Base'!H$154)+GroundResidentialFee)*(1+GroundFuelSurcharge),2),ROUND((((1-GroundResDiscount31Up-GroundResIncentive)*'Groun"&amp;"d Base'!H54)+GroundResidentialFee)*(1+GroundFuelSurcharge),2)))*(1+FedEx_Markup),2)"),52.5)</f>
        <v>52.5</v>
      </c>
      <c r="I59" s="275">
        <f>ROUND((IF('Ground Base'!I$154&gt;ROUND(((1-GroundAKHIDiscount)*'Ground Base'!I54),2),ROUND(('Ground Base'!I$154+GroundResidentialFee)*(1+GroundFuelSurcharge),2),ROUND((((1-GroundAKHIDiscount)*'Ground Base'!I54)+GroundResidentialFee)*(1+GroundFuelSurcharge),2)))*(1+FedEx_Markup),2)</f>
        <v>243.5</v>
      </c>
      <c r="J59" s="275">
        <f>ROUND((IF('Ground Base'!J$154&gt;ROUND(((1-GroundAKHIDiscount)*'Ground Base'!J54),2),ROUND(('Ground Base'!J$154+GroundResidentialFee)*(1+GroundFuelSurcharge),2),ROUND((((1-GroundAKHIDiscount)*'Ground Base'!J54)+GroundResidentialFee)*(1+GroundFuelSurcharge),2)))*(1+FedEx_Markup),2)</f>
        <v>243.5</v>
      </c>
      <c r="K59" s="275">
        <f>ROUND((IF('Ground Base'!K$154&gt;ROUND(((1-GroundZone51Discount)*'Ground Base'!K54),2),ROUND(('Ground Base'!K$154+GroundResidentialFee)*(1+GroundFuelSurcharge),2),ROUND((((1-GroundZone51Discount)*'Ground Base'!K54)+GroundResidentialFee)*(1+GroundFuelSurcharge),2)))*(1+FedEx_Markup),2)</f>
        <v>77.05</v>
      </c>
      <c r="L59" s="275">
        <f>ROUND((IF('Ground Base'!L$154&gt;ROUND(((1-GroundZone54Discount)*'Ground Base'!L54),2),ROUND(('Ground Base'!L$154+GroundResidentialFee)*(1+GroundFuelSurcharge),2),ROUND((((1-GroundZone54Discount)*'Ground Base'!L54)+GroundResidentialFee)*(1+GroundFuelSurcharge),2)))*(1+FedEx_Markup),2)</f>
        <v>89.15</v>
      </c>
    </row>
    <row r="60" ht="12.75" customHeight="1">
      <c r="A60" s="274">
        <v>53.0</v>
      </c>
      <c r="B60" s="275">
        <f>IFERROR(__xludf.DUMMYFUNCTION("ROUND((IF(SINGLE('Ground Base'!B$154)&gt;ROUND(((1-GroundResDiscount31Up-GroundResIncentive)*'Ground Base'!B55),2),ROUND((SINGLE('Ground Base'!B$154)+GroundResidentialFee)*(1+GroundFuelSurcharge),2),ROUND((((1-GroundResDiscount31Up-GroundResIncentive)*'Groun"&amp;"d Base'!B55)+GroundResidentialFee)*(1+GroundFuelSurcharge),2)))*(1+FedEx_Markup),2)"),18.65)</f>
        <v>18.65</v>
      </c>
      <c r="C60" s="275">
        <f>IFERROR(__xludf.DUMMYFUNCTION("ROUND((IF(SINGLE('Ground Base'!C$154)&gt;ROUND(((1-GroundResDiscount31Up-GroundResIncentive)*'Ground Base'!C55),2),ROUND((SINGLE('Ground Base'!C$154)+GroundResidentialFee)*(1+GroundFuelSurcharge),2),ROUND((((1-GroundResDiscount31Up-GroundResIncentive)*'Groun"&amp;"d Base'!C55)+GroundResidentialFee)*(1+GroundFuelSurcharge),2)))*(1+FedEx_Markup),2)"),22.61)</f>
        <v>22.61</v>
      </c>
      <c r="D60" s="275">
        <f>IFERROR(__xludf.DUMMYFUNCTION("ROUND((IF(SINGLE('Ground Base'!D$154)&gt;ROUND(((1-GroundResDiscount31Up-GroundResIncentive)*'Ground Base'!D55),2),ROUND((SINGLE('Ground Base'!D$154)+GroundResidentialFee)*(1+GroundFuelSurcharge),2),ROUND((((1-GroundResDiscount31Up-GroundResIncentive)*'Groun"&amp;"d Base'!D55)+GroundResidentialFee)*(1+GroundFuelSurcharge),2)))*(1+FedEx_Markup),2)"),26.62)</f>
        <v>26.62</v>
      </c>
      <c r="E60" s="275">
        <f>IFERROR(__xludf.DUMMYFUNCTION("ROUND((IF(SINGLE('Ground Base'!E$154)&gt;ROUND(((1-GroundResDiscount31Up-GroundResIncentive)*'Ground Base'!E55),2),ROUND((SINGLE('Ground Base'!E$154)+GroundResidentialFee)*(1+GroundFuelSurcharge),2),ROUND((((1-GroundResDiscount31Up-GroundResIncentive)*'Groun"&amp;"d Base'!E55)+GroundResidentialFee)*(1+GroundFuelSurcharge),2)))*(1+FedEx_Markup),2)"),31.96)</f>
        <v>31.96</v>
      </c>
      <c r="F60" s="275">
        <f>IFERROR(__xludf.DUMMYFUNCTION("ROUND((IF(SINGLE('Ground Base'!F$154)&gt;ROUND(((1-GroundResDiscount31Up-GroundResIncentive)*'Ground Base'!F55),2),ROUND((SINGLE('Ground Base'!F$154)+GroundResidentialFee)*(1+GroundFuelSurcharge),2),ROUND((((1-GroundResDiscount31Up-GroundResIncentive)*'Groun"&amp;"d Base'!F55)+GroundResidentialFee)*(1+GroundFuelSurcharge),2)))*(1+FedEx_Markup),2)"),39.45)</f>
        <v>39.45</v>
      </c>
      <c r="G60" s="275">
        <f>IFERROR(__xludf.DUMMYFUNCTION("ROUND((IF(SINGLE('Ground Base'!G$154)&gt;ROUND(((1-GroundResDiscount31Up-GroundResIncentive)*'Ground Base'!G55),2),ROUND((SINGLE('Ground Base'!G$154)+GroundResidentialFee)*(1+GroundFuelSurcharge),2),ROUND((((1-GroundResDiscount31Up-GroundResIncentive)*'Groun"&amp;"d Base'!G55)+GroundResidentialFee)*(1+GroundFuelSurcharge),2)))*(1+FedEx_Markup),2)"),47.07)</f>
        <v>47.07</v>
      </c>
      <c r="H60" s="275">
        <f>IFERROR(__xludf.DUMMYFUNCTION("ROUND((IF(SINGLE('Ground Base'!H$154)&gt;ROUND(((1-GroundResDiscount31Up-GroundResIncentive)*'Ground Base'!H55),2),ROUND((SINGLE('Ground Base'!H$154)+GroundResidentialFee)*(1+GroundFuelSurcharge),2),ROUND((((1-GroundResDiscount31Up-GroundResIncentive)*'Groun"&amp;"d Base'!H55)+GroundResidentialFee)*(1+GroundFuelSurcharge),2)))*(1+FedEx_Markup),2)"),52.98)</f>
        <v>52.98</v>
      </c>
      <c r="I60" s="275">
        <f>ROUND((IF('Ground Base'!I$154&gt;ROUND(((1-GroundAKHIDiscount)*'Ground Base'!I55),2),ROUND(('Ground Base'!I$154+GroundResidentialFee)*(1+GroundFuelSurcharge),2),ROUND((((1-GroundAKHIDiscount)*'Ground Base'!I55)+GroundResidentialFee)*(1+GroundFuelSurcharge),2)))*(1+FedEx_Markup),2)</f>
        <v>247.15</v>
      </c>
      <c r="J60" s="275">
        <f>ROUND((IF('Ground Base'!J$154&gt;ROUND(((1-GroundAKHIDiscount)*'Ground Base'!J55),2),ROUND(('Ground Base'!J$154+GroundResidentialFee)*(1+GroundFuelSurcharge),2),ROUND((((1-GroundAKHIDiscount)*'Ground Base'!J55)+GroundResidentialFee)*(1+GroundFuelSurcharge),2)))*(1+FedEx_Markup),2)</f>
        <v>247.15</v>
      </c>
      <c r="K60" s="275">
        <f>ROUND((IF('Ground Base'!K$154&gt;ROUND(((1-GroundZone51Discount)*'Ground Base'!K55),2),ROUND(('Ground Base'!K$154+GroundResidentialFee)*(1+GroundFuelSurcharge),2),ROUND((((1-GroundZone51Discount)*'Ground Base'!K55)+GroundResidentialFee)*(1+GroundFuelSurcharge),2)))*(1+FedEx_Markup),2)</f>
        <v>79.11</v>
      </c>
      <c r="L60" s="275">
        <f>ROUND((IF('Ground Base'!L$154&gt;ROUND(((1-GroundZone54Discount)*'Ground Base'!L55),2),ROUND(('Ground Base'!L$154+GroundResidentialFee)*(1+GroundFuelSurcharge),2),ROUND((((1-GroundZone54Discount)*'Ground Base'!L55)+GroundResidentialFee)*(1+GroundFuelSurcharge),2)))*(1+FedEx_Markup),2)</f>
        <v>90.79</v>
      </c>
    </row>
    <row r="61" ht="12.75" customHeight="1">
      <c r="A61" s="274">
        <v>54.0</v>
      </c>
      <c r="B61" s="275">
        <f>IFERROR(__xludf.DUMMYFUNCTION("ROUND((IF(SINGLE('Ground Base'!B$154)&gt;ROUND(((1-GroundResDiscount31Up-GroundResIncentive)*'Ground Base'!B56),2),ROUND((SINGLE('Ground Base'!B$154)+GroundResidentialFee)*(1+GroundFuelSurcharge),2),ROUND((((1-GroundResDiscount31Up-GroundResIncentive)*'Groun"&amp;"d Base'!B56)+GroundResidentialFee)*(1+GroundFuelSurcharge),2)))*(1+FedEx_Markup),2)"),18.65)</f>
        <v>18.65</v>
      </c>
      <c r="C61" s="275">
        <f>IFERROR(__xludf.DUMMYFUNCTION("ROUND((IF(SINGLE('Ground Base'!C$154)&gt;ROUND(((1-GroundResDiscount31Up-GroundResIncentive)*'Ground Base'!C56),2),ROUND((SINGLE('Ground Base'!C$154)+GroundResidentialFee)*(1+GroundFuelSurcharge),2),ROUND((((1-GroundResDiscount31Up-GroundResIncentive)*'Groun"&amp;"d Base'!C56)+GroundResidentialFee)*(1+GroundFuelSurcharge),2)))*(1+FedEx_Markup),2)"),22.62)</f>
        <v>22.62</v>
      </c>
      <c r="D61" s="275">
        <f>IFERROR(__xludf.DUMMYFUNCTION("ROUND((IF(SINGLE('Ground Base'!D$154)&gt;ROUND(((1-GroundResDiscount31Up-GroundResIncentive)*'Ground Base'!D56),2),ROUND((SINGLE('Ground Base'!D$154)+GroundResidentialFee)*(1+GroundFuelSurcharge),2),ROUND((((1-GroundResDiscount31Up-GroundResIncentive)*'Groun"&amp;"d Base'!D56)+GroundResidentialFee)*(1+GroundFuelSurcharge),2)))*(1+FedEx_Markup),2)"),26.66)</f>
        <v>26.66</v>
      </c>
      <c r="E61" s="275">
        <f>IFERROR(__xludf.DUMMYFUNCTION("ROUND((IF(SINGLE('Ground Base'!E$154)&gt;ROUND(((1-GroundResDiscount31Up-GroundResIncentive)*'Ground Base'!E56),2),ROUND((SINGLE('Ground Base'!E$154)+GroundResidentialFee)*(1+GroundFuelSurcharge),2),ROUND((((1-GroundResDiscount31Up-GroundResIncentive)*'Groun"&amp;"d Base'!E56)+GroundResidentialFee)*(1+GroundFuelSurcharge),2)))*(1+FedEx_Markup),2)"),32.02)</f>
        <v>32.02</v>
      </c>
      <c r="F61" s="275">
        <f>IFERROR(__xludf.DUMMYFUNCTION("ROUND((IF(SINGLE('Ground Base'!F$154)&gt;ROUND(((1-GroundResDiscount31Up-GroundResIncentive)*'Ground Base'!F56),2),ROUND((SINGLE('Ground Base'!F$154)+GroundResidentialFee)*(1+GroundFuelSurcharge),2),ROUND((((1-GroundResDiscount31Up-GroundResIncentive)*'Groun"&amp;"d Base'!F56)+GroundResidentialFee)*(1+GroundFuelSurcharge),2)))*(1+FedEx_Markup),2)"),39.46)</f>
        <v>39.46</v>
      </c>
      <c r="G61" s="275">
        <f>IFERROR(__xludf.DUMMYFUNCTION("ROUND((IF(SINGLE('Ground Base'!G$154)&gt;ROUND(((1-GroundResDiscount31Up-GroundResIncentive)*'Ground Base'!G56),2),ROUND((SINGLE('Ground Base'!G$154)+GroundResidentialFee)*(1+GroundFuelSurcharge),2),ROUND((((1-GroundResDiscount31Up-GroundResIncentive)*'Groun"&amp;"d Base'!G56)+GroundResidentialFee)*(1+GroundFuelSurcharge),2)))*(1+FedEx_Markup),2)"),47.07)</f>
        <v>47.07</v>
      </c>
      <c r="H61" s="275">
        <f>IFERROR(__xludf.DUMMYFUNCTION("ROUND((IF(SINGLE('Ground Base'!H$154)&gt;ROUND(((1-GroundResDiscount31Up-GroundResIncentive)*'Ground Base'!H56),2),ROUND((SINGLE('Ground Base'!H$154)+GroundResidentialFee)*(1+GroundFuelSurcharge),2),ROUND((((1-GroundResDiscount31Up-GroundResIncentive)*'Groun"&amp;"d Base'!H56)+GroundResidentialFee)*(1+GroundFuelSurcharge),2)))*(1+FedEx_Markup),2)"),52.99)</f>
        <v>52.99</v>
      </c>
      <c r="I61" s="275">
        <f>ROUND((IF('Ground Base'!I$154&gt;ROUND(((1-GroundAKHIDiscount)*'Ground Base'!I56),2),ROUND(('Ground Base'!I$154+GroundResidentialFee)*(1+GroundFuelSurcharge),2),ROUND((((1-GroundAKHIDiscount)*'Ground Base'!I56)+GroundResidentialFee)*(1+GroundFuelSurcharge),2)))*(1+FedEx_Markup),2)</f>
        <v>250.61</v>
      </c>
      <c r="J61" s="275">
        <f>ROUND((IF('Ground Base'!J$154&gt;ROUND(((1-GroundAKHIDiscount)*'Ground Base'!J56),2),ROUND(('Ground Base'!J$154+GroundResidentialFee)*(1+GroundFuelSurcharge),2),ROUND((((1-GroundAKHIDiscount)*'Ground Base'!J56)+GroundResidentialFee)*(1+GroundFuelSurcharge),2)))*(1+FedEx_Markup),2)</f>
        <v>250.61</v>
      </c>
      <c r="K61" s="275">
        <f>ROUND((IF('Ground Base'!K$154&gt;ROUND(((1-GroundZone51Discount)*'Ground Base'!K56),2),ROUND(('Ground Base'!K$154+GroundResidentialFee)*(1+GroundFuelSurcharge),2),ROUND((((1-GroundZone51Discount)*'Ground Base'!K56)+GroundResidentialFee)*(1+GroundFuelSurcharge),2)))*(1+FedEx_Markup),2)</f>
        <v>79.12</v>
      </c>
      <c r="L61" s="275">
        <f>ROUND((IF('Ground Base'!L$154&gt;ROUND(((1-GroundZone54Discount)*'Ground Base'!L56),2),ROUND(('Ground Base'!L$154+GroundResidentialFee)*(1+GroundFuelSurcharge),2),ROUND((((1-GroundZone54Discount)*'Ground Base'!L56)+GroundResidentialFee)*(1+GroundFuelSurcharge),2)))*(1+FedEx_Markup),2)</f>
        <v>90.82</v>
      </c>
    </row>
    <row r="62" ht="12.75" customHeight="1">
      <c r="A62" s="274">
        <v>55.0</v>
      </c>
      <c r="B62" s="275">
        <f>IFERROR(__xludf.DUMMYFUNCTION("ROUND((IF(SINGLE('Ground Base'!B$154)&gt;ROUND(((1-GroundResDiscount31Up-GroundResIncentive)*'Ground Base'!B57),2),ROUND((SINGLE('Ground Base'!B$154)+GroundResidentialFee)*(1+GroundFuelSurcharge),2),ROUND((((1-GroundResDiscount31Up-GroundResIncentive)*'Groun"&amp;"d Base'!B57)+GroundResidentialFee)*(1+GroundFuelSurcharge),2)))*(1+FedEx_Markup),2)"),18.66)</f>
        <v>18.66</v>
      </c>
      <c r="C62" s="275">
        <f>IFERROR(__xludf.DUMMYFUNCTION("ROUND((IF(SINGLE('Ground Base'!C$154)&gt;ROUND(((1-GroundResDiscount31Up-GroundResIncentive)*'Ground Base'!C57),2),ROUND((SINGLE('Ground Base'!C$154)+GroundResidentialFee)*(1+GroundFuelSurcharge),2),ROUND((((1-GroundResDiscount31Up-GroundResIncentive)*'Groun"&amp;"d Base'!C57)+GroundResidentialFee)*(1+GroundFuelSurcharge),2)))*(1+FedEx_Markup),2)"),22.62)</f>
        <v>22.62</v>
      </c>
      <c r="D62" s="275">
        <f>IFERROR(__xludf.DUMMYFUNCTION("ROUND((IF(SINGLE('Ground Base'!D$154)&gt;ROUND(((1-GroundResDiscount31Up-GroundResIncentive)*'Ground Base'!D57),2),ROUND((SINGLE('Ground Base'!D$154)+GroundResidentialFee)*(1+GroundFuelSurcharge),2),ROUND((((1-GroundResDiscount31Up-GroundResIncentive)*'Groun"&amp;"d Base'!D57)+GroundResidentialFee)*(1+GroundFuelSurcharge),2)))*(1+FedEx_Markup),2)"),26.66)</f>
        <v>26.66</v>
      </c>
      <c r="E62" s="275">
        <f>IFERROR(__xludf.DUMMYFUNCTION("ROUND((IF(SINGLE('Ground Base'!E$154)&gt;ROUND(((1-GroundResDiscount31Up-GroundResIncentive)*'Ground Base'!E57),2),ROUND((SINGLE('Ground Base'!E$154)+GroundResidentialFee)*(1+GroundFuelSurcharge),2),ROUND((((1-GroundResDiscount31Up-GroundResIncentive)*'Groun"&amp;"d Base'!E57)+GroundResidentialFee)*(1+GroundFuelSurcharge),2)))*(1+FedEx_Markup),2)"),32.02)</f>
        <v>32.02</v>
      </c>
      <c r="F62" s="275">
        <f>IFERROR(__xludf.DUMMYFUNCTION("ROUND((IF(SINGLE('Ground Base'!F$154)&gt;ROUND(((1-GroundResDiscount31Up-GroundResIncentive)*'Ground Base'!F57),2),ROUND((SINGLE('Ground Base'!F$154)+GroundResidentialFee)*(1+GroundFuelSurcharge),2),ROUND((((1-GroundResDiscount31Up-GroundResIncentive)*'Groun"&amp;"d Base'!F57)+GroundResidentialFee)*(1+GroundFuelSurcharge),2)))*(1+FedEx_Markup),2)"),39.46)</f>
        <v>39.46</v>
      </c>
      <c r="G62" s="275">
        <f>IFERROR(__xludf.DUMMYFUNCTION("ROUND((IF(SINGLE('Ground Base'!G$154)&gt;ROUND(((1-GroundResDiscount31Up-GroundResIncentive)*'Ground Base'!G57),2),ROUND((SINGLE('Ground Base'!G$154)+GroundResidentialFee)*(1+GroundFuelSurcharge),2),ROUND((((1-GroundResDiscount31Up-GroundResIncentive)*'Groun"&amp;"d Base'!G57)+GroundResidentialFee)*(1+GroundFuelSurcharge),2)))*(1+FedEx_Markup),2)"),47.08)</f>
        <v>47.08</v>
      </c>
      <c r="H62" s="275">
        <f>IFERROR(__xludf.DUMMYFUNCTION("ROUND((IF(SINGLE('Ground Base'!H$154)&gt;ROUND(((1-GroundResDiscount31Up-GroundResIncentive)*'Ground Base'!H57),2),ROUND((SINGLE('Ground Base'!H$154)+GroundResidentialFee)*(1+GroundFuelSurcharge),2),ROUND((((1-GroundResDiscount31Up-GroundResIncentive)*'Groun"&amp;"d Base'!H57)+GroundResidentialFee)*(1+GroundFuelSurcharge),2)))*(1+FedEx_Markup),2)"),52.99)</f>
        <v>52.99</v>
      </c>
      <c r="I62" s="275">
        <f>ROUND((IF('Ground Base'!I$154&gt;ROUND(((1-GroundAKHIDiscount)*'Ground Base'!I57),2),ROUND(('Ground Base'!I$154+GroundResidentialFee)*(1+GroundFuelSurcharge),2),ROUND((((1-GroundAKHIDiscount)*'Ground Base'!I57)+GroundResidentialFee)*(1+GroundFuelSurcharge),2)))*(1+FedEx_Markup),2)</f>
        <v>253.94</v>
      </c>
      <c r="J62" s="275">
        <f>ROUND((IF('Ground Base'!J$154&gt;ROUND(((1-GroundAKHIDiscount)*'Ground Base'!J57),2),ROUND(('Ground Base'!J$154+GroundResidentialFee)*(1+GroundFuelSurcharge),2),ROUND((((1-GroundAKHIDiscount)*'Ground Base'!J57)+GroundResidentialFee)*(1+GroundFuelSurcharge),2)))*(1+FedEx_Markup),2)</f>
        <v>253.94</v>
      </c>
      <c r="K62" s="275">
        <f>ROUND((IF('Ground Base'!K$154&gt;ROUND(((1-GroundZone51Discount)*'Ground Base'!K57),2),ROUND(('Ground Base'!K$154+GroundResidentialFee)*(1+GroundFuelSurcharge),2),ROUND((((1-GroundZone51Discount)*'Ground Base'!K57)+GroundResidentialFee)*(1+GroundFuelSurcharge),2)))*(1+FedEx_Markup),2)</f>
        <v>80.89</v>
      </c>
      <c r="L62" s="275">
        <f>ROUND((IF('Ground Base'!L$154&gt;ROUND(((1-GroundZone54Discount)*'Ground Base'!L57),2),ROUND(('Ground Base'!L$154+GroundResidentialFee)*(1+GroundFuelSurcharge),2),ROUND((((1-GroundZone54Discount)*'Ground Base'!L57)+GroundResidentialFee)*(1+GroundFuelSurcharge),2)))*(1+FedEx_Markup),2)</f>
        <v>92.62</v>
      </c>
    </row>
    <row r="63" ht="12.75" customHeight="1">
      <c r="A63" s="274">
        <v>56.0</v>
      </c>
      <c r="B63" s="275">
        <f>IFERROR(__xludf.DUMMYFUNCTION("ROUND((IF(SINGLE('Ground Base'!B$154)&gt;ROUND(((1-GroundResDiscount31Up-GroundResIncentive)*'Ground Base'!B58),2),ROUND((SINGLE('Ground Base'!B$154)+GroundResidentialFee)*(1+GroundFuelSurcharge),2),ROUND((((1-GroundResDiscount31Up-GroundResIncentive)*'Groun"&amp;"d Base'!B58)+GroundResidentialFee)*(1+GroundFuelSurcharge),2)))*(1+FedEx_Markup),2)"),18.68)</f>
        <v>18.68</v>
      </c>
      <c r="C63" s="275">
        <f>IFERROR(__xludf.DUMMYFUNCTION("ROUND((IF(SINGLE('Ground Base'!C$154)&gt;ROUND(((1-GroundResDiscount31Up-GroundResIncentive)*'Ground Base'!C58),2),ROUND((SINGLE('Ground Base'!C$154)+GroundResidentialFee)*(1+GroundFuelSurcharge),2),ROUND((((1-GroundResDiscount31Up-GroundResIncentive)*'Groun"&amp;"d Base'!C58)+GroundResidentialFee)*(1+GroundFuelSurcharge),2)))*(1+FedEx_Markup),2)"),22.63)</f>
        <v>22.63</v>
      </c>
      <c r="D63" s="275">
        <f>IFERROR(__xludf.DUMMYFUNCTION("ROUND((IF(SINGLE('Ground Base'!D$154)&gt;ROUND(((1-GroundResDiscount31Up-GroundResIncentive)*'Ground Base'!D58),2),ROUND((SINGLE('Ground Base'!D$154)+GroundResidentialFee)*(1+GroundFuelSurcharge),2),ROUND((((1-GroundResDiscount31Up-GroundResIncentive)*'Groun"&amp;"d Base'!D58)+GroundResidentialFee)*(1+GroundFuelSurcharge),2)))*(1+FedEx_Markup),2)"),26.67)</f>
        <v>26.67</v>
      </c>
      <c r="E63" s="275">
        <f>IFERROR(__xludf.DUMMYFUNCTION("ROUND((IF(SINGLE('Ground Base'!E$154)&gt;ROUND(((1-GroundResDiscount31Up-GroundResIncentive)*'Ground Base'!E58),2),ROUND((SINGLE('Ground Base'!E$154)+GroundResidentialFee)*(1+GroundFuelSurcharge),2),ROUND((((1-GroundResDiscount31Up-GroundResIncentive)*'Groun"&amp;"d Base'!E58)+GroundResidentialFee)*(1+GroundFuelSurcharge),2)))*(1+FedEx_Markup),2)"),32.03)</f>
        <v>32.03</v>
      </c>
      <c r="F63" s="275">
        <f>IFERROR(__xludf.DUMMYFUNCTION("ROUND((IF(SINGLE('Ground Base'!F$154)&gt;ROUND(((1-GroundResDiscount31Up-GroundResIncentive)*'Ground Base'!F58),2),ROUND((SINGLE('Ground Base'!F$154)+GroundResidentialFee)*(1+GroundFuelSurcharge),2),ROUND((((1-GroundResDiscount31Up-GroundResIncentive)*'Groun"&amp;"d Base'!F58)+GroundResidentialFee)*(1+GroundFuelSurcharge),2)))*(1+FedEx_Markup),2)"),39.47)</f>
        <v>39.47</v>
      </c>
      <c r="G63" s="275">
        <f>IFERROR(__xludf.DUMMYFUNCTION("ROUND((IF(SINGLE('Ground Base'!G$154)&gt;ROUND(((1-GroundResDiscount31Up-GroundResIncentive)*'Ground Base'!G58),2),ROUND((SINGLE('Ground Base'!G$154)+GroundResidentialFee)*(1+GroundFuelSurcharge),2),ROUND((((1-GroundResDiscount31Up-GroundResIncentive)*'Groun"&amp;"d Base'!G58)+GroundResidentialFee)*(1+GroundFuelSurcharge),2)))*(1+FedEx_Markup),2)"),47.09)</f>
        <v>47.09</v>
      </c>
      <c r="H63" s="275">
        <f>IFERROR(__xludf.DUMMYFUNCTION("ROUND((IF(SINGLE('Ground Base'!H$154)&gt;ROUND(((1-GroundResDiscount31Up-GroundResIncentive)*'Ground Base'!H58),2),ROUND((SINGLE('Ground Base'!H$154)+GroundResidentialFee)*(1+GroundFuelSurcharge),2),ROUND((((1-GroundResDiscount31Up-GroundResIncentive)*'Groun"&amp;"d Base'!H58)+GroundResidentialFee)*(1+GroundFuelSurcharge),2)))*(1+FedEx_Markup),2)"),53.62)</f>
        <v>53.62</v>
      </c>
      <c r="I63" s="275">
        <f>ROUND((IF('Ground Base'!I$154&gt;ROUND(((1-GroundAKHIDiscount)*'Ground Base'!I58),2),ROUND(('Ground Base'!I$154+GroundResidentialFee)*(1+GroundFuelSurcharge),2),ROUND((((1-GroundAKHIDiscount)*'Ground Base'!I58)+GroundResidentialFee)*(1+GroundFuelSurcharge),2)))*(1+FedEx_Markup),2)</f>
        <v>257.32</v>
      </c>
      <c r="J63" s="275">
        <f>ROUND((IF('Ground Base'!J$154&gt;ROUND(((1-GroundAKHIDiscount)*'Ground Base'!J58),2),ROUND(('Ground Base'!J$154+GroundResidentialFee)*(1+GroundFuelSurcharge),2),ROUND((((1-GroundAKHIDiscount)*'Ground Base'!J58)+GroundResidentialFee)*(1+GroundFuelSurcharge),2)))*(1+FedEx_Markup),2)</f>
        <v>257.32</v>
      </c>
      <c r="K63" s="275">
        <f>ROUND((IF('Ground Base'!K$154&gt;ROUND(((1-GroundZone51Discount)*'Ground Base'!K58),2),ROUND(('Ground Base'!K$154+GroundResidentialFee)*(1+GroundFuelSurcharge),2),ROUND((((1-GroundZone51Discount)*'Ground Base'!K58)+GroundResidentialFee)*(1+GroundFuelSurcharge),2)))*(1+FedEx_Markup),2)</f>
        <v>80.9</v>
      </c>
      <c r="L63" s="275">
        <f>ROUND((IF('Ground Base'!L$154&gt;ROUND(((1-GroundZone54Discount)*'Ground Base'!L58),2),ROUND(('Ground Base'!L$154+GroundResidentialFee)*(1+GroundFuelSurcharge),2),ROUND((((1-GroundZone54Discount)*'Ground Base'!L58)+GroundResidentialFee)*(1+GroundFuelSurcharge),2)))*(1+FedEx_Markup),2)</f>
        <v>92.62</v>
      </c>
    </row>
    <row r="64" ht="12.75" customHeight="1">
      <c r="A64" s="274">
        <v>57.0</v>
      </c>
      <c r="B64" s="275">
        <f>IFERROR(__xludf.DUMMYFUNCTION("ROUND((IF(SINGLE('Ground Base'!B$154)&gt;ROUND(((1-GroundResDiscount31Up-GroundResIncentive)*'Ground Base'!B59),2),ROUND((SINGLE('Ground Base'!B$154)+GroundResidentialFee)*(1+GroundFuelSurcharge),2),ROUND((((1-GroundResDiscount31Up-GroundResIncentive)*'Groun"&amp;"d Base'!B59)+GroundResidentialFee)*(1+GroundFuelSurcharge),2)))*(1+FedEx_Markup),2)"),18.95)</f>
        <v>18.95</v>
      </c>
      <c r="C64" s="275">
        <f>IFERROR(__xludf.DUMMYFUNCTION("ROUND((IF(SINGLE('Ground Base'!C$154)&gt;ROUND(((1-GroundResDiscount31Up-GroundResIncentive)*'Ground Base'!C59),2),ROUND((SINGLE('Ground Base'!C$154)+GroundResidentialFee)*(1+GroundFuelSurcharge),2),ROUND((((1-GroundResDiscount31Up-GroundResIncentive)*'Groun"&amp;"d Base'!C59)+GroundResidentialFee)*(1+GroundFuelSurcharge),2)))*(1+FedEx_Markup),2)"),22.74)</f>
        <v>22.74</v>
      </c>
      <c r="D64" s="275">
        <f>IFERROR(__xludf.DUMMYFUNCTION("ROUND((IF(SINGLE('Ground Base'!D$154)&gt;ROUND(((1-GroundResDiscount31Up-GroundResIncentive)*'Ground Base'!D59),2),ROUND((SINGLE('Ground Base'!D$154)+GroundResidentialFee)*(1+GroundFuelSurcharge),2),ROUND((((1-GroundResDiscount31Up-GroundResIncentive)*'Groun"&amp;"d Base'!D59)+GroundResidentialFee)*(1+GroundFuelSurcharge),2)))*(1+FedEx_Markup),2)"),26.67)</f>
        <v>26.67</v>
      </c>
      <c r="E64" s="275">
        <f>IFERROR(__xludf.DUMMYFUNCTION("ROUND((IF(SINGLE('Ground Base'!E$154)&gt;ROUND(((1-GroundResDiscount31Up-GroundResIncentive)*'Ground Base'!E59),2),ROUND((SINGLE('Ground Base'!E$154)+GroundResidentialFee)*(1+GroundFuelSurcharge),2),ROUND((((1-GroundResDiscount31Up-GroundResIncentive)*'Groun"&amp;"d Base'!E59)+GroundResidentialFee)*(1+GroundFuelSurcharge),2)))*(1+FedEx_Markup),2)"),32.9)</f>
        <v>32.9</v>
      </c>
      <c r="F64" s="275">
        <f>IFERROR(__xludf.DUMMYFUNCTION("ROUND((IF(SINGLE('Ground Base'!F$154)&gt;ROUND(((1-GroundResDiscount31Up-GroundResIncentive)*'Ground Base'!F59),2),ROUND((SINGLE('Ground Base'!F$154)+GroundResidentialFee)*(1+GroundFuelSurcharge),2),ROUND((((1-GroundResDiscount31Up-GroundResIncentive)*'Groun"&amp;"d Base'!F59)+GroundResidentialFee)*(1+GroundFuelSurcharge),2)))*(1+FedEx_Markup),2)"),39.48)</f>
        <v>39.48</v>
      </c>
      <c r="G64" s="275">
        <f>IFERROR(__xludf.DUMMYFUNCTION("ROUND((IF(SINGLE('Ground Base'!G$154)&gt;ROUND(((1-GroundResDiscount31Up-GroundResIncentive)*'Ground Base'!G59),2),ROUND((SINGLE('Ground Base'!G$154)+GroundResidentialFee)*(1+GroundFuelSurcharge),2),ROUND((((1-GroundResDiscount31Up-GroundResIncentive)*'Groun"&amp;"d Base'!G59)+GroundResidentialFee)*(1+GroundFuelSurcharge),2)))*(1+FedEx_Markup),2)"),47.09)</f>
        <v>47.09</v>
      </c>
      <c r="H64" s="275">
        <f>IFERROR(__xludf.DUMMYFUNCTION("ROUND((IF(SINGLE('Ground Base'!H$154)&gt;ROUND(((1-GroundResDiscount31Up-GroundResIncentive)*'Ground Base'!H59),2),ROUND((SINGLE('Ground Base'!H$154)+GroundResidentialFee)*(1+GroundFuelSurcharge),2),ROUND((((1-GroundResDiscount31Up-GroundResIncentive)*'Groun"&amp;"d Base'!H59)+GroundResidentialFee)*(1+GroundFuelSurcharge),2)))*(1+FedEx_Markup),2)"),54.13)</f>
        <v>54.13</v>
      </c>
      <c r="I64" s="275">
        <f>ROUND((IF('Ground Base'!I$154&gt;ROUND(((1-GroundAKHIDiscount)*'Ground Base'!I59),2),ROUND(('Ground Base'!I$154+GroundResidentialFee)*(1+GroundFuelSurcharge),2),ROUND((((1-GroundAKHIDiscount)*'Ground Base'!I59)+GroundResidentialFee)*(1+GroundFuelSurcharge),2)))*(1+FedEx_Markup),2)</f>
        <v>260.83</v>
      </c>
      <c r="J64" s="275">
        <f>ROUND((IF('Ground Base'!J$154&gt;ROUND(((1-GroundAKHIDiscount)*'Ground Base'!J59),2),ROUND(('Ground Base'!J$154+GroundResidentialFee)*(1+GroundFuelSurcharge),2),ROUND((((1-GroundAKHIDiscount)*'Ground Base'!J59)+GroundResidentialFee)*(1+GroundFuelSurcharge),2)))*(1+FedEx_Markup),2)</f>
        <v>260.83</v>
      </c>
      <c r="K64" s="275">
        <f>ROUND((IF('Ground Base'!K$154&gt;ROUND(((1-GroundZone51Discount)*'Ground Base'!K59),2),ROUND(('Ground Base'!K$154+GroundResidentialFee)*(1+GroundFuelSurcharge),2),ROUND((((1-GroundZone51Discount)*'Ground Base'!K59)+GroundResidentialFee)*(1+GroundFuelSurcharge),2)))*(1+FedEx_Markup),2)</f>
        <v>82.34</v>
      </c>
      <c r="L64" s="275">
        <f>ROUND((IF('Ground Base'!L$154&gt;ROUND(((1-GroundZone54Discount)*'Ground Base'!L59),2),ROUND(('Ground Base'!L$154+GroundResidentialFee)*(1+GroundFuelSurcharge),2),ROUND((((1-GroundZone54Discount)*'Ground Base'!L59)+GroundResidentialFee)*(1+GroundFuelSurcharge),2)))*(1+FedEx_Markup),2)</f>
        <v>94.44</v>
      </c>
    </row>
    <row r="65" ht="12.75" customHeight="1">
      <c r="A65" s="274">
        <v>58.0</v>
      </c>
      <c r="B65" s="275">
        <f>IFERROR(__xludf.DUMMYFUNCTION("ROUND((IF(SINGLE('Ground Base'!B$154)&gt;ROUND(((1-GroundResDiscount31Up-GroundResIncentive)*'Ground Base'!B60),2),ROUND((SINGLE('Ground Base'!B$154)+GroundResidentialFee)*(1+GroundFuelSurcharge),2),ROUND((((1-GroundResDiscount31Up-GroundResIncentive)*'Groun"&amp;"d Base'!B60)+GroundResidentialFee)*(1+GroundFuelSurcharge),2)))*(1+FedEx_Markup),2)"),18.96)</f>
        <v>18.96</v>
      </c>
      <c r="C65" s="275">
        <f>IFERROR(__xludf.DUMMYFUNCTION("ROUND((IF(SINGLE('Ground Base'!C$154)&gt;ROUND(((1-GroundResDiscount31Up-GroundResIncentive)*'Ground Base'!C60),2),ROUND((SINGLE('Ground Base'!C$154)+GroundResidentialFee)*(1+GroundFuelSurcharge),2),ROUND((((1-GroundResDiscount31Up-GroundResIncentive)*'Groun"&amp;"d Base'!C60)+GroundResidentialFee)*(1+GroundFuelSurcharge),2)))*(1+FedEx_Markup),2)"),22.75)</f>
        <v>22.75</v>
      </c>
      <c r="D65" s="275">
        <f>IFERROR(__xludf.DUMMYFUNCTION("ROUND((IF(SINGLE('Ground Base'!D$154)&gt;ROUND(((1-GroundResDiscount31Up-GroundResIncentive)*'Ground Base'!D60),2),ROUND((SINGLE('Ground Base'!D$154)+GroundResidentialFee)*(1+GroundFuelSurcharge),2),ROUND((((1-GroundResDiscount31Up-GroundResIncentive)*'Groun"&amp;"d Base'!D60)+GroundResidentialFee)*(1+GroundFuelSurcharge),2)))*(1+FedEx_Markup),2)"),26.68)</f>
        <v>26.68</v>
      </c>
      <c r="E65" s="275">
        <f>IFERROR(__xludf.DUMMYFUNCTION("ROUND((IF(SINGLE('Ground Base'!E$154)&gt;ROUND(((1-GroundResDiscount31Up-GroundResIncentive)*'Ground Base'!E60),2),ROUND((SINGLE('Ground Base'!E$154)+GroundResidentialFee)*(1+GroundFuelSurcharge),2),ROUND((((1-GroundResDiscount31Up-GroundResIncentive)*'Groun"&amp;"d Base'!E60)+GroundResidentialFee)*(1+GroundFuelSurcharge),2)))*(1+FedEx_Markup),2)"),32.91)</f>
        <v>32.91</v>
      </c>
      <c r="F65" s="275">
        <f>IFERROR(__xludf.DUMMYFUNCTION("ROUND((IF(SINGLE('Ground Base'!F$154)&gt;ROUND(((1-GroundResDiscount31Up-GroundResIncentive)*'Ground Base'!F60),2),ROUND((SINGLE('Ground Base'!F$154)+GroundResidentialFee)*(1+GroundFuelSurcharge),2),ROUND((((1-GroundResDiscount31Up-GroundResIncentive)*'Groun"&amp;"d Base'!F60)+GroundResidentialFee)*(1+GroundFuelSurcharge),2)))*(1+FedEx_Markup),2)"),39.49)</f>
        <v>39.49</v>
      </c>
      <c r="G65" s="275">
        <f>IFERROR(__xludf.DUMMYFUNCTION("ROUND((IF(SINGLE('Ground Base'!G$154)&gt;ROUND(((1-GroundResDiscount31Up-GroundResIncentive)*'Ground Base'!G60),2),ROUND((SINGLE('Ground Base'!G$154)+GroundResidentialFee)*(1+GroundFuelSurcharge),2),ROUND((((1-GroundResDiscount31Up-GroundResIncentive)*'Groun"&amp;"d Base'!G60)+GroundResidentialFee)*(1+GroundFuelSurcharge),2)))*(1+FedEx_Markup),2)"),47.1)</f>
        <v>47.1</v>
      </c>
      <c r="H65" s="275">
        <f>IFERROR(__xludf.DUMMYFUNCTION("ROUND((IF(SINGLE('Ground Base'!H$154)&gt;ROUND(((1-GroundResDiscount31Up-GroundResIncentive)*'Ground Base'!H60),2),ROUND((SINGLE('Ground Base'!H$154)+GroundResidentialFee)*(1+GroundFuelSurcharge),2),ROUND((((1-GroundResDiscount31Up-GroundResIncentive)*'Groun"&amp;"d Base'!H60)+GroundResidentialFee)*(1+GroundFuelSurcharge),2)))*(1+FedEx_Markup),2)"),54.59)</f>
        <v>54.59</v>
      </c>
      <c r="I65" s="275">
        <f>ROUND((IF('Ground Base'!I$154&gt;ROUND(((1-GroundAKHIDiscount)*'Ground Base'!I60),2),ROUND(('Ground Base'!I$154+GroundResidentialFee)*(1+GroundFuelSurcharge),2),ROUND((((1-GroundAKHIDiscount)*'Ground Base'!I60)+GroundResidentialFee)*(1+GroundFuelSurcharge),2)))*(1+FedEx_Markup),2)</f>
        <v>264.21</v>
      </c>
      <c r="J65" s="275">
        <f>ROUND((IF('Ground Base'!J$154&gt;ROUND(((1-GroundAKHIDiscount)*'Ground Base'!J60),2),ROUND(('Ground Base'!J$154+GroundResidentialFee)*(1+GroundFuelSurcharge),2),ROUND((((1-GroundAKHIDiscount)*'Ground Base'!J60)+GroundResidentialFee)*(1+GroundFuelSurcharge),2)))*(1+FedEx_Markup),2)</f>
        <v>264.21</v>
      </c>
      <c r="K65" s="275">
        <f>ROUND((IF('Ground Base'!K$154&gt;ROUND(((1-GroundZone51Discount)*'Ground Base'!K60),2),ROUND(('Ground Base'!K$154+GroundResidentialFee)*(1+GroundFuelSurcharge),2),ROUND((((1-GroundZone51Discount)*'Ground Base'!K60)+GroundResidentialFee)*(1+GroundFuelSurcharge),2)))*(1+FedEx_Markup),2)</f>
        <v>88.88</v>
      </c>
      <c r="L65" s="275">
        <f>ROUND((IF('Ground Base'!L$154&gt;ROUND(((1-GroundZone54Discount)*'Ground Base'!L60),2),ROUND(('Ground Base'!L$154+GroundResidentialFee)*(1+GroundFuelSurcharge),2),ROUND((((1-GroundZone54Discount)*'Ground Base'!L60)+GroundResidentialFee)*(1+GroundFuelSurcharge),2)))*(1+FedEx_Markup),2)</f>
        <v>94.45</v>
      </c>
    </row>
    <row r="66" ht="12.75" customHeight="1">
      <c r="A66" s="274">
        <v>59.0</v>
      </c>
      <c r="B66" s="275">
        <f>IFERROR(__xludf.DUMMYFUNCTION("ROUND((IF(SINGLE('Ground Base'!B$154)&gt;ROUND(((1-GroundResDiscount31Up-GroundResIncentive)*'Ground Base'!B61),2),ROUND((SINGLE('Ground Base'!B$154)+GroundResidentialFee)*(1+GroundFuelSurcharge),2),ROUND((((1-GroundResDiscount31Up-GroundResIncentive)*'Groun"&amp;"d Base'!B61)+GroundResidentialFee)*(1+GroundFuelSurcharge),2)))*(1+FedEx_Markup),2)"),18.98)</f>
        <v>18.98</v>
      </c>
      <c r="C66" s="275">
        <f>IFERROR(__xludf.DUMMYFUNCTION("ROUND((IF(SINGLE('Ground Base'!C$154)&gt;ROUND(((1-GroundResDiscount31Up-GroundResIncentive)*'Ground Base'!C61),2),ROUND((SINGLE('Ground Base'!C$154)+GroundResidentialFee)*(1+GroundFuelSurcharge),2),ROUND((((1-GroundResDiscount31Up-GroundResIncentive)*'Groun"&amp;"d Base'!C61)+GroundResidentialFee)*(1+GroundFuelSurcharge),2)))*(1+FedEx_Markup),2)"),22.76)</f>
        <v>22.76</v>
      </c>
      <c r="D66" s="275">
        <f>IFERROR(__xludf.DUMMYFUNCTION("ROUND((IF(SINGLE('Ground Base'!D$154)&gt;ROUND(((1-GroundResDiscount31Up-GroundResIncentive)*'Ground Base'!D61),2),ROUND((SINGLE('Ground Base'!D$154)+GroundResidentialFee)*(1+GroundFuelSurcharge),2),ROUND((((1-GroundResDiscount31Up-GroundResIncentive)*'Groun"&amp;"d Base'!D61)+GroundResidentialFee)*(1+GroundFuelSurcharge),2)))*(1+FedEx_Markup),2)"),26.85)</f>
        <v>26.85</v>
      </c>
      <c r="E66" s="275">
        <f>IFERROR(__xludf.DUMMYFUNCTION("ROUND((IF(SINGLE('Ground Base'!E$154)&gt;ROUND(((1-GroundResDiscount31Up-GroundResIncentive)*'Ground Base'!E61),2),ROUND((SINGLE('Ground Base'!E$154)+GroundResidentialFee)*(1+GroundFuelSurcharge),2),ROUND((((1-GroundResDiscount31Up-GroundResIncentive)*'Groun"&amp;"d Base'!E61)+GroundResidentialFee)*(1+GroundFuelSurcharge),2)))*(1+FedEx_Markup),2)"),32.92)</f>
        <v>32.92</v>
      </c>
      <c r="F66" s="275">
        <f>IFERROR(__xludf.DUMMYFUNCTION("ROUND((IF(SINGLE('Ground Base'!F$154)&gt;ROUND(((1-GroundResDiscount31Up-GroundResIncentive)*'Ground Base'!F61),2),ROUND((SINGLE('Ground Base'!F$154)+GroundResidentialFee)*(1+GroundFuelSurcharge),2),ROUND((((1-GroundResDiscount31Up-GroundResIncentive)*'Groun"&amp;"d Base'!F61)+GroundResidentialFee)*(1+GroundFuelSurcharge),2)))*(1+FedEx_Markup),2)"),39.74)</f>
        <v>39.74</v>
      </c>
      <c r="G66" s="275">
        <f>IFERROR(__xludf.DUMMYFUNCTION("ROUND((IF(SINGLE('Ground Base'!G$154)&gt;ROUND(((1-GroundResDiscount31Up-GroundResIncentive)*'Ground Base'!G61),2),ROUND((SINGLE('Ground Base'!G$154)+GroundResidentialFee)*(1+GroundFuelSurcharge),2),ROUND((((1-GroundResDiscount31Up-GroundResIncentive)*'Groun"&amp;"d Base'!G61)+GroundResidentialFee)*(1+GroundFuelSurcharge),2)))*(1+FedEx_Markup),2)"),47.1)</f>
        <v>47.1</v>
      </c>
      <c r="H66" s="275">
        <f>IFERROR(__xludf.DUMMYFUNCTION("ROUND((IF(SINGLE('Ground Base'!H$154)&gt;ROUND(((1-GroundResDiscount31Up-GroundResIncentive)*'Ground Base'!H61),2),ROUND((SINGLE('Ground Base'!H$154)+GroundResidentialFee)*(1+GroundFuelSurcharge),2),ROUND((((1-GroundResDiscount31Up-GroundResIncentive)*'Groun"&amp;"d Base'!H61)+GroundResidentialFee)*(1+GroundFuelSurcharge),2)))*(1+FedEx_Markup),2)"),55.45)</f>
        <v>55.45</v>
      </c>
      <c r="I66" s="275">
        <f>ROUND((IF('Ground Base'!I$154&gt;ROUND(((1-GroundAKHIDiscount)*'Ground Base'!I61),2),ROUND(('Ground Base'!I$154+GroundResidentialFee)*(1+GroundFuelSurcharge),2),ROUND((((1-GroundAKHIDiscount)*'Ground Base'!I61)+GroundResidentialFee)*(1+GroundFuelSurcharge),2)))*(1+FedEx_Markup),2)</f>
        <v>268.18</v>
      </c>
      <c r="J66" s="275">
        <f>ROUND((IF('Ground Base'!J$154&gt;ROUND(((1-GroundAKHIDiscount)*'Ground Base'!J61),2),ROUND(('Ground Base'!J$154+GroundResidentialFee)*(1+GroundFuelSurcharge),2),ROUND((((1-GroundAKHIDiscount)*'Ground Base'!J61)+GroundResidentialFee)*(1+GroundFuelSurcharge),2)))*(1+FedEx_Markup),2)</f>
        <v>268.18</v>
      </c>
      <c r="K66" s="275">
        <f>ROUND((IF('Ground Base'!K$154&gt;ROUND(((1-GroundZone51Discount)*'Ground Base'!K61),2),ROUND(('Ground Base'!K$154+GroundResidentialFee)*(1+GroundFuelSurcharge),2),ROUND((((1-GroundZone51Discount)*'Ground Base'!K61)+GroundResidentialFee)*(1+GroundFuelSurcharge),2)))*(1+FedEx_Markup),2)</f>
        <v>88.9</v>
      </c>
      <c r="L66" s="275">
        <f>ROUND((IF('Ground Base'!L$154&gt;ROUND(((1-GroundZone54Discount)*'Ground Base'!L61),2),ROUND(('Ground Base'!L$154+GroundResidentialFee)*(1+GroundFuelSurcharge),2),ROUND((((1-GroundZone54Discount)*'Ground Base'!L61)+GroundResidentialFee)*(1+GroundFuelSurcharge),2)))*(1+FedEx_Markup),2)</f>
        <v>96.06</v>
      </c>
    </row>
    <row r="67" ht="12.75" customHeight="1">
      <c r="A67" s="274">
        <v>60.0</v>
      </c>
      <c r="B67" s="275">
        <f>IFERROR(__xludf.DUMMYFUNCTION("ROUND((IF(SINGLE('Ground Base'!B$154)&gt;ROUND(((1-GroundResDiscount31Up-GroundResIncentive)*'Ground Base'!B62),2),ROUND((SINGLE('Ground Base'!B$154)+GroundResidentialFee)*(1+GroundFuelSurcharge),2),ROUND((((1-GroundResDiscount31Up-GroundResIncentive)*'Groun"&amp;"d Base'!B62)+GroundResidentialFee)*(1+GroundFuelSurcharge),2)))*(1+FedEx_Markup),2)"),19.42)</f>
        <v>19.42</v>
      </c>
      <c r="C67" s="275">
        <f>IFERROR(__xludf.DUMMYFUNCTION("ROUND((IF(SINGLE('Ground Base'!C$154)&gt;ROUND(((1-GroundResDiscount31Up-GroundResIncentive)*'Ground Base'!C62),2),ROUND((SINGLE('Ground Base'!C$154)+GroundResidentialFee)*(1+GroundFuelSurcharge),2),ROUND((((1-GroundResDiscount31Up-GroundResIncentive)*'Groun"&amp;"d Base'!C62)+GroundResidentialFee)*(1+GroundFuelSurcharge),2)))*(1+FedEx_Markup),2)"),23.53)</f>
        <v>23.53</v>
      </c>
      <c r="D67" s="275">
        <f>IFERROR(__xludf.DUMMYFUNCTION("ROUND((IF(SINGLE('Ground Base'!D$154)&gt;ROUND(((1-GroundResDiscount31Up-GroundResIncentive)*'Ground Base'!D62),2),ROUND((SINGLE('Ground Base'!D$154)+GroundResidentialFee)*(1+GroundFuelSurcharge),2),ROUND((((1-GroundResDiscount31Up-GroundResIncentive)*'Groun"&amp;"d Base'!D62)+GroundResidentialFee)*(1+GroundFuelSurcharge),2)))*(1+FedEx_Markup),2)"),27.27)</f>
        <v>27.27</v>
      </c>
      <c r="E67" s="275">
        <f>IFERROR(__xludf.DUMMYFUNCTION("ROUND((IF(SINGLE('Ground Base'!E$154)&gt;ROUND(((1-GroundResDiscount31Up-GroundResIncentive)*'Ground Base'!E62),2),ROUND((SINGLE('Ground Base'!E$154)+GroundResidentialFee)*(1+GroundFuelSurcharge),2),ROUND((((1-GroundResDiscount31Up-GroundResIncentive)*'Groun"&amp;"d Base'!E62)+GroundResidentialFee)*(1+GroundFuelSurcharge),2)))*(1+FedEx_Markup),2)"),33.99)</f>
        <v>33.99</v>
      </c>
      <c r="F67" s="275">
        <f>IFERROR(__xludf.DUMMYFUNCTION("ROUND((IF(SINGLE('Ground Base'!F$154)&gt;ROUND(((1-GroundResDiscount31Up-GroundResIncentive)*'Ground Base'!F62),2),ROUND((SINGLE('Ground Base'!F$154)+GroundResidentialFee)*(1+GroundFuelSurcharge),2),ROUND((((1-GroundResDiscount31Up-GroundResIncentive)*'Groun"&amp;"d Base'!F62)+GroundResidentialFee)*(1+GroundFuelSurcharge),2)))*(1+FedEx_Markup),2)"),40.43)</f>
        <v>40.43</v>
      </c>
      <c r="G67" s="275">
        <f>IFERROR(__xludf.DUMMYFUNCTION("ROUND((IF(SINGLE('Ground Base'!G$154)&gt;ROUND(((1-GroundResDiscount31Up-GroundResIncentive)*'Ground Base'!G62),2),ROUND((SINGLE('Ground Base'!G$154)+GroundResidentialFee)*(1+GroundFuelSurcharge),2),ROUND((((1-GroundResDiscount31Up-GroundResIncentive)*'Groun"&amp;"d Base'!G62)+GroundResidentialFee)*(1+GroundFuelSurcharge),2)))*(1+FedEx_Markup),2)"),47.27)</f>
        <v>47.27</v>
      </c>
      <c r="H67" s="275">
        <f>IFERROR(__xludf.DUMMYFUNCTION("ROUND((IF(SINGLE('Ground Base'!H$154)&gt;ROUND(((1-GroundResDiscount31Up-GroundResIncentive)*'Ground Base'!H62),2),ROUND((SINGLE('Ground Base'!H$154)+GroundResidentialFee)*(1+GroundFuelSurcharge),2),ROUND((((1-GroundResDiscount31Up-GroundResIncentive)*'Groun"&amp;"d Base'!H62)+GroundResidentialFee)*(1+GroundFuelSurcharge),2)))*(1+FedEx_Markup),2)"),55.76)</f>
        <v>55.76</v>
      </c>
      <c r="I67" s="275">
        <f>ROUND((IF('Ground Base'!I$154&gt;ROUND(((1-GroundAKHIDiscount)*'Ground Base'!I62),2),ROUND(('Ground Base'!I$154+GroundResidentialFee)*(1+GroundFuelSurcharge),2),ROUND((((1-GroundAKHIDiscount)*'Ground Base'!I62)+GroundResidentialFee)*(1+GroundFuelSurcharge),2)))*(1+FedEx_Markup),2)</f>
        <v>272.32</v>
      </c>
      <c r="J67" s="275">
        <f>ROUND((IF('Ground Base'!J$154&gt;ROUND(((1-GroundAKHIDiscount)*'Ground Base'!J62),2),ROUND(('Ground Base'!J$154+GroundResidentialFee)*(1+GroundFuelSurcharge),2),ROUND((((1-GroundAKHIDiscount)*'Ground Base'!J62)+GroundResidentialFee)*(1+GroundFuelSurcharge),2)))*(1+FedEx_Markup),2)</f>
        <v>272.32</v>
      </c>
      <c r="K67" s="275">
        <f>ROUND((IF('Ground Base'!K$154&gt;ROUND(((1-GroundZone51Discount)*'Ground Base'!K62),2),ROUND(('Ground Base'!K$154+GroundResidentialFee)*(1+GroundFuelSurcharge),2),ROUND((((1-GroundZone51Discount)*'Ground Base'!K62)+GroundResidentialFee)*(1+GroundFuelSurcharge),2)))*(1+FedEx_Markup),2)</f>
        <v>88.91</v>
      </c>
      <c r="L67" s="275">
        <f>ROUND((IF('Ground Base'!L$154&gt;ROUND(((1-GroundZone54Discount)*'Ground Base'!L62),2),ROUND(('Ground Base'!L$154+GroundResidentialFee)*(1+GroundFuelSurcharge),2),ROUND((((1-GroundZone54Discount)*'Ground Base'!L62)+GroundResidentialFee)*(1+GroundFuelSurcharge),2)))*(1+FedEx_Markup),2)</f>
        <v>96.07</v>
      </c>
    </row>
    <row r="68" ht="12.75" customHeight="1">
      <c r="A68" s="274">
        <v>61.0</v>
      </c>
      <c r="B68" s="275">
        <f>IFERROR(__xludf.DUMMYFUNCTION("ROUND((IF(SINGLE('Ground Base'!B$154)&gt;ROUND(((1-GroundResDiscount31Up-GroundResIncentive)*'Ground Base'!B63),2),ROUND((SINGLE('Ground Base'!B$154)+GroundResidentialFee)*(1+GroundFuelSurcharge),2),ROUND((((1-GroundResDiscount31Up-GroundResIncentive)*'Groun"&amp;"d Base'!B63)+GroundResidentialFee)*(1+GroundFuelSurcharge),2)))*(1+FedEx_Markup),2)"),19.42)</f>
        <v>19.42</v>
      </c>
      <c r="C68" s="275">
        <f>IFERROR(__xludf.DUMMYFUNCTION("ROUND((IF(SINGLE('Ground Base'!C$154)&gt;ROUND(((1-GroundResDiscount31Up-GroundResIncentive)*'Ground Base'!C63),2),ROUND((SINGLE('Ground Base'!C$154)+GroundResidentialFee)*(1+GroundFuelSurcharge),2),ROUND((((1-GroundResDiscount31Up-GroundResIncentive)*'Groun"&amp;"d Base'!C63)+GroundResidentialFee)*(1+GroundFuelSurcharge),2)))*(1+FedEx_Markup),2)"),23.59)</f>
        <v>23.59</v>
      </c>
      <c r="D68" s="275">
        <f>IFERROR(__xludf.DUMMYFUNCTION("ROUND((IF(SINGLE('Ground Base'!D$154)&gt;ROUND(((1-GroundResDiscount31Up-GroundResIncentive)*'Ground Base'!D63),2),ROUND((SINGLE('Ground Base'!D$154)+GroundResidentialFee)*(1+GroundFuelSurcharge),2),ROUND((((1-GroundResDiscount31Up-GroundResIncentive)*'Groun"&amp;"d Base'!D63)+GroundResidentialFee)*(1+GroundFuelSurcharge),2)))*(1+FedEx_Markup),2)"),27.5)</f>
        <v>27.5</v>
      </c>
      <c r="E68" s="275">
        <f>IFERROR(__xludf.DUMMYFUNCTION("ROUND((IF(SINGLE('Ground Base'!E$154)&gt;ROUND(((1-GroundResDiscount31Up-GroundResIncentive)*'Ground Base'!E63),2),ROUND((SINGLE('Ground Base'!E$154)+GroundResidentialFee)*(1+GroundFuelSurcharge),2),ROUND((((1-GroundResDiscount31Up-GroundResIncentive)*'Groun"&amp;"d Base'!E63)+GroundResidentialFee)*(1+GroundFuelSurcharge),2)))*(1+FedEx_Markup),2)"),34.06)</f>
        <v>34.06</v>
      </c>
      <c r="F68" s="275">
        <f>IFERROR(__xludf.DUMMYFUNCTION("ROUND((IF(SINGLE('Ground Base'!F$154)&gt;ROUND(((1-GroundResDiscount31Up-GroundResIncentive)*'Ground Base'!F63),2),ROUND((SINGLE('Ground Base'!F$154)+GroundResidentialFee)*(1+GroundFuelSurcharge),2),ROUND((((1-GroundResDiscount31Up-GroundResIncentive)*'Groun"&amp;"d Base'!F63)+GroundResidentialFee)*(1+GroundFuelSurcharge),2)))*(1+FedEx_Markup),2)"),40.43)</f>
        <v>40.43</v>
      </c>
      <c r="G68" s="275">
        <f>IFERROR(__xludf.DUMMYFUNCTION("ROUND((IF(SINGLE('Ground Base'!G$154)&gt;ROUND(((1-GroundResDiscount31Up-GroundResIncentive)*'Ground Base'!G63),2),ROUND((SINGLE('Ground Base'!G$154)+GroundResidentialFee)*(1+GroundFuelSurcharge),2),ROUND((((1-GroundResDiscount31Up-GroundResIncentive)*'Groun"&amp;"d Base'!G63)+GroundResidentialFee)*(1+GroundFuelSurcharge),2)))*(1+FedEx_Markup),2)"),47.28)</f>
        <v>47.28</v>
      </c>
      <c r="H68" s="275">
        <f>IFERROR(__xludf.DUMMYFUNCTION("ROUND((IF(SINGLE('Ground Base'!H$154)&gt;ROUND(((1-GroundResDiscount31Up-GroundResIncentive)*'Ground Base'!H63),2),ROUND((SINGLE('Ground Base'!H$154)+GroundResidentialFee)*(1+GroundFuelSurcharge),2),ROUND((((1-GroundResDiscount31Up-GroundResIncentive)*'Groun"&amp;"d Base'!H63)+GroundResidentialFee)*(1+GroundFuelSurcharge),2)))*(1+FedEx_Markup),2)"),55.78)</f>
        <v>55.78</v>
      </c>
      <c r="I68" s="275">
        <f>ROUND((IF('Ground Base'!I$154&gt;ROUND(((1-GroundAKHIDiscount)*'Ground Base'!I63),2),ROUND(('Ground Base'!I$154+GroundResidentialFee)*(1+GroundFuelSurcharge),2),ROUND((((1-GroundAKHIDiscount)*'Ground Base'!I63)+GroundResidentialFee)*(1+GroundFuelSurcharge),2)))*(1+FedEx_Markup),2)</f>
        <v>275.64</v>
      </c>
      <c r="J68" s="275">
        <f>ROUND((IF('Ground Base'!J$154&gt;ROUND(((1-GroundAKHIDiscount)*'Ground Base'!J63),2),ROUND(('Ground Base'!J$154+GroundResidentialFee)*(1+GroundFuelSurcharge),2),ROUND((((1-GroundAKHIDiscount)*'Ground Base'!J63)+GroundResidentialFee)*(1+GroundFuelSurcharge),2)))*(1+FedEx_Markup),2)</f>
        <v>275.64</v>
      </c>
      <c r="K68" s="275">
        <f>ROUND((IF('Ground Base'!K$154&gt;ROUND(((1-GroundZone51Discount)*'Ground Base'!K63),2),ROUND(('Ground Base'!K$154+GroundResidentialFee)*(1+GroundFuelSurcharge),2),ROUND((((1-GroundZone51Discount)*'Ground Base'!K63)+GroundResidentialFee)*(1+GroundFuelSurcharge),2)))*(1+FedEx_Markup),2)</f>
        <v>88.91</v>
      </c>
      <c r="L68" s="275">
        <f>ROUND((IF('Ground Base'!L$154&gt;ROUND(((1-GroundZone54Discount)*'Ground Base'!L63),2),ROUND(('Ground Base'!L$154+GroundResidentialFee)*(1+GroundFuelSurcharge),2),ROUND((((1-GroundZone54Discount)*'Ground Base'!L63)+GroundResidentialFee)*(1+GroundFuelSurcharge),2)))*(1+FedEx_Markup),2)</f>
        <v>98.07</v>
      </c>
    </row>
    <row r="69" ht="12.75" customHeight="1">
      <c r="A69" s="274">
        <v>62.0</v>
      </c>
      <c r="B69" s="275">
        <f>IFERROR(__xludf.DUMMYFUNCTION("ROUND((IF(SINGLE('Ground Base'!B$154)&gt;ROUND(((1-GroundResDiscount31Up-GroundResIncentive)*'Ground Base'!B64),2),ROUND((SINGLE('Ground Base'!B$154)+GroundResidentialFee)*(1+GroundFuelSurcharge),2),ROUND((((1-GroundResDiscount31Up-GroundResIncentive)*'Groun"&amp;"d Base'!B64)+GroundResidentialFee)*(1+GroundFuelSurcharge),2)))*(1+FedEx_Markup),2)"),20.1)</f>
        <v>20.1</v>
      </c>
      <c r="C69" s="275">
        <f>IFERROR(__xludf.DUMMYFUNCTION("ROUND((IF(SINGLE('Ground Base'!C$154)&gt;ROUND(((1-GroundResDiscount31Up-GroundResIncentive)*'Ground Base'!C64),2),ROUND((SINGLE('Ground Base'!C$154)+GroundResidentialFee)*(1+GroundFuelSurcharge),2),ROUND((((1-GroundResDiscount31Up-GroundResIncentive)*'Groun"&amp;"d Base'!C64)+GroundResidentialFee)*(1+GroundFuelSurcharge),2)))*(1+FedEx_Markup),2)"),25.07)</f>
        <v>25.07</v>
      </c>
      <c r="D69" s="275">
        <f>IFERROR(__xludf.DUMMYFUNCTION("ROUND((IF(SINGLE('Ground Base'!D$154)&gt;ROUND(((1-GroundResDiscount31Up-GroundResIncentive)*'Ground Base'!D64),2),ROUND((SINGLE('Ground Base'!D$154)+GroundResidentialFee)*(1+GroundFuelSurcharge),2),ROUND((((1-GroundResDiscount31Up-GroundResIncentive)*'Groun"&amp;"d Base'!D64)+GroundResidentialFee)*(1+GroundFuelSurcharge),2)))*(1+FedEx_Markup),2)"),27.9)</f>
        <v>27.9</v>
      </c>
      <c r="E69" s="275">
        <f>IFERROR(__xludf.DUMMYFUNCTION("ROUND((IF(SINGLE('Ground Base'!E$154)&gt;ROUND(((1-GroundResDiscount31Up-GroundResIncentive)*'Ground Base'!E64),2),ROUND((SINGLE('Ground Base'!E$154)+GroundResidentialFee)*(1+GroundFuelSurcharge),2),ROUND((((1-GroundResDiscount31Up-GroundResIncentive)*'Groun"&amp;"d Base'!E64)+GroundResidentialFee)*(1+GroundFuelSurcharge),2)))*(1+FedEx_Markup),2)"),34.95)</f>
        <v>34.95</v>
      </c>
      <c r="F69" s="275">
        <f>IFERROR(__xludf.DUMMYFUNCTION("ROUND((IF(SINGLE('Ground Base'!F$154)&gt;ROUND(((1-GroundResDiscount31Up-GroundResIncentive)*'Ground Base'!F64),2),ROUND((SINGLE('Ground Base'!F$154)+GroundResidentialFee)*(1+GroundFuelSurcharge),2),ROUND((((1-GroundResDiscount31Up-GroundResIncentive)*'Groun"&amp;"d Base'!F64)+GroundResidentialFee)*(1+GroundFuelSurcharge),2)))*(1+FedEx_Markup),2)"),41.02)</f>
        <v>41.02</v>
      </c>
      <c r="G69" s="275">
        <f>IFERROR(__xludf.DUMMYFUNCTION("ROUND((IF(SINGLE('Ground Base'!G$154)&gt;ROUND(((1-GroundResDiscount31Up-GroundResIncentive)*'Ground Base'!G64),2),ROUND((SINGLE('Ground Base'!G$154)+GroundResidentialFee)*(1+GroundFuelSurcharge),2),ROUND((((1-GroundResDiscount31Up-GroundResIncentive)*'Groun"&amp;"d Base'!G64)+GroundResidentialFee)*(1+GroundFuelSurcharge),2)))*(1+FedEx_Markup),2)"),47.96)</f>
        <v>47.96</v>
      </c>
      <c r="H69" s="275">
        <f>IFERROR(__xludf.DUMMYFUNCTION("ROUND((IF(SINGLE('Ground Base'!H$154)&gt;ROUND(((1-GroundResDiscount31Up-GroundResIncentive)*'Ground Base'!H64),2),ROUND((SINGLE('Ground Base'!H$154)+GroundResidentialFee)*(1+GroundFuelSurcharge),2),ROUND((((1-GroundResDiscount31Up-GroundResIncentive)*'Groun"&amp;"d Base'!H64)+GroundResidentialFee)*(1+GroundFuelSurcharge),2)))*(1+FedEx_Markup),2)"),56.42)</f>
        <v>56.42</v>
      </c>
      <c r="I69" s="275">
        <f>ROUND((IF('Ground Base'!I$154&gt;ROUND(((1-GroundAKHIDiscount)*'Ground Base'!I64),2),ROUND(('Ground Base'!I$154+GroundResidentialFee)*(1+GroundFuelSurcharge),2),ROUND((((1-GroundAKHIDiscount)*'Ground Base'!I64)+GroundResidentialFee)*(1+GroundFuelSurcharge),2)))*(1+FedEx_Markup),2)</f>
        <v>280.12</v>
      </c>
      <c r="J69" s="275">
        <f>ROUND((IF('Ground Base'!J$154&gt;ROUND(((1-GroundAKHIDiscount)*'Ground Base'!J64),2),ROUND(('Ground Base'!J$154+GroundResidentialFee)*(1+GroundFuelSurcharge),2),ROUND((((1-GroundAKHIDiscount)*'Ground Base'!J64)+GroundResidentialFee)*(1+GroundFuelSurcharge),2)))*(1+FedEx_Markup),2)</f>
        <v>280.12</v>
      </c>
      <c r="K69" s="275">
        <f>ROUND((IF('Ground Base'!K$154&gt;ROUND(((1-GroundZone51Discount)*'Ground Base'!K64),2),ROUND(('Ground Base'!K$154+GroundResidentialFee)*(1+GroundFuelSurcharge),2),ROUND((((1-GroundZone51Discount)*'Ground Base'!K64)+GroundResidentialFee)*(1+GroundFuelSurcharge),2)))*(1+FedEx_Markup),2)</f>
        <v>88.92</v>
      </c>
      <c r="L69" s="275">
        <f>ROUND((IF('Ground Base'!L$154&gt;ROUND(((1-GroundZone54Discount)*'Ground Base'!L64),2),ROUND(('Ground Base'!L$154+GroundResidentialFee)*(1+GroundFuelSurcharge),2),ROUND((((1-GroundZone54Discount)*'Ground Base'!L64)+GroundResidentialFee)*(1+GroundFuelSurcharge),2)))*(1+FedEx_Markup),2)</f>
        <v>98.07</v>
      </c>
    </row>
    <row r="70" ht="12.75" customHeight="1">
      <c r="A70" s="274">
        <v>63.0</v>
      </c>
      <c r="B70" s="275">
        <f>IFERROR(__xludf.DUMMYFUNCTION("ROUND((IF(SINGLE('Ground Base'!B$154)&gt;ROUND(((1-GroundResDiscount31Up-GroundResIncentive)*'Ground Base'!B65),2),ROUND((SINGLE('Ground Base'!B$154)+GroundResidentialFee)*(1+GroundFuelSurcharge),2),ROUND((((1-GroundResDiscount31Up-GroundResIncentive)*'Groun"&amp;"d Base'!B65)+GroundResidentialFee)*(1+GroundFuelSurcharge),2)))*(1+FedEx_Markup),2)"),20.11)</f>
        <v>20.11</v>
      </c>
      <c r="C70" s="275">
        <f>IFERROR(__xludf.DUMMYFUNCTION("ROUND((IF(SINGLE('Ground Base'!C$154)&gt;ROUND(((1-GroundResDiscount31Up-GroundResIncentive)*'Ground Base'!C65),2),ROUND((SINGLE('Ground Base'!C$154)+GroundResidentialFee)*(1+GroundFuelSurcharge),2),ROUND((((1-GroundResDiscount31Up-GroundResIncentive)*'Groun"&amp;"d Base'!C65)+GroundResidentialFee)*(1+GroundFuelSurcharge),2)))*(1+FedEx_Markup),2)"),25.07)</f>
        <v>25.07</v>
      </c>
      <c r="D70" s="275">
        <f>IFERROR(__xludf.DUMMYFUNCTION("ROUND((IF(SINGLE('Ground Base'!D$154)&gt;ROUND(((1-GroundResDiscount31Up-GroundResIncentive)*'Ground Base'!D65),2),ROUND((SINGLE('Ground Base'!D$154)+GroundResidentialFee)*(1+GroundFuelSurcharge),2),ROUND((((1-GroundResDiscount31Up-GroundResIncentive)*'Groun"&amp;"d Base'!D65)+GroundResidentialFee)*(1+GroundFuelSurcharge),2)))*(1+FedEx_Markup),2)"),28.14)</f>
        <v>28.14</v>
      </c>
      <c r="E70" s="275">
        <f>IFERROR(__xludf.DUMMYFUNCTION("ROUND((IF(SINGLE('Ground Base'!E$154)&gt;ROUND(((1-GroundResDiscount31Up-GroundResIncentive)*'Ground Base'!E65),2),ROUND((SINGLE('Ground Base'!E$154)+GroundResidentialFee)*(1+GroundFuelSurcharge),2),ROUND((((1-GroundResDiscount31Up-GroundResIncentive)*'Groun"&amp;"d Base'!E65)+GroundResidentialFee)*(1+GroundFuelSurcharge),2)))*(1+FedEx_Markup),2)"),34.96)</f>
        <v>34.96</v>
      </c>
      <c r="F70" s="275">
        <f>IFERROR(__xludf.DUMMYFUNCTION("ROUND((IF(SINGLE('Ground Base'!F$154)&gt;ROUND(((1-GroundResDiscount31Up-GroundResIncentive)*'Ground Base'!F65),2),ROUND((SINGLE('Ground Base'!F$154)+GroundResidentialFee)*(1+GroundFuelSurcharge),2),ROUND((((1-GroundResDiscount31Up-GroundResIncentive)*'Groun"&amp;"d Base'!F65)+GroundResidentialFee)*(1+GroundFuelSurcharge),2)))*(1+FedEx_Markup),2)"),41.27)</f>
        <v>41.27</v>
      </c>
      <c r="G70" s="275">
        <f>IFERROR(__xludf.DUMMYFUNCTION("ROUND((IF(SINGLE('Ground Base'!G$154)&gt;ROUND(((1-GroundResDiscount31Up-GroundResIncentive)*'Ground Base'!G65),2),ROUND((SINGLE('Ground Base'!G$154)+GroundResidentialFee)*(1+GroundFuelSurcharge),2),ROUND((((1-GroundResDiscount31Up-GroundResIncentive)*'Groun"&amp;"d Base'!G65)+GroundResidentialFee)*(1+GroundFuelSurcharge),2)))*(1+FedEx_Markup),2)"),48.32)</f>
        <v>48.32</v>
      </c>
      <c r="H70" s="275">
        <f>IFERROR(__xludf.DUMMYFUNCTION("ROUND((IF(SINGLE('Ground Base'!H$154)&gt;ROUND(((1-GroundResDiscount31Up-GroundResIncentive)*'Ground Base'!H65),2),ROUND((SINGLE('Ground Base'!H$154)+GroundResidentialFee)*(1+GroundFuelSurcharge),2),ROUND((((1-GroundResDiscount31Up-GroundResIncentive)*'Groun"&amp;"d Base'!H65)+GroundResidentialFee)*(1+GroundFuelSurcharge),2)))*(1+FedEx_Markup),2)"),56.74)</f>
        <v>56.74</v>
      </c>
      <c r="I70" s="275">
        <f>ROUND((IF('Ground Base'!I$154&gt;ROUND(((1-GroundAKHIDiscount)*'Ground Base'!I65),2),ROUND(('Ground Base'!I$154+GroundResidentialFee)*(1+GroundFuelSurcharge),2),ROUND((((1-GroundAKHIDiscount)*'Ground Base'!I65)+GroundResidentialFee)*(1+GroundFuelSurcharge),2)))*(1+FedEx_Markup),2)</f>
        <v>284.67</v>
      </c>
      <c r="J70" s="275">
        <f>ROUND((IF('Ground Base'!J$154&gt;ROUND(((1-GroundAKHIDiscount)*'Ground Base'!J65),2),ROUND(('Ground Base'!J$154+GroundResidentialFee)*(1+GroundFuelSurcharge),2),ROUND((((1-GroundAKHIDiscount)*'Ground Base'!J65)+GroundResidentialFee)*(1+GroundFuelSurcharge),2)))*(1+FedEx_Markup),2)</f>
        <v>284.67</v>
      </c>
      <c r="K70" s="275">
        <f>ROUND((IF('Ground Base'!K$154&gt;ROUND(((1-GroundZone51Discount)*'Ground Base'!K65),2),ROUND(('Ground Base'!K$154+GroundResidentialFee)*(1+GroundFuelSurcharge),2),ROUND((((1-GroundZone51Discount)*'Ground Base'!K65)+GroundResidentialFee)*(1+GroundFuelSurcharge),2)))*(1+FedEx_Markup),2)</f>
        <v>88.94</v>
      </c>
      <c r="L70" s="275">
        <f>ROUND((IF('Ground Base'!L$154&gt;ROUND(((1-GroundZone54Discount)*'Ground Base'!L65),2),ROUND(('Ground Base'!L$154+GroundResidentialFee)*(1+GroundFuelSurcharge),2),ROUND((((1-GroundZone54Discount)*'Ground Base'!L65)+GroundResidentialFee)*(1+GroundFuelSurcharge),2)))*(1+FedEx_Markup),2)</f>
        <v>99.84</v>
      </c>
    </row>
    <row r="71" ht="12.75" customHeight="1">
      <c r="A71" s="274">
        <v>64.0</v>
      </c>
      <c r="B71" s="275">
        <f>IFERROR(__xludf.DUMMYFUNCTION("ROUND((IF(SINGLE('Ground Base'!B$154)&gt;ROUND(((1-GroundResDiscount31Up-GroundResIncentive)*'Ground Base'!B66),2),ROUND((SINGLE('Ground Base'!B$154)+GroundResidentialFee)*(1+GroundFuelSurcharge),2),ROUND((((1-GroundResDiscount31Up-GroundResIncentive)*'Groun"&amp;"d Base'!B66)+GroundResidentialFee)*(1+GroundFuelSurcharge),2)))*(1+FedEx_Markup),2)"),20.57)</f>
        <v>20.57</v>
      </c>
      <c r="C71" s="275">
        <f>IFERROR(__xludf.DUMMYFUNCTION("ROUND((IF(SINGLE('Ground Base'!C$154)&gt;ROUND(((1-GroundResDiscount31Up-GroundResIncentive)*'Ground Base'!C66),2),ROUND((SINGLE('Ground Base'!C$154)+GroundResidentialFee)*(1+GroundFuelSurcharge),2),ROUND((((1-GroundResDiscount31Up-GroundResIncentive)*'Groun"&amp;"d Base'!C66)+GroundResidentialFee)*(1+GroundFuelSurcharge),2)))*(1+FedEx_Markup),2)"),25.08)</f>
        <v>25.08</v>
      </c>
      <c r="D71" s="275">
        <f>IFERROR(__xludf.DUMMYFUNCTION("ROUND((IF(SINGLE('Ground Base'!D$154)&gt;ROUND(((1-GroundResDiscount31Up-GroundResIncentive)*'Ground Base'!D66),2),ROUND((SINGLE('Ground Base'!D$154)+GroundResidentialFee)*(1+GroundFuelSurcharge),2),ROUND((((1-GroundResDiscount31Up-GroundResIncentive)*'Groun"&amp;"d Base'!D66)+GroundResidentialFee)*(1+GroundFuelSurcharge),2)))*(1+FedEx_Markup),2)"),28.55)</f>
        <v>28.55</v>
      </c>
      <c r="E71" s="275">
        <f>IFERROR(__xludf.DUMMYFUNCTION("ROUND((IF(SINGLE('Ground Base'!E$154)&gt;ROUND(((1-GroundResDiscount31Up-GroundResIncentive)*'Ground Base'!E66),2),ROUND((SINGLE('Ground Base'!E$154)+GroundResidentialFee)*(1+GroundFuelSurcharge),2),ROUND((((1-GroundResDiscount31Up-GroundResIncentive)*'Groun"&amp;"d Base'!E66)+GroundResidentialFee)*(1+GroundFuelSurcharge),2)))*(1+FedEx_Markup),2)"),34.97)</f>
        <v>34.97</v>
      </c>
      <c r="F71" s="275">
        <f>IFERROR(__xludf.DUMMYFUNCTION("ROUND((IF(SINGLE('Ground Base'!F$154)&gt;ROUND(((1-GroundResDiscount31Up-GroundResIncentive)*'Ground Base'!F66),2),ROUND((SINGLE('Ground Base'!F$154)+GroundResidentialFee)*(1+GroundFuelSurcharge),2),ROUND((((1-GroundResDiscount31Up-GroundResIncentive)*'Groun"&amp;"d Base'!F66)+GroundResidentialFee)*(1+GroundFuelSurcharge),2)))*(1+FedEx_Markup),2)"),41.55)</f>
        <v>41.55</v>
      </c>
      <c r="G71" s="275">
        <f>IFERROR(__xludf.DUMMYFUNCTION("ROUND((IF(SINGLE('Ground Base'!G$154)&gt;ROUND(((1-GroundResDiscount31Up-GroundResIncentive)*'Ground Base'!G66),2),ROUND((SINGLE('Ground Base'!G$154)+GroundResidentialFee)*(1+GroundFuelSurcharge),2),ROUND((((1-GroundResDiscount31Up-GroundResIncentive)*'Groun"&amp;"d Base'!G66)+GroundResidentialFee)*(1+GroundFuelSurcharge),2)))*(1+FedEx_Markup),2)"),48.33)</f>
        <v>48.33</v>
      </c>
      <c r="H71" s="275">
        <f>IFERROR(__xludf.DUMMYFUNCTION("ROUND((IF(SINGLE('Ground Base'!H$154)&gt;ROUND(((1-GroundResDiscount31Up-GroundResIncentive)*'Ground Base'!H66),2),ROUND((SINGLE('Ground Base'!H$154)+GroundResidentialFee)*(1+GroundFuelSurcharge),2),ROUND((((1-GroundResDiscount31Up-GroundResIncentive)*'Groun"&amp;"d Base'!H66)+GroundResidentialFee)*(1+GroundFuelSurcharge),2)))*(1+FedEx_Markup),2)"),57.07)</f>
        <v>57.07</v>
      </c>
      <c r="I71" s="275">
        <f>ROUND((IF('Ground Base'!I$154&gt;ROUND(((1-GroundAKHIDiscount)*'Ground Base'!I66),2),ROUND(('Ground Base'!I$154+GroundResidentialFee)*(1+GroundFuelSurcharge),2),ROUND((((1-GroundAKHIDiscount)*'Ground Base'!I66)+GroundResidentialFee)*(1+GroundFuelSurcharge),2)))*(1+FedEx_Markup),2)</f>
        <v>289.36</v>
      </c>
      <c r="J71" s="275">
        <f>ROUND((IF('Ground Base'!J$154&gt;ROUND(((1-GroundAKHIDiscount)*'Ground Base'!J66),2),ROUND(('Ground Base'!J$154+GroundResidentialFee)*(1+GroundFuelSurcharge),2),ROUND((((1-GroundAKHIDiscount)*'Ground Base'!J66)+GroundResidentialFee)*(1+GroundFuelSurcharge),2)))*(1+FedEx_Markup),2)</f>
        <v>289.36</v>
      </c>
      <c r="K71" s="275">
        <f>ROUND((IF('Ground Base'!K$154&gt;ROUND(((1-GroundZone51Discount)*'Ground Base'!K66),2),ROUND(('Ground Base'!K$154+GroundResidentialFee)*(1+GroundFuelSurcharge),2),ROUND((((1-GroundZone51Discount)*'Ground Base'!K66)+GroundResidentialFee)*(1+GroundFuelSurcharge),2)))*(1+FedEx_Markup),2)</f>
        <v>88.94</v>
      </c>
      <c r="L71" s="275">
        <f>ROUND((IF('Ground Base'!L$154&gt;ROUND(((1-GroundZone54Discount)*'Ground Base'!L66),2),ROUND(('Ground Base'!L$154+GroundResidentialFee)*(1+GroundFuelSurcharge),2),ROUND((((1-GroundZone54Discount)*'Ground Base'!L66)+GroundResidentialFee)*(1+GroundFuelSurcharge),2)))*(1+FedEx_Markup),2)</f>
        <v>99.85</v>
      </c>
    </row>
    <row r="72" ht="12.75" customHeight="1">
      <c r="A72" s="274">
        <v>65.0</v>
      </c>
      <c r="B72" s="275">
        <f>IFERROR(__xludf.DUMMYFUNCTION("ROUND((IF(SINGLE('Ground Base'!B$154)&gt;ROUND(((1-GroundResDiscount31Up-GroundResIncentive)*'Ground Base'!B67),2),ROUND((SINGLE('Ground Base'!B$154)+GroundResidentialFee)*(1+GroundFuelSurcharge),2),ROUND((((1-GroundResDiscount31Up-GroundResIncentive)*'Groun"&amp;"d Base'!B67)+GroundResidentialFee)*(1+GroundFuelSurcharge),2)))*(1+FedEx_Markup),2)"),20.77)</f>
        <v>20.77</v>
      </c>
      <c r="C72" s="275">
        <f>IFERROR(__xludf.DUMMYFUNCTION("ROUND((IF(SINGLE('Ground Base'!C$154)&gt;ROUND(((1-GroundResDiscount31Up-GroundResIncentive)*'Ground Base'!C67),2),ROUND((SINGLE('Ground Base'!C$154)+GroundResidentialFee)*(1+GroundFuelSurcharge),2),ROUND((((1-GroundResDiscount31Up-GroundResIncentive)*'Groun"&amp;"d Base'!C67)+GroundResidentialFee)*(1+GroundFuelSurcharge),2)))*(1+FedEx_Markup),2)"),25.68)</f>
        <v>25.68</v>
      </c>
      <c r="D72" s="275">
        <f>IFERROR(__xludf.DUMMYFUNCTION("ROUND((IF(SINGLE('Ground Base'!D$154)&gt;ROUND(((1-GroundResDiscount31Up-GroundResIncentive)*'Ground Base'!D67),2),ROUND((SINGLE('Ground Base'!D$154)+GroundResidentialFee)*(1+GroundFuelSurcharge),2),ROUND((((1-GroundResDiscount31Up-GroundResIncentive)*'Groun"&amp;"d Base'!D67)+GroundResidentialFee)*(1+GroundFuelSurcharge),2)))*(1+FedEx_Markup),2)"),28.57)</f>
        <v>28.57</v>
      </c>
      <c r="E72" s="275">
        <f>IFERROR(__xludf.DUMMYFUNCTION("ROUND((IF(SINGLE('Ground Base'!E$154)&gt;ROUND(((1-GroundResDiscount31Up-GroundResIncentive)*'Ground Base'!E67),2),ROUND((SINGLE('Ground Base'!E$154)+GroundResidentialFee)*(1+GroundFuelSurcharge),2),ROUND((((1-GroundResDiscount31Up-GroundResIncentive)*'Groun"&amp;"d Base'!E67)+GroundResidentialFee)*(1+GroundFuelSurcharge),2)))*(1+FedEx_Markup),2)"),34.97)</f>
        <v>34.97</v>
      </c>
      <c r="F72" s="275">
        <f>IFERROR(__xludf.DUMMYFUNCTION("ROUND((IF(SINGLE('Ground Base'!F$154)&gt;ROUND(((1-GroundResDiscount31Up-GroundResIncentive)*'Ground Base'!F67),2),ROUND((SINGLE('Ground Base'!F$154)+GroundResidentialFee)*(1+GroundFuelSurcharge),2),ROUND((((1-GroundResDiscount31Up-GroundResIncentive)*'Groun"&amp;"d Base'!F67)+GroundResidentialFee)*(1+GroundFuelSurcharge),2)))*(1+FedEx_Markup),2)"),41.89)</f>
        <v>41.89</v>
      </c>
      <c r="G72" s="275">
        <f>IFERROR(__xludf.DUMMYFUNCTION("ROUND((IF(SINGLE('Ground Base'!G$154)&gt;ROUND(((1-GroundResDiscount31Up-GroundResIncentive)*'Ground Base'!G67),2),ROUND((SINGLE('Ground Base'!G$154)+GroundResidentialFee)*(1+GroundFuelSurcharge),2),ROUND((((1-GroundResDiscount31Up-GroundResIncentive)*'Groun"&amp;"d Base'!G67)+GroundResidentialFee)*(1+GroundFuelSurcharge),2)))*(1+FedEx_Markup),2)"),48.44)</f>
        <v>48.44</v>
      </c>
      <c r="H72" s="275">
        <f>IFERROR(__xludf.DUMMYFUNCTION("ROUND((IF(SINGLE('Ground Base'!H$154)&gt;ROUND(((1-GroundResDiscount31Up-GroundResIncentive)*'Ground Base'!H67),2),ROUND((SINGLE('Ground Base'!H$154)+GroundResidentialFee)*(1+GroundFuelSurcharge),2),ROUND((((1-GroundResDiscount31Up-GroundResIncentive)*'Groun"&amp;"d Base'!H67)+GroundResidentialFee)*(1+GroundFuelSurcharge),2)))*(1+FedEx_Markup),2)"),57.17)</f>
        <v>57.17</v>
      </c>
      <c r="I72" s="275">
        <f>ROUND((IF('Ground Base'!I$154&gt;ROUND(((1-GroundAKHIDiscount)*'Ground Base'!I67),2),ROUND(('Ground Base'!I$154+GroundResidentialFee)*(1+GroundFuelSurcharge),2),ROUND((((1-GroundAKHIDiscount)*'Ground Base'!I67)+GroundResidentialFee)*(1+GroundFuelSurcharge),2)))*(1+FedEx_Markup),2)</f>
        <v>294.04</v>
      </c>
      <c r="J72" s="275">
        <f>ROUND((IF('Ground Base'!J$154&gt;ROUND(((1-GroundAKHIDiscount)*'Ground Base'!J67),2),ROUND(('Ground Base'!J$154+GroundResidentialFee)*(1+GroundFuelSurcharge),2),ROUND((((1-GroundAKHIDiscount)*'Ground Base'!J67)+GroundResidentialFee)*(1+GroundFuelSurcharge),2)))*(1+FedEx_Markup),2)</f>
        <v>294.04</v>
      </c>
      <c r="K72" s="275">
        <f>ROUND((IF('Ground Base'!K$154&gt;ROUND(((1-GroundZone51Discount)*'Ground Base'!K67),2),ROUND(('Ground Base'!K$154+GroundResidentialFee)*(1+GroundFuelSurcharge),2),ROUND((((1-GroundZone51Discount)*'Ground Base'!K67)+GroundResidentialFee)*(1+GroundFuelSurcharge),2)))*(1+FedEx_Markup),2)</f>
        <v>88.95</v>
      </c>
      <c r="L72" s="275">
        <f>ROUND((IF('Ground Base'!L$154&gt;ROUND(((1-GroundZone54Discount)*'Ground Base'!L67),2),ROUND(('Ground Base'!L$154+GroundResidentialFee)*(1+GroundFuelSurcharge),2),ROUND((((1-GroundZone54Discount)*'Ground Base'!L67)+GroundResidentialFee)*(1+GroundFuelSurcharge),2)))*(1+FedEx_Markup),2)</f>
        <v>101.42</v>
      </c>
    </row>
    <row r="73" ht="12.75" customHeight="1">
      <c r="A73" s="274">
        <v>66.0</v>
      </c>
      <c r="B73" s="275">
        <f>IFERROR(__xludf.DUMMYFUNCTION("ROUND((IF(SINGLE('Ground Base'!B$154)&gt;ROUND(((1-GroundResDiscount31Up-GroundResIncentive)*'Ground Base'!B68),2),ROUND((SINGLE('Ground Base'!B$154)+GroundResidentialFee)*(1+GroundFuelSurcharge),2),ROUND((((1-GroundResDiscount31Up-GroundResIncentive)*'Groun"&amp;"d Base'!B68)+GroundResidentialFee)*(1+GroundFuelSurcharge),2)))*(1+FedEx_Markup),2)"),20.86)</f>
        <v>20.86</v>
      </c>
      <c r="C73" s="275">
        <f>IFERROR(__xludf.DUMMYFUNCTION("ROUND((IF(SINGLE('Ground Base'!C$154)&gt;ROUND(((1-GroundResDiscount31Up-GroundResIncentive)*'Ground Base'!C68),2),ROUND((SINGLE('Ground Base'!C$154)+GroundResidentialFee)*(1+GroundFuelSurcharge),2),ROUND((((1-GroundResDiscount31Up-GroundResIncentive)*'Groun"&amp;"d Base'!C68)+GroundResidentialFee)*(1+GroundFuelSurcharge),2)))*(1+FedEx_Markup),2)"),25.9)</f>
        <v>25.9</v>
      </c>
      <c r="D73" s="275">
        <f>IFERROR(__xludf.DUMMYFUNCTION("ROUND((IF(SINGLE('Ground Base'!D$154)&gt;ROUND(((1-GroundResDiscount31Up-GroundResIncentive)*'Ground Base'!D68),2),ROUND((SINGLE('Ground Base'!D$154)+GroundResidentialFee)*(1+GroundFuelSurcharge),2),ROUND((((1-GroundResDiscount31Up-GroundResIncentive)*'Groun"&amp;"d Base'!D68)+GroundResidentialFee)*(1+GroundFuelSurcharge),2)))*(1+FedEx_Markup),2)"),28.57)</f>
        <v>28.57</v>
      </c>
      <c r="E73" s="275">
        <f>IFERROR(__xludf.DUMMYFUNCTION("ROUND((IF(SINGLE('Ground Base'!E$154)&gt;ROUND(((1-GroundResDiscount31Up-GroundResIncentive)*'Ground Base'!E68),2),ROUND((SINGLE('Ground Base'!E$154)+GroundResidentialFee)*(1+GroundFuelSurcharge),2),ROUND((((1-GroundResDiscount31Up-GroundResIncentive)*'Groun"&amp;"d Base'!E68)+GroundResidentialFee)*(1+GroundFuelSurcharge),2)))*(1+FedEx_Markup),2)"),34.98)</f>
        <v>34.98</v>
      </c>
      <c r="F73" s="275">
        <f>IFERROR(__xludf.DUMMYFUNCTION("ROUND((IF(SINGLE('Ground Base'!F$154)&gt;ROUND(((1-GroundResDiscount31Up-GroundResIncentive)*'Ground Base'!F68),2),ROUND((SINGLE('Ground Base'!F$154)+GroundResidentialFee)*(1+GroundFuelSurcharge),2),ROUND((((1-GroundResDiscount31Up-GroundResIncentive)*'Groun"&amp;"d Base'!F68)+GroundResidentialFee)*(1+GroundFuelSurcharge),2)))*(1+FedEx_Markup),2)"),41.92)</f>
        <v>41.92</v>
      </c>
      <c r="G73" s="275">
        <f>IFERROR(__xludf.DUMMYFUNCTION("ROUND((IF(SINGLE('Ground Base'!G$154)&gt;ROUND(((1-GroundResDiscount31Up-GroundResIncentive)*'Ground Base'!G68),2),ROUND((SINGLE('Ground Base'!G$154)+GroundResidentialFee)*(1+GroundFuelSurcharge),2),ROUND((((1-GroundResDiscount31Up-GroundResIncentive)*'Groun"&amp;"d Base'!G68)+GroundResidentialFee)*(1+GroundFuelSurcharge),2)))*(1+FedEx_Markup),2)"),48.59)</f>
        <v>48.59</v>
      </c>
      <c r="H73" s="275">
        <f>IFERROR(__xludf.DUMMYFUNCTION("ROUND((IF(SINGLE('Ground Base'!H$154)&gt;ROUND(((1-GroundResDiscount31Up-GroundResIncentive)*'Ground Base'!H68),2),ROUND((SINGLE('Ground Base'!H$154)+GroundResidentialFee)*(1+GroundFuelSurcharge),2),ROUND((((1-GroundResDiscount31Up-GroundResIncentive)*'Groun"&amp;"d Base'!H68)+GroundResidentialFee)*(1+GroundFuelSurcharge),2)))*(1+FedEx_Markup),2)"),57.4)</f>
        <v>57.4</v>
      </c>
      <c r="I73" s="275">
        <f>ROUND((IF('Ground Base'!I$154&gt;ROUND(((1-GroundAKHIDiscount)*'Ground Base'!I68),2),ROUND(('Ground Base'!I$154+GroundResidentialFee)*(1+GroundFuelSurcharge),2),ROUND((((1-GroundAKHIDiscount)*'Ground Base'!I68)+GroundResidentialFee)*(1+GroundFuelSurcharge),2)))*(1+FedEx_Markup),2)</f>
        <v>298.54</v>
      </c>
      <c r="J73" s="275">
        <f>ROUND((IF('Ground Base'!J$154&gt;ROUND(((1-GroundAKHIDiscount)*'Ground Base'!J68),2),ROUND(('Ground Base'!J$154+GroundResidentialFee)*(1+GroundFuelSurcharge),2),ROUND((((1-GroundAKHIDiscount)*'Ground Base'!J68)+GroundResidentialFee)*(1+GroundFuelSurcharge),2)))*(1+FedEx_Markup),2)</f>
        <v>298.54</v>
      </c>
      <c r="K73" s="275">
        <f>ROUND((IF('Ground Base'!K$154&gt;ROUND(((1-GroundZone51Discount)*'Ground Base'!K68),2),ROUND(('Ground Base'!K$154+GroundResidentialFee)*(1+GroundFuelSurcharge),2),ROUND((((1-GroundZone51Discount)*'Ground Base'!K68)+GroundResidentialFee)*(1+GroundFuelSurcharge),2)))*(1+FedEx_Markup),2)</f>
        <v>88.96</v>
      </c>
      <c r="L73" s="275">
        <f>ROUND((IF('Ground Base'!L$154&gt;ROUND(((1-GroundZone54Discount)*'Ground Base'!L68),2),ROUND(('Ground Base'!L$154+GroundResidentialFee)*(1+GroundFuelSurcharge),2),ROUND((((1-GroundZone54Discount)*'Ground Base'!L68)+GroundResidentialFee)*(1+GroundFuelSurcharge),2)))*(1+FedEx_Markup),2)</f>
        <v>101.42</v>
      </c>
    </row>
    <row r="74" ht="12.75" customHeight="1">
      <c r="A74" s="274">
        <v>67.0</v>
      </c>
      <c r="B74" s="275">
        <f>IFERROR(__xludf.DUMMYFUNCTION("ROUND((IF(SINGLE('Ground Base'!B$154)&gt;ROUND(((1-GroundResDiscount31Up-GroundResIncentive)*'Ground Base'!B69),2),ROUND((SINGLE('Ground Base'!B$154)+GroundResidentialFee)*(1+GroundFuelSurcharge),2),ROUND((((1-GroundResDiscount31Up-GroundResIncentive)*'Groun"&amp;"d Base'!B69)+GroundResidentialFee)*(1+GroundFuelSurcharge),2)))*(1+FedEx_Markup),2)"),20.86)</f>
        <v>20.86</v>
      </c>
      <c r="C74" s="275">
        <f>IFERROR(__xludf.DUMMYFUNCTION("ROUND((IF(SINGLE('Ground Base'!C$154)&gt;ROUND(((1-GroundResDiscount31Up-GroundResIncentive)*'Ground Base'!C69),2),ROUND((SINGLE('Ground Base'!C$154)+GroundResidentialFee)*(1+GroundFuelSurcharge),2),ROUND((((1-GroundResDiscount31Up-GroundResIncentive)*'Groun"&amp;"d Base'!C69)+GroundResidentialFee)*(1+GroundFuelSurcharge),2)))*(1+FedEx_Markup),2)"),25.91)</f>
        <v>25.91</v>
      </c>
      <c r="D74" s="275">
        <f>IFERROR(__xludf.DUMMYFUNCTION("ROUND((IF(SINGLE('Ground Base'!D$154)&gt;ROUND(((1-GroundResDiscount31Up-GroundResIncentive)*'Ground Base'!D69),2),ROUND((SINGLE('Ground Base'!D$154)+GroundResidentialFee)*(1+GroundFuelSurcharge),2),ROUND((((1-GroundResDiscount31Up-GroundResIncentive)*'Groun"&amp;"d Base'!D69)+GroundResidentialFee)*(1+GroundFuelSurcharge),2)))*(1+FedEx_Markup),2)"),28.58)</f>
        <v>28.58</v>
      </c>
      <c r="E74" s="275">
        <f>IFERROR(__xludf.DUMMYFUNCTION("ROUND((IF(SINGLE('Ground Base'!E$154)&gt;ROUND(((1-GroundResDiscount31Up-GroundResIncentive)*'Ground Base'!E69),2),ROUND((SINGLE('Ground Base'!E$154)+GroundResidentialFee)*(1+GroundFuelSurcharge),2),ROUND((((1-GroundResDiscount31Up-GroundResIncentive)*'Groun"&amp;"d Base'!E69)+GroundResidentialFee)*(1+GroundFuelSurcharge),2)))*(1+FedEx_Markup),2)"),35.04)</f>
        <v>35.04</v>
      </c>
      <c r="F74" s="275">
        <f>IFERROR(__xludf.DUMMYFUNCTION("ROUND((IF(SINGLE('Ground Base'!F$154)&gt;ROUND(((1-GroundResDiscount31Up-GroundResIncentive)*'Ground Base'!F69),2),ROUND((SINGLE('Ground Base'!F$154)+GroundResidentialFee)*(1+GroundFuelSurcharge),2),ROUND((((1-GroundResDiscount31Up-GroundResIncentive)*'Groun"&amp;"d Base'!F69)+GroundResidentialFee)*(1+GroundFuelSurcharge),2)))*(1+FedEx_Markup),2)"),42.22)</f>
        <v>42.22</v>
      </c>
      <c r="G74" s="275">
        <f>IFERROR(__xludf.DUMMYFUNCTION("ROUND((IF(SINGLE('Ground Base'!G$154)&gt;ROUND(((1-GroundResDiscount31Up-GroundResIncentive)*'Ground Base'!G69),2),ROUND((SINGLE('Ground Base'!G$154)+GroundResidentialFee)*(1+GroundFuelSurcharge),2),ROUND((((1-GroundResDiscount31Up-GroundResIncentive)*'Groun"&amp;"d Base'!G69)+GroundResidentialFee)*(1+GroundFuelSurcharge),2)))*(1+FedEx_Markup),2)"),48.81)</f>
        <v>48.81</v>
      </c>
      <c r="H74" s="275">
        <f>IFERROR(__xludf.DUMMYFUNCTION("ROUND((IF(SINGLE('Ground Base'!H$154)&gt;ROUND(((1-GroundResDiscount31Up-GroundResIncentive)*'Ground Base'!H69),2),ROUND((SINGLE('Ground Base'!H$154)+GroundResidentialFee)*(1+GroundFuelSurcharge),2),ROUND((((1-GroundResDiscount31Up-GroundResIncentive)*'Groun"&amp;"d Base'!H69)+GroundResidentialFee)*(1+GroundFuelSurcharge),2)))*(1+FedEx_Markup),2)"),57.91)</f>
        <v>57.91</v>
      </c>
      <c r="I74" s="275">
        <f>ROUND((IF('Ground Base'!I$154&gt;ROUND(((1-GroundAKHIDiscount)*'Ground Base'!I69),2),ROUND(('Ground Base'!I$154+GroundResidentialFee)*(1+GroundFuelSurcharge),2),ROUND((((1-GroundAKHIDiscount)*'Ground Base'!I69)+GroundResidentialFee)*(1+GroundFuelSurcharge),2)))*(1+FedEx_Markup),2)</f>
        <v>303.04</v>
      </c>
      <c r="J74" s="275">
        <f>ROUND((IF('Ground Base'!J$154&gt;ROUND(((1-GroundAKHIDiscount)*'Ground Base'!J69),2),ROUND(('Ground Base'!J$154+GroundResidentialFee)*(1+GroundFuelSurcharge),2),ROUND((((1-GroundAKHIDiscount)*'Ground Base'!J69)+GroundResidentialFee)*(1+GroundFuelSurcharge),2)))*(1+FedEx_Markup),2)</f>
        <v>303.04</v>
      </c>
      <c r="K74" s="275">
        <f>ROUND((IF('Ground Base'!K$154&gt;ROUND(((1-GroundZone51Discount)*'Ground Base'!K69),2),ROUND(('Ground Base'!K$154+GroundResidentialFee)*(1+GroundFuelSurcharge),2),ROUND((((1-GroundZone51Discount)*'Ground Base'!K69)+GroundResidentialFee)*(1+GroundFuelSurcharge),2)))*(1+FedEx_Markup),2)</f>
        <v>88.98</v>
      </c>
      <c r="L74" s="275">
        <f>ROUND((IF('Ground Base'!L$154&gt;ROUND(((1-GroundZone54Discount)*'Ground Base'!L69),2),ROUND(('Ground Base'!L$154+GroundResidentialFee)*(1+GroundFuelSurcharge),2),ROUND((((1-GroundZone54Discount)*'Ground Base'!L69)+GroundResidentialFee)*(1+GroundFuelSurcharge),2)))*(1+FedEx_Markup),2)</f>
        <v>103.19</v>
      </c>
    </row>
    <row r="75" ht="12.75" customHeight="1">
      <c r="A75" s="274">
        <v>68.0</v>
      </c>
      <c r="B75" s="275">
        <f>IFERROR(__xludf.DUMMYFUNCTION("ROUND((IF(SINGLE('Ground Base'!B$154)&gt;ROUND(((1-GroundResDiscount31Up-GroundResIncentive)*'Ground Base'!B70),2),ROUND((SINGLE('Ground Base'!B$154)+GroundResidentialFee)*(1+GroundFuelSurcharge),2),ROUND((((1-GroundResDiscount31Up-GroundResIncentive)*'Groun"&amp;"d Base'!B70)+GroundResidentialFee)*(1+GroundFuelSurcharge),2)))*(1+FedEx_Markup),2)"),21.07)</f>
        <v>21.07</v>
      </c>
      <c r="C75" s="275">
        <f>IFERROR(__xludf.DUMMYFUNCTION("ROUND((IF(SINGLE('Ground Base'!C$154)&gt;ROUND(((1-GroundResDiscount31Up-GroundResIncentive)*'Ground Base'!C70),2),ROUND((SINGLE('Ground Base'!C$154)+GroundResidentialFee)*(1+GroundFuelSurcharge),2),ROUND((((1-GroundResDiscount31Up-GroundResIncentive)*'Groun"&amp;"d Base'!C70)+GroundResidentialFee)*(1+GroundFuelSurcharge),2)))*(1+FedEx_Markup),2)"),26.34)</f>
        <v>26.34</v>
      </c>
      <c r="D75" s="275">
        <f>IFERROR(__xludf.DUMMYFUNCTION("ROUND((IF(SINGLE('Ground Base'!D$154)&gt;ROUND(((1-GroundResDiscount31Up-GroundResIncentive)*'Ground Base'!D70),2),ROUND((SINGLE('Ground Base'!D$154)+GroundResidentialFee)*(1+GroundFuelSurcharge),2),ROUND((((1-GroundResDiscount31Up-GroundResIncentive)*'Groun"&amp;"d Base'!D70)+GroundResidentialFee)*(1+GroundFuelSurcharge),2)))*(1+FedEx_Markup),2)"),30.13)</f>
        <v>30.13</v>
      </c>
      <c r="E75" s="275">
        <f>IFERROR(__xludf.DUMMYFUNCTION("ROUND((IF(SINGLE('Ground Base'!E$154)&gt;ROUND(((1-GroundResDiscount31Up-GroundResIncentive)*'Ground Base'!E70),2),ROUND((SINGLE('Ground Base'!E$154)+GroundResidentialFee)*(1+GroundFuelSurcharge),2),ROUND((((1-GroundResDiscount31Up-GroundResIncentive)*'Groun"&amp;"d Base'!E70)+GroundResidentialFee)*(1+GroundFuelSurcharge),2)))*(1+FedEx_Markup),2)"),35.78)</f>
        <v>35.78</v>
      </c>
      <c r="F75" s="275">
        <f>IFERROR(__xludf.DUMMYFUNCTION("ROUND((IF(SINGLE('Ground Base'!F$154)&gt;ROUND(((1-GroundResDiscount31Up-GroundResIncentive)*'Ground Base'!F70),2),ROUND((SINGLE('Ground Base'!F$154)+GroundResidentialFee)*(1+GroundFuelSurcharge),2),ROUND((((1-GroundResDiscount31Up-GroundResIncentive)*'Groun"&amp;"d Base'!F70)+GroundResidentialFee)*(1+GroundFuelSurcharge),2)))*(1+FedEx_Markup),2)"),42.8)</f>
        <v>42.8</v>
      </c>
      <c r="G75" s="275">
        <f>IFERROR(__xludf.DUMMYFUNCTION("ROUND((IF(SINGLE('Ground Base'!G$154)&gt;ROUND(((1-GroundResDiscount31Up-GroundResIncentive)*'Ground Base'!G70),2),ROUND((SINGLE('Ground Base'!G$154)+GroundResidentialFee)*(1+GroundFuelSurcharge),2),ROUND((((1-GroundResDiscount31Up-GroundResIncentive)*'Groun"&amp;"d Base'!G70)+GroundResidentialFee)*(1+GroundFuelSurcharge),2)))*(1+FedEx_Markup),2)"),49.51)</f>
        <v>49.51</v>
      </c>
      <c r="H75" s="275">
        <f>IFERROR(__xludf.DUMMYFUNCTION("ROUND((IF(SINGLE('Ground Base'!H$154)&gt;ROUND(((1-GroundResDiscount31Up-GroundResIncentive)*'Ground Base'!H70),2),ROUND((SINGLE('Ground Base'!H$154)+GroundResidentialFee)*(1+GroundFuelSurcharge),2),ROUND((((1-GroundResDiscount31Up-GroundResIncentive)*'Groun"&amp;"d Base'!H70)+GroundResidentialFee)*(1+GroundFuelSurcharge),2)))*(1+FedEx_Markup),2)"),57.91)</f>
        <v>57.91</v>
      </c>
      <c r="I75" s="275">
        <f>ROUND((IF('Ground Base'!I$154&gt;ROUND(((1-GroundAKHIDiscount)*'Ground Base'!I70),2),ROUND(('Ground Base'!I$154+GroundResidentialFee)*(1+GroundFuelSurcharge),2),ROUND((((1-GroundAKHIDiscount)*'Ground Base'!I70)+GroundResidentialFee)*(1+GroundFuelSurcharge),2)))*(1+FedEx_Markup),2)</f>
        <v>307.35</v>
      </c>
      <c r="J75" s="275">
        <f>ROUND((IF('Ground Base'!J$154&gt;ROUND(((1-GroundAKHIDiscount)*'Ground Base'!J70),2),ROUND(('Ground Base'!J$154+GroundResidentialFee)*(1+GroundFuelSurcharge),2),ROUND((((1-GroundAKHIDiscount)*'Ground Base'!J70)+GroundResidentialFee)*(1+GroundFuelSurcharge),2)))*(1+FedEx_Markup),2)</f>
        <v>307.35</v>
      </c>
      <c r="K75" s="275">
        <f>ROUND((IF('Ground Base'!K$154&gt;ROUND(((1-GroundZone51Discount)*'Ground Base'!K70),2),ROUND(('Ground Base'!K$154+GroundResidentialFee)*(1+GroundFuelSurcharge),2),ROUND((((1-GroundZone51Discount)*'Ground Base'!K70)+GroundResidentialFee)*(1+GroundFuelSurcharge),2)))*(1+FedEx_Markup),2)</f>
        <v>88.99</v>
      </c>
      <c r="L75" s="275">
        <f>ROUND((IF('Ground Base'!L$154&gt;ROUND(((1-GroundZone54Discount)*'Ground Base'!L70),2),ROUND(('Ground Base'!L$154+GroundResidentialFee)*(1+GroundFuelSurcharge),2),ROUND((((1-GroundZone54Discount)*'Ground Base'!L70)+GroundResidentialFee)*(1+GroundFuelSurcharge),2)))*(1+FedEx_Markup),2)</f>
        <v>103.19</v>
      </c>
    </row>
    <row r="76" ht="12.75" customHeight="1">
      <c r="A76" s="274">
        <v>69.0</v>
      </c>
      <c r="B76" s="275">
        <f>IFERROR(__xludf.DUMMYFUNCTION("ROUND((IF(SINGLE('Ground Base'!B$154)&gt;ROUND(((1-GroundResDiscount31Up-GroundResIncentive)*'Ground Base'!B71),2),ROUND((SINGLE('Ground Base'!B$154)+GroundResidentialFee)*(1+GroundFuelSurcharge),2),ROUND((((1-GroundResDiscount31Up-GroundResIncentive)*'Groun"&amp;"d Base'!B71)+GroundResidentialFee)*(1+GroundFuelSurcharge),2)))*(1+FedEx_Markup),2)"),21.45)</f>
        <v>21.45</v>
      </c>
      <c r="C76" s="275">
        <f>IFERROR(__xludf.DUMMYFUNCTION("ROUND((IF(SINGLE('Ground Base'!C$154)&gt;ROUND(((1-GroundResDiscount31Up-GroundResIncentive)*'Ground Base'!C71),2),ROUND((SINGLE('Ground Base'!C$154)+GroundResidentialFee)*(1+GroundFuelSurcharge),2),ROUND((((1-GroundResDiscount31Up-GroundResIncentive)*'Groun"&amp;"d Base'!C71)+GroundResidentialFee)*(1+GroundFuelSurcharge),2)))*(1+FedEx_Markup),2)"),26.57)</f>
        <v>26.57</v>
      </c>
      <c r="D76" s="275">
        <f>IFERROR(__xludf.DUMMYFUNCTION("ROUND((IF(SINGLE('Ground Base'!D$154)&gt;ROUND(((1-GroundResDiscount31Up-GroundResIncentive)*'Ground Base'!D71),2),ROUND((SINGLE('Ground Base'!D$154)+GroundResidentialFee)*(1+GroundFuelSurcharge),2),ROUND((((1-GroundResDiscount31Up-GroundResIncentive)*'Groun"&amp;"d Base'!D71)+GroundResidentialFee)*(1+GroundFuelSurcharge),2)))*(1+FedEx_Markup),2)"),30.41)</f>
        <v>30.41</v>
      </c>
      <c r="E76" s="275">
        <f>IFERROR(__xludf.DUMMYFUNCTION("ROUND((IF(SINGLE('Ground Base'!E$154)&gt;ROUND(((1-GroundResDiscount31Up-GroundResIncentive)*'Ground Base'!E71),2),ROUND((SINGLE('Ground Base'!E$154)+GroundResidentialFee)*(1+GroundFuelSurcharge),2),ROUND((((1-GroundResDiscount31Up-GroundResIncentive)*'Groun"&amp;"d Base'!E71)+GroundResidentialFee)*(1+GroundFuelSurcharge),2)))*(1+FedEx_Markup),2)"),36.01)</f>
        <v>36.01</v>
      </c>
      <c r="F76" s="275">
        <f>IFERROR(__xludf.DUMMYFUNCTION("ROUND((IF(SINGLE('Ground Base'!F$154)&gt;ROUND(((1-GroundResDiscount31Up-GroundResIncentive)*'Ground Base'!F71),2),ROUND((SINGLE('Ground Base'!F$154)+GroundResidentialFee)*(1+GroundFuelSurcharge),2),ROUND((((1-GroundResDiscount31Up-GroundResIncentive)*'Groun"&amp;"d Base'!F71)+GroundResidentialFee)*(1+GroundFuelSurcharge),2)))*(1+FedEx_Markup),2)"),43.01)</f>
        <v>43.01</v>
      </c>
      <c r="G76" s="275">
        <f>IFERROR(__xludf.DUMMYFUNCTION("ROUND((IF(SINGLE('Ground Base'!G$154)&gt;ROUND(((1-GroundResDiscount31Up-GroundResIncentive)*'Ground Base'!G71),2),ROUND((SINGLE('Ground Base'!G$154)+GroundResidentialFee)*(1+GroundFuelSurcharge),2),ROUND((((1-GroundResDiscount31Up-GroundResIncentive)*'Groun"&amp;"d Base'!G71)+GroundResidentialFee)*(1+GroundFuelSurcharge),2)))*(1+FedEx_Markup),2)"),49.51)</f>
        <v>49.51</v>
      </c>
      <c r="H76" s="275">
        <f>IFERROR(__xludf.DUMMYFUNCTION("ROUND((IF(SINGLE('Ground Base'!H$154)&gt;ROUND(((1-GroundResDiscount31Up-GroundResIncentive)*'Ground Base'!H71),2),ROUND((SINGLE('Ground Base'!H$154)+GroundResidentialFee)*(1+GroundFuelSurcharge),2),ROUND((((1-GroundResDiscount31Up-GroundResIncentive)*'Groun"&amp;"d Base'!H71)+GroundResidentialFee)*(1+GroundFuelSurcharge),2)))*(1+FedEx_Markup),2)"),58.2)</f>
        <v>58.2</v>
      </c>
      <c r="I76" s="275">
        <f>ROUND((IF('Ground Base'!I$154&gt;ROUND(((1-GroundAKHIDiscount)*'Ground Base'!I71),2),ROUND(('Ground Base'!I$154+GroundResidentialFee)*(1+GroundFuelSurcharge),2),ROUND((((1-GroundAKHIDiscount)*'Ground Base'!I71)+GroundResidentialFee)*(1+GroundFuelSurcharge),2)))*(1+FedEx_Markup),2)</f>
        <v>311.78</v>
      </c>
      <c r="J76" s="275">
        <f>ROUND((IF('Ground Base'!J$154&gt;ROUND(((1-GroundAKHIDiscount)*'Ground Base'!J71),2),ROUND(('Ground Base'!J$154+GroundResidentialFee)*(1+GroundFuelSurcharge),2),ROUND((((1-GroundAKHIDiscount)*'Ground Base'!J71)+GroundResidentialFee)*(1+GroundFuelSurcharge),2)))*(1+FedEx_Markup),2)</f>
        <v>311.78</v>
      </c>
      <c r="K76" s="275">
        <f>ROUND((IF('Ground Base'!K$154&gt;ROUND(((1-GroundZone51Discount)*'Ground Base'!K71),2),ROUND(('Ground Base'!K$154+GroundResidentialFee)*(1+GroundFuelSurcharge),2),ROUND((((1-GroundZone51Discount)*'Ground Base'!K71)+GroundResidentialFee)*(1+GroundFuelSurcharge),2)))*(1+FedEx_Markup),2)</f>
        <v>90.25</v>
      </c>
      <c r="L76" s="275">
        <f>ROUND((IF('Ground Base'!L$154&gt;ROUND(((1-GroundZone54Discount)*'Ground Base'!L71),2),ROUND(('Ground Base'!L$154+GroundResidentialFee)*(1+GroundFuelSurcharge),2),ROUND((((1-GroundZone54Discount)*'Ground Base'!L71)+GroundResidentialFee)*(1+GroundFuelSurcharge),2)))*(1+FedEx_Markup),2)</f>
        <v>105.2</v>
      </c>
    </row>
    <row r="77" ht="12.75" customHeight="1">
      <c r="A77" s="274">
        <v>70.0</v>
      </c>
      <c r="B77" s="275">
        <f>IFERROR(__xludf.DUMMYFUNCTION("ROUND((IF(SINGLE('Ground Base'!B$154)&gt;ROUND(((1-GroundResDiscount31Up-GroundResIncentive)*'Ground Base'!B72),2),ROUND((SINGLE('Ground Base'!B$154)+GroundResidentialFee)*(1+GroundFuelSurcharge),2),ROUND((((1-GroundResDiscount31Up-GroundResIncentive)*'Groun"&amp;"d Base'!B72)+GroundResidentialFee)*(1+GroundFuelSurcharge),2)))*(1+FedEx_Markup),2)"),21.53)</f>
        <v>21.53</v>
      </c>
      <c r="C77" s="275">
        <f>IFERROR(__xludf.DUMMYFUNCTION("ROUND((IF(SINGLE('Ground Base'!C$154)&gt;ROUND(((1-GroundResDiscount31Up-GroundResIncentive)*'Ground Base'!C72),2),ROUND((SINGLE('Ground Base'!C$154)+GroundResidentialFee)*(1+GroundFuelSurcharge),2),ROUND((((1-GroundResDiscount31Up-GroundResIncentive)*'Groun"&amp;"d Base'!C72)+GroundResidentialFee)*(1+GroundFuelSurcharge),2)))*(1+FedEx_Markup),2)"),26.9)</f>
        <v>26.9</v>
      </c>
      <c r="D77" s="275">
        <f>IFERROR(__xludf.DUMMYFUNCTION("ROUND((IF(SINGLE('Ground Base'!D$154)&gt;ROUND(((1-GroundResDiscount31Up-GroundResIncentive)*'Ground Base'!D72),2),ROUND((SINGLE('Ground Base'!D$154)+GroundResidentialFee)*(1+GroundFuelSurcharge),2),ROUND((((1-GroundResDiscount31Up-GroundResIncentive)*'Groun"&amp;"d Base'!D72)+GroundResidentialFee)*(1+GroundFuelSurcharge),2)))*(1+FedEx_Markup),2)"),31.0)</f>
        <v>31</v>
      </c>
      <c r="E77" s="275">
        <f>IFERROR(__xludf.DUMMYFUNCTION("ROUND((IF(SINGLE('Ground Base'!E$154)&gt;ROUND(((1-GroundResDiscount31Up-GroundResIncentive)*'Ground Base'!E72),2),ROUND((SINGLE('Ground Base'!E$154)+GroundResidentialFee)*(1+GroundFuelSurcharge),2),ROUND((((1-GroundResDiscount31Up-GroundResIncentive)*'Groun"&amp;"d Base'!E72)+GroundResidentialFee)*(1+GroundFuelSurcharge),2)))*(1+FedEx_Markup),2)"),37.61)</f>
        <v>37.61</v>
      </c>
      <c r="F77" s="275">
        <f>IFERROR(__xludf.DUMMYFUNCTION("ROUND((IF(SINGLE('Ground Base'!F$154)&gt;ROUND(((1-GroundResDiscount31Up-GroundResIncentive)*'Ground Base'!F72),2),ROUND((SINGLE('Ground Base'!F$154)+GroundResidentialFee)*(1+GroundFuelSurcharge),2),ROUND((((1-GroundResDiscount31Up-GroundResIncentive)*'Groun"&amp;"d Base'!F72)+GroundResidentialFee)*(1+GroundFuelSurcharge),2)))*(1+FedEx_Markup),2)"),43.82)</f>
        <v>43.82</v>
      </c>
      <c r="G77" s="275">
        <f>IFERROR(__xludf.DUMMYFUNCTION("ROUND((IF(SINGLE('Ground Base'!G$154)&gt;ROUND(((1-GroundResDiscount31Up-GroundResIncentive)*'Ground Base'!G72),2),ROUND((SINGLE('Ground Base'!G$154)+GroundResidentialFee)*(1+GroundFuelSurcharge),2),ROUND((((1-GroundResDiscount31Up-GroundResIncentive)*'Groun"&amp;"d Base'!G72)+GroundResidentialFee)*(1+GroundFuelSurcharge),2)))*(1+FedEx_Markup),2)"),49.52)</f>
        <v>49.52</v>
      </c>
      <c r="H77" s="275">
        <f>IFERROR(__xludf.DUMMYFUNCTION("ROUND((IF(SINGLE('Ground Base'!H$154)&gt;ROUND(((1-GroundResDiscount31Up-GroundResIncentive)*'Ground Base'!H72),2),ROUND((SINGLE('Ground Base'!H$154)+GroundResidentialFee)*(1+GroundFuelSurcharge),2),ROUND((((1-GroundResDiscount31Up-GroundResIncentive)*'Groun"&amp;"d Base'!H72)+GroundResidentialFee)*(1+GroundFuelSurcharge),2)))*(1+FedEx_Markup),2)"),58.68)</f>
        <v>58.68</v>
      </c>
      <c r="I77" s="275">
        <f>ROUND((IF('Ground Base'!I$154&gt;ROUND(((1-GroundAKHIDiscount)*'Ground Base'!I72),2),ROUND(('Ground Base'!I$154+GroundResidentialFee)*(1+GroundFuelSurcharge),2),ROUND((((1-GroundAKHIDiscount)*'Ground Base'!I72)+GroundResidentialFee)*(1+GroundFuelSurcharge),2)))*(1+FedEx_Markup),2)</f>
        <v>318.27</v>
      </c>
      <c r="J77" s="275">
        <f>ROUND((IF('Ground Base'!J$154&gt;ROUND(((1-GroundAKHIDiscount)*'Ground Base'!J72),2),ROUND(('Ground Base'!J$154+GroundResidentialFee)*(1+GroundFuelSurcharge),2),ROUND((((1-GroundAKHIDiscount)*'Ground Base'!J72)+GroundResidentialFee)*(1+GroundFuelSurcharge),2)))*(1+FedEx_Markup),2)</f>
        <v>318.27</v>
      </c>
      <c r="K77" s="275">
        <f>ROUND((IF('Ground Base'!K$154&gt;ROUND(((1-GroundZone51Discount)*'Ground Base'!K72),2),ROUND(('Ground Base'!K$154+GroundResidentialFee)*(1+GroundFuelSurcharge),2),ROUND((((1-GroundZone51Discount)*'Ground Base'!K72)+GroundResidentialFee)*(1+GroundFuelSurcharge),2)))*(1+FedEx_Markup),2)</f>
        <v>90.26</v>
      </c>
      <c r="L77" s="275">
        <f>ROUND((IF('Ground Base'!L$154&gt;ROUND(((1-GroundZone54Discount)*'Ground Base'!L72),2),ROUND(('Ground Base'!L$154+GroundResidentialFee)*(1+GroundFuelSurcharge),2),ROUND((((1-GroundZone54Discount)*'Ground Base'!L72)+GroundResidentialFee)*(1+GroundFuelSurcharge),2)))*(1+FedEx_Markup),2)</f>
        <v>105.2</v>
      </c>
    </row>
    <row r="78" ht="12.75" customHeight="1">
      <c r="A78" s="274">
        <v>71.0</v>
      </c>
      <c r="B78" s="275">
        <f>IFERROR(__xludf.DUMMYFUNCTION("ROUND((IF(SINGLE('Ground Base'!B$154)&gt;ROUND(((1-GroundResDiscount31Up-GroundResIncentive)*'Ground Base'!B73),2),ROUND((SINGLE('Ground Base'!B$154)+GroundResidentialFee)*(1+GroundFuelSurcharge),2),ROUND((((1-GroundResDiscount31Up-GroundResIncentive)*'Groun"&amp;"d Base'!B73)+GroundResidentialFee)*(1+GroundFuelSurcharge),2)))*(1+FedEx_Markup),2)"),21.54)</f>
        <v>21.54</v>
      </c>
      <c r="C78" s="275">
        <f>IFERROR(__xludf.DUMMYFUNCTION("ROUND((IF(SINGLE('Ground Base'!C$154)&gt;ROUND(((1-GroundResDiscount31Up-GroundResIncentive)*'Ground Base'!C73),2),ROUND((SINGLE('Ground Base'!C$154)+GroundResidentialFee)*(1+GroundFuelSurcharge),2),ROUND((((1-GroundResDiscount31Up-GroundResIncentive)*'Groun"&amp;"d Base'!C73)+GroundResidentialFee)*(1+GroundFuelSurcharge),2)))*(1+FedEx_Markup),2)"),26.9)</f>
        <v>26.9</v>
      </c>
      <c r="D78" s="275">
        <f>IFERROR(__xludf.DUMMYFUNCTION("ROUND((IF(SINGLE('Ground Base'!D$154)&gt;ROUND(((1-GroundResDiscount31Up-GroundResIncentive)*'Ground Base'!D73),2),ROUND((SINGLE('Ground Base'!D$154)+GroundResidentialFee)*(1+GroundFuelSurcharge),2),ROUND((((1-GroundResDiscount31Up-GroundResIncentive)*'Groun"&amp;"d Base'!D73)+GroundResidentialFee)*(1+GroundFuelSurcharge),2)))*(1+FedEx_Markup),2)"),31.44)</f>
        <v>31.44</v>
      </c>
      <c r="E78" s="275">
        <f>IFERROR(__xludf.DUMMYFUNCTION("ROUND((IF(SINGLE('Ground Base'!E$154)&gt;ROUND(((1-GroundResDiscount31Up-GroundResIncentive)*'Ground Base'!E73),2),ROUND((SINGLE('Ground Base'!E$154)+GroundResidentialFee)*(1+GroundFuelSurcharge),2),ROUND((((1-GroundResDiscount31Up-GroundResIncentive)*'Groun"&amp;"d Base'!E73)+GroundResidentialFee)*(1+GroundFuelSurcharge),2)))*(1+FedEx_Markup),2)"),37.62)</f>
        <v>37.62</v>
      </c>
      <c r="F78" s="275">
        <f>IFERROR(__xludf.DUMMYFUNCTION("ROUND((IF(SINGLE('Ground Base'!F$154)&gt;ROUND(((1-GroundResDiscount31Up-GroundResIncentive)*'Ground Base'!F73),2),ROUND((SINGLE('Ground Base'!F$154)+GroundResidentialFee)*(1+GroundFuelSurcharge),2),ROUND((((1-GroundResDiscount31Up-GroundResIncentive)*'Groun"&amp;"d Base'!F73)+GroundResidentialFee)*(1+GroundFuelSurcharge),2)))*(1+FedEx_Markup),2)"),44.09)</f>
        <v>44.09</v>
      </c>
      <c r="G78" s="275">
        <f>IFERROR(__xludf.DUMMYFUNCTION("ROUND((IF(SINGLE('Ground Base'!G$154)&gt;ROUND(((1-GroundResDiscount31Up-GroundResIncentive)*'Ground Base'!G73),2),ROUND((SINGLE('Ground Base'!G$154)+GroundResidentialFee)*(1+GroundFuelSurcharge),2),ROUND((((1-GroundResDiscount31Up-GroundResIncentive)*'Groun"&amp;"d Base'!G73)+GroundResidentialFee)*(1+GroundFuelSurcharge),2)))*(1+FedEx_Markup),2)"),50.28)</f>
        <v>50.28</v>
      </c>
      <c r="H78" s="275">
        <f>IFERROR(__xludf.DUMMYFUNCTION("ROUND((IF(SINGLE('Ground Base'!H$154)&gt;ROUND(((1-GroundResDiscount31Up-GroundResIncentive)*'Ground Base'!H73),2),ROUND((SINGLE('Ground Base'!H$154)+GroundResidentialFee)*(1+GroundFuelSurcharge),2),ROUND((((1-GroundResDiscount31Up-GroundResIncentive)*'Groun"&amp;"d Base'!H73)+GroundResidentialFee)*(1+GroundFuelSurcharge),2)))*(1+FedEx_Markup),2)"),58.7)</f>
        <v>58.7</v>
      </c>
      <c r="I78" s="275">
        <f>ROUND((IF('Ground Base'!I$154&gt;ROUND(((1-GroundAKHIDiscount)*'Ground Base'!I73),2),ROUND(('Ground Base'!I$154+GroundResidentialFee)*(1+GroundFuelSurcharge),2),ROUND((((1-GroundAKHIDiscount)*'Ground Base'!I73)+GroundResidentialFee)*(1+GroundFuelSurcharge),2)))*(1+FedEx_Markup),2)</f>
        <v>323.13</v>
      </c>
      <c r="J78" s="275">
        <f>ROUND((IF('Ground Base'!J$154&gt;ROUND(((1-GroundAKHIDiscount)*'Ground Base'!J73),2),ROUND(('Ground Base'!J$154+GroundResidentialFee)*(1+GroundFuelSurcharge),2),ROUND((((1-GroundAKHIDiscount)*'Ground Base'!J73)+GroundResidentialFee)*(1+GroundFuelSurcharge),2)))*(1+FedEx_Markup),2)</f>
        <v>323.13</v>
      </c>
      <c r="K78" s="275">
        <f>ROUND((IF('Ground Base'!K$154&gt;ROUND(((1-GroundZone51Discount)*'Ground Base'!K73),2),ROUND(('Ground Base'!K$154+GroundResidentialFee)*(1+GroundFuelSurcharge),2),ROUND((((1-GroundZone51Discount)*'Ground Base'!K73)+GroundResidentialFee)*(1+GroundFuelSurcharge),2)))*(1+FedEx_Markup),2)</f>
        <v>92.35</v>
      </c>
      <c r="L78" s="275">
        <f>ROUND((IF('Ground Base'!L$154&gt;ROUND(((1-GroundZone54Discount)*'Ground Base'!L73),2),ROUND(('Ground Base'!L$154+GroundResidentialFee)*(1+GroundFuelSurcharge),2),ROUND((((1-GroundZone54Discount)*'Ground Base'!L73)+GroundResidentialFee)*(1+GroundFuelSurcharge),2)))*(1+FedEx_Markup),2)</f>
        <v>106.87</v>
      </c>
    </row>
    <row r="79" ht="12.75" customHeight="1">
      <c r="A79" s="274">
        <v>72.0</v>
      </c>
      <c r="B79" s="275">
        <f>IFERROR(__xludf.DUMMYFUNCTION("ROUND((IF(SINGLE('Ground Base'!B$154)&gt;ROUND(((1-GroundResDiscount31Up-GroundResIncentive)*'Ground Base'!B74),2),ROUND((SINGLE('Ground Base'!B$154)+GroundResidentialFee)*(1+GroundFuelSurcharge),2),ROUND((((1-GroundResDiscount31Up-GroundResIncentive)*'Groun"&amp;"d Base'!B74)+GroundResidentialFee)*(1+GroundFuelSurcharge),2)))*(1+FedEx_Markup),2)"),22.08)</f>
        <v>22.08</v>
      </c>
      <c r="C79" s="275">
        <f>IFERROR(__xludf.DUMMYFUNCTION("ROUND((IF(SINGLE('Ground Base'!C$154)&gt;ROUND(((1-GroundResDiscount31Up-GroundResIncentive)*'Ground Base'!C74),2),ROUND((SINGLE('Ground Base'!C$154)+GroundResidentialFee)*(1+GroundFuelSurcharge),2),ROUND((((1-GroundResDiscount31Up-GroundResIncentive)*'Groun"&amp;"d Base'!C74)+GroundResidentialFee)*(1+GroundFuelSurcharge),2)))*(1+FedEx_Markup),2)"),26.91)</f>
        <v>26.91</v>
      </c>
      <c r="D79" s="275">
        <f>IFERROR(__xludf.DUMMYFUNCTION("ROUND((IF(SINGLE('Ground Base'!D$154)&gt;ROUND(((1-GroundResDiscount31Up-GroundResIncentive)*'Ground Base'!D74),2),ROUND((SINGLE('Ground Base'!D$154)+GroundResidentialFee)*(1+GroundFuelSurcharge),2),ROUND((((1-GroundResDiscount31Up-GroundResIncentive)*'Groun"&amp;"d Base'!D74)+GroundResidentialFee)*(1+GroundFuelSurcharge),2)))*(1+FedEx_Markup),2)"),32.04)</f>
        <v>32.04</v>
      </c>
      <c r="E79" s="275">
        <f>IFERROR(__xludf.DUMMYFUNCTION("ROUND((IF(SINGLE('Ground Base'!E$154)&gt;ROUND(((1-GroundResDiscount31Up-GroundResIncentive)*'Ground Base'!E74),2),ROUND((SINGLE('Ground Base'!E$154)+GroundResidentialFee)*(1+GroundFuelSurcharge),2),ROUND((((1-GroundResDiscount31Up-GroundResIncentive)*'Groun"&amp;"d Base'!E74)+GroundResidentialFee)*(1+GroundFuelSurcharge),2)))*(1+FedEx_Markup),2)"),37.63)</f>
        <v>37.63</v>
      </c>
      <c r="F79" s="275">
        <f>IFERROR(__xludf.DUMMYFUNCTION("ROUND((IF(SINGLE('Ground Base'!F$154)&gt;ROUND(((1-GroundResDiscount31Up-GroundResIncentive)*'Ground Base'!F74),2),ROUND((SINGLE('Ground Base'!F$154)+GroundResidentialFee)*(1+GroundFuelSurcharge),2),ROUND((((1-GroundResDiscount31Up-GroundResIncentive)*'Groun"&amp;"d Base'!F74)+GroundResidentialFee)*(1+GroundFuelSurcharge),2)))*(1+FedEx_Markup),2)"),44.77)</f>
        <v>44.77</v>
      </c>
      <c r="G79" s="275">
        <f>IFERROR(__xludf.DUMMYFUNCTION("ROUND((IF(SINGLE('Ground Base'!G$154)&gt;ROUND(((1-GroundResDiscount31Up-GroundResIncentive)*'Ground Base'!G74),2),ROUND((SINGLE('Ground Base'!G$154)+GroundResidentialFee)*(1+GroundFuelSurcharge),2),ROUND((((1-GroundResDiscount31Up-GroundResIncentive)*'Groun"&amp;"d Base'!G74)+GroundResidentialFee)*(1+GroundFuelSurcharge),2)))*(1+FedEx_Markup),2)"),52.29)</f>
        <v>52.29</v>
      </c>
      <c r="H79" s="275">
        <f>IFERROR(__xludf.DUMMYFUNCTION("ROUND((IF(SINGLE('Ground Base'!H$154)&gt;ROUND(((1-GroundResDiscount31Up-GroundResIncentive)*'Ground Base'!H74),2),ROUND((SINGLE('Ground Base'!H$154)+GroundResidentialFee)*(1+GroundFuelSurcharge),2),ROUND((((1-GroundResDiscount31Up-GroundResIncentive)*'Groun"&amp;"d Base'!H74)+GroundResidentialFee)*(1+GroundFuelSurcharge),2)))*(1+FedEx_Markup),2)"),58.79)</f>
        <v>58.79</v>
      </c>
      <c r="I79" s="275">
        <f>ROUND((IF('Ground Base'!I$154&gt;ROUND(((1-GroundAKHIDiscount)*'Ground Base'!I74),2),ROUND(('Ground Base'!I$154+GroundResidentialFee)*(1+GroundFuelSurcharge),2),ROUND((((1-GroundAKHIDiscount)*'Ground Base'!I74)+GroundResidentialFee)*(1+GroundFuelSurcharge),2)))*(1+FedEx_Markup),2)</f>
        <v>327.89</v>
      </c>
      <c r="J79" s="275">
        <f>ROUND((IF('Ground Base'!J$154&gt;ROUND(((1-GroundAKHIDiscount)*'Ground Base'!J74),2),ROUND(('Ground Base'!J$154+GroundResidentialFee)*(1+GroundFuelSurcharge),2),ROUND((((1-GroundAKHIDiscount)*'Ground Base'!J74)+GroundResidentialFee)*(1+GroundFuelSurcharge),2)))*(1+FedEx_Markup),2)</f>
        <v>327.89</v>
      </c>
      <c r="K79" s="275">
        <f>ROUND((IF('Ground Base'!K$154&gt;ROUND(((1-GroundZone51Discount)*'Ground Base'!K74),2),ROUND(('Ground Base'!K$154+GroundResidentialFee)*(1+GroundFuelSurcharge),2),ROUND((((1-GroundZone51Discount)*'Ground Base'!K74)+GroundResidentialFee)*(1+GroundFuelSurcharge),2)))*(1+FedEx_Markup),2)</f>
        <v>92.35</v>
      </c>
      <c r="L79" s="275">
        <f>ROUND((IF('Ground Base'!L$154&gt;ROUND(((1-GroundZone54Discount)*'Ground Base'!L74),2),ROUND(('Ground Base'!L$154+GroundResidentialFee)*(1+GroundFuelSurcharge),2),ROUND((((1-GroundZone54Discount)*'Ground Base'!L74)+GroundResidentialFee)*(1+GroundFuelSurcharge),2)))*(1+FedEx_Markup),2)</f>
        <v>106.88</v>
      </c>
    </row>
    <row r="80" ht="12.75" customHeight="1">
      <c r="A80" s="274">
        <v>73.0</v>
      </c>
      <c r="B80" s="275">
        <f>IFERROR(__xludf.DUMMYFUNCTION("ROUND((IF(SINGLE('Ground Base'!B$154)&gt;ROUND(((1-GroundResDiscount31Up-GroundResIncentive)*'Ground Base'!B75),2),ROUND((SINGLE('Ground Base'!B$154)+GroundResidentialFee)*(1+GroundFuelSurcharge),2),ROUND((((1-GroundResDiscount31Up-GroundResIncentive)*'Groun"&amp;"d Base'!B75)+GroundResidentialFee)*(1+GroundFuelSurcharge),2)))*(1+FedEx_Markup),2)"),22.21)</f>
        <v>22.21</v>
      </c>
      <c r="C80" s="275">
        <f>IFERROR(__xludf.DUMMYFUNCTION("ROUND((IF(SINGLE('Ground Base'!C$154)&gt;ROUND(((1-GroundResDiscount31Up-GroundResIncentive)*'Ground Base'!C75),2),ROUND((SINGLE('Ground Base'!C$154)+GroundResidentialFee)*(1+GroundFuelSurcharge),2),ROUND((((1-GroundResDiscount31Up-GroundResIncentive)*'Groun"&amp;"d Base'!C75)+GroundResidentialFee)*(1+GroundFuelSurcharge),2)))*(1+FedEx_Markup),2)"),27.14)</f>
        <v>27.14</v>
      </c>
      <c r="D80" s="275">
        <f>IFERROR(__xludf.DUMMYFUNCTION("ROUND((IF(SINGLE('Ground Base'!D$154)&gt;ROUND(((1-GroundResDiscount31Up-GroundResIncentive)*'Ground Base'!D75),2),ROUND((SINGLE('Ground Base'!D$154)+GroundResidentialFee)*(1+GroundFuelSurcharge),2),ROUND((((1-GroundResDiscount31Up-GroundResIncentive)*'Groun"&amp;"d Base'!D75)+GroundResidentialFee)*(1+GroundFuelSurcharge),2)))*(1+FedEx_Markup),2)"),32.05)</f>
        <v>32.05</v>
      </c>
      <c r="E80" s="275">
        <f>IFERROR(__xludf.DUMMYFUNCTION("ROUND((IF(SINGLE('Ground Base'!E$154)&gt;ROUND(((1-GroundResDiscount31Up-GroundResIncentive)*'Ground Base'!E75),2),ROUND((SINGLE('Ground Base'!E$154)+GroundResidentialFee)*(1+GroundFuelSurcharge),2),ROUND((((1-GroundResDiscount31Up-GroundResIncentive)*'Groun"&amp;"d Base'!E75)+GroundResidentialFee)*(1+GroundFuelSurcharge),2)))*(1+FedEx_Markup),2)"),38.13)</f>
        <v>38.13</v>
      </c>
      <c r="F80" s="275">
        <f>IFERROR(__xludf.DUMMYFUNCTION("ROUND((IF(SINGLE('Ground Base'!F$154)&gt;ROUND(((1-GroundResDiscount31Up-GroundResIncentive)*'Ground Base'!F75),2),ROUND((SINGLE('Ground Base'!F$154)+GroundResidentialFee)*(1+GroundFuelSurcharge),2),ROUND((((1-GroundResDiscount31Up-GroundResIncentive)*'Groun"&amp;"d Base'!F75)+GroundResidentialFee)*(1+GroundFuelSurcharge),2)))*(1+FedEx_Markup),2)"),45.22)</f>
        <v>45.22</v>
      </c>
      <c r="G80" s="275">
        <f>IFERROR(__xludf.DUMMYFUNCTION("ROUND((IF(SINGLE('Ground Base'!G$154)&gt;ROUND(((1-GroundResDiscount31Up-GroundResIncentive)*'Ground Base'!G75),2),ROUND((SINGLE('Ground Base'!G$154)+GroundResidentialFee)*(1+GroundFuelSurcharge),2),ROUND((((1-GroundResDiscount31Up-GroundResIncentive)*'Groun"&amp;"d Base'!G75)+GroundResidentialFee)*(1+GroundFuelSurcharge),2)))*(1+FedEx_Markup),2)"),52.38)</f>
        <v>52.38</v>
      </c>
      <c r="H80" s="275">
        <f>IFERROR(__xludf.DUMMYFUNCTION("ROUND((IF(SINGLE('Ground Base'!H$154)&gt;ROUND(((1-GroundResDiscount31Up-GroundResIncentive)*'Ground Base'!H75),2),ROUND((SINGLE('Ground Base'!H$154)+GroundResidentialFee)*(1+GroundFuelSurcharge),2),ROUND((((1-GroundResDiscount31Up-GroundResIncentive)*'Groun"&amp;"d Base'!H75)+GroundResidentialFee)*(1+GroundFuelSurcharge),2)))*(1+FedEx_Markup),2)"),58.79)</f>
        <v>58.79</v>
      </c>
      <c r="I80" s="275">
        <f>ROUND((IF('Ground Base'!I$154&gt;ROUND(((1-GroundAKHIDiscount)*'Ground Base'!I75),2),ROUND(('Ground Base'!I$154+GroundResidentialFee)*(1+GroundFuelSurcharge),2),ROUND((((1-GroundAKHIDiscount)*'Ground Base'!I75)+GroundResidentialFee)*(1+GroundFuelSurcharge),2)))*(1+FedEx_Markup),2)</f>
        <v>332.66</v>
      </c>
      <c r="J80" s="275">
        <f>ROUND((IF('Ground Base'!J$154&gt;ROUND(((1-GroundAKHIDiscount)*'Ground Base'!J75),2),ROUND(('Ground Base'!J$154+GroundResidentialFee)*(1+GroundFuelSurcharge),2),ROUND((((1-GroundAKHIDiscount)*'Ground Base'!J75)+GroundResidentialFee)*(1+GroundFuelSurcharge),2)))*(1+FedEx_Markup),2)</f>
        <v>332.66</v>
      </c>
      <c r="K80" s="275">
        <f>ROUND((IF('Ground Base'!K$154&gt;ROUND(((1-GroundZone51Discount)*'Ground Base'!K75),2),ROUND(('Ground Base'!K$154+GroundResidentialFee)*(1+GroundFuelSurcharge),2),ROUND((((1-GroundZone51Discount)*'Ground Base'!K75)+GroundResidentialFee)*(1+GroundFuelSurcharge),2)))*(1+FedEx_Markup),2)</f>
        <v>93.74</v>
      </c>
      <c r="L80" s="275">
        <f>ROUND((IF('Ground Base'!L$154&gt;ROUND(((1-GroundZone54Discount)*'Ground Base'!L75),2),ROUND(('Ground Base'!L$154+GroundResidentialFee)*(1+GroundFuelSurcharge),2),ROUND((((1-GroundZone54Discount)*'Ground Base'!L75)+GroundResidentialFee)*(1+GroundFuelSurcharge),2)))*(1+FedEx_Markup),2)</f>
        <v>108.84</v>
      </c>
    </row>
    <row r="81" ht="12.75" customHeight="1">
      <c r="A81" s="274">
        <v>74.0</v>
      </c>
      <c r="B81" s="275">
        <f>IFERROR(__xludf.DUMMYFUNCTION("ROUND((IF(SINGLE('Ground Base'!B$154)&gt;ROUND(((1-GroundResDiscount31Up-GroundResIncentive)*'Ground Base'!B76),2),ROUND((SINGLE('Ground Base'!B$154)+GroundResidentialFee)*(1+GroundFuelSurcharge),2),ROUND((((1-GroundResDiscount31Up-GroundResIncentive)*'Groun"&amp;"d Base'!B76)+GroundResidentialFee)*(1+GroundFuelSurcharge),2)))*(1+FedEx_Markup),2)"),22.71)</f>
        <v>22.71</v>
      </c>
      <c r="C81" s="275">
        <f>IFERROR(__xludf.DUMMYFUNCTION("ROUND((IF(SINGLE('Ground Base'!C$154)&gt;ROUND(((1-GroundResDiscount31Up-GroundResIncentive)*'Ground Base'!C76),2),ROUND((SINGLE('Ground Base'!C$154)+GroundResidentialFee)*(1+GroundFuelSurcharge),2),ROUND((((1-GroundResDiscount31Up-GroundResIncentive)*'Groun"&amp;"d Base'!C76)+GroundResidentialFee)*(1+GroundFuelSurcharge),2)))*(1+FedEx_Markup),2)"),27.14)</f>
        <v>27.14</v>
      </c>
      <c r="D81" s="275">
        <f>IFERROR(__xludf.DUMMYFUNCTION("ROUND((IF(SINGLE('Ground Base'!D$154)&gt;ROUND(((1-GroundResDiscount31Up-GroundResIncentive)*'Ground Base'!D76),2),ROUND((SINGLE('Ground Base'!D$154)+GroundResidentialFee)*(1+GroundFuelSurcharge),2),ROUND((((1-GroundResDiscount31Up-GroundResIncentive)*'Groun"&amp;"d Base'!D76)+GroundResidentialFee)*(1+GroundFuelSurcharge),2)))*(1+FedEx_Markup),2)"),32.05)</f>
        <v>32.05</v>
      </c>
      <c r="E81" s="275">
        <f>IFERROR(__xludf.DUMMYFUNCTION("ROUND((IF(SINGLE('Ground Base'!E$154)&gt;ROUND(((1-GroundResDiscount31Up-GroundResIncentive)*'Ground Base'!E76),2),ROUND((SINGLE('Ground Base'!E$154)+GroundResidentialFee)*(1+GroundFuelSurcharge),2),ROUND((((1-GroundResDiscount31Up-GroundResIncentive)*'Groun"&amp;"d Base'!E76)+GroundResidentialFee)*(1+GroundFuelSurcharge),2)))*(1+FedEx_Markup),2)"),38.15)</f>
        <v>38.15</v>
      </c>
      <c r="F81" s="275">
        <f>IFERROR(__xludf.DUMMYFUNCTION("ROUND((IF(SINGLE('Ground Base'!F$154)&gt;ROUND(((1-GroundResDiscount31Up-GroundResIncentive)*'Ground Base'!F76),2),ROUND((SINGLE('Ground Base'!F$154)+GroundResidentialFee)*(1+GroundFuelSurcharge),2),ROUND((((1-GroundResDiscount31Up-GroundResIncentive)*'Groun"&amp;"d Base'!F76)+GroundResidentialFee)*(1+GroundFuelSurcharge),2)))*(1+FedEx_Markup),2)"),45.87)</f>
        <v>45.87</v>
      </c>
      <c r="G81" s="275">
        <f>IFERROR(__xludf.DUMMYFUNCTION("ROUND((IF(SINGLE('Ground Base'!G$154)&gt;ROUND(((1-GroundResDiscount31Up-GroundResIncentive)*'Ground Base'!G76),2),ROUND((SINGLE('Ground Base'!G$154)+GroundResidentialFee)*(1+GroundFuelSurcharge),2),ROUND((((1-GroundResDiscount31Up-GroundResIncentive)*'Groun"&amp;"d Base'!G76)+GroundResidentialFee)*(1+GroundFuelSurcharge),2)))*(1+FedEx_Markup),2)"),52.38)</f>
        <v>52.38</v>
      </c>
      <c r="H81" s="275">
        <f>IFERROR(__xludf.DUMMYFUNCTION("ROUND((IF(SINGLE('Ground Base'!H$154)&gt;ROUND(((1-GroundResDiscount31Up-GroundResIncentive)*'Ground Base'!H76),2),ROUND((SINGLE('Ground Base'!H$154)+GroundResidentialFee)*(1+GroundFuelSurcharge),2),ROUND((((1-GroundResDiscount31Up-GroundResIncentive)*'Groun"&amp;"d Base'!H76)+GroundResidentialFee)*(1+GroundFuelSurcharge),2)))*(1+FedEx_Markup),2)"),58.8)</f>
        <v>58.8</v>
      </c>
      <c r="I81" s="275">
        <f>ROUND((IF('Ground Base'!I$154&gt;ROUND(((1-GroundAKHIDiscount)*'Ground Base'!I76),2),ROUND(('Ground Base'!I$154+GroundResidentialFee)*(1+GroundFuelSurcharge),2),ROUND((((1-GroundAKHIDiscount)*'Ground Base'!I76)+GroundResidentialFee)*(1+GroundFuelSurcharge),2)))*(1+FedEx_Markup),2)</f>
        <v>335.83</v>
      </c>
      <c r="J81" s="275">
        <f>ROUND((IF('Ground Base'!J$154&gt;ROUND(((1-GroundAKHIDiscount)*'Ground Base'!J76),2),ROUND(('Ground Base'!J$154+GroundResidentialFee)*(1+GroundFuelSurcharge),2),ROUND((((1-GroundAKHIDiscount)*'Ground Base'!J76)+GroundResidentialFee)*(1+GroundFuelSurcharge),2)))*(1+FedEx_Markup),2)</f>
        <v>335.83</v>
      </c>
      <c r="K81" s="275">
        <f>ROUND((IF('Ground Base'!K$154&gt;ROUND(((1-GroundZone51Discount)*'Ground Base'!K76),2),ROUND(('Ground Base'!K$154+GroundResidentialFee)*(1+GroundFuelSurcharge),2),ROUND((((1-GroundZone51Discount)*'Ground Base'!K76)+GroundResidentialFee)*(1+GroundFuelSurcharge),2)))*(1+FedEx_Markup),2)</f>
        <v>93.75</v>
      </c>
      <c r="L81" s="275">
        <f>ROUND((IF('Ground Base'!L$154&gt;ROUND(((1-GroundZone54Discount)*'Ground Base'!L76),2),ROUND(('Ground Base'!L$154+GroundResidentialFee)*(1+GroundFuelSurcharge),2),ROUND((((1-GroundZone54Discount)*'Ground Base'!L76)+GroundResidentialFee)*(1+GroundFuelSurcharge),2)))*(1+FedEx_Markup),2)</f>
        <v>108.85</v>
      </c>
    </row>
    <row r="82" ht="12.75" customHeight="1">
      <c r="A82" s="274">
        <v>75.0</v>
      </c>
      <c r="B82" s="275">
        <f>IFERROR(__xludf.DUMMYFUNCTION("ROUND((IF(SINGLE('Ground Base'!B$154)&gt;ROUND(((1-GroundResDiscount31Up-GroundResIncentive)*'Ground Base'!B77),2),ROUND((SINGLE('Ground Base'!B$154)+GroundResidentialFee)*(1+GroundFuelSurcharge),2),ROUND((((1-GroundResDiscount31Up-GroundResIncentive)*'Groun"&amp;"d Base'!B77)+GroundResidentialFee)*(1+GroundFuelSurcharge),2)))*(1+FedEx_Markup),2)"),23.45)</f>
        <v>23.45</v>
      </c>
      <c r="C82" s="275">
        <f>IFERROR(__xludf.DUMMYFUNCTION("ROUND((IF(SINGLE('Ground Base'!C$154)&gt;ROUND(((1-GroundResDiscount31Up-GroundResIncentive)*'Ground Base'!C77),2),ROUND((SINGLE('Ground Base'!C$154)+GroundResidentialFee)*(1+GroundFuelSurcharge),2),ROUND((((1-GroundResDiscount31Up-GroundResIncentive)*'Groun"&amp;"d Base'!C77)+GroundResidentialFee)*(1+GroundFuelSurcharge),2)))*(1+FedEx_Markup),2)"),27.15)</f>
        <v>27.15</v>
      </c>
      <c r="D82" s="275">
        <f>IFERROR(__xludf.DUMMYFUNCTION("ROUND((IF(SINGLE('Ground Base'!D$154)&gt;ROUND(((1-GroundResDiscount31Up-GroundResIncentive)*'Ground Base'!D77),2),ROUND((SINGLE('Ground Base'!D$154)+GroundResidentialFee)*(1+GroundFuelSurcharge),2),ROUND((((1-GroundResDiscount31Up-GroundResIncentive)*'Groun"&amp;"d Base'!D77)+GroundResidentialFee)*(1+GroundFuelSurcharge),2)))*(1+FedEx_Markup),2)"),32.06)</f>
        <v>32.06</v>
      </c>
      <c r="E82" s="275">
        <f>IFERROR(__xludf.DUMMYFUNCTION("ROUND((IF(SINGLE('Ground Base'!E$154)&gt;ROUND(((1-GroundResDiscount31Up-GroundResIncentive)*'Ground Base'!E77),2),ROUND((SINGLE('Ground Base'!E$154)+GroundResidentialFee)*(1+GroundFuelSurcharge),2),ROUND((((1-GroundResDiscount31Up-GroundResIncentive)*'Groun"&amp;"d Base'!E77)+GroundResidentialFee)*(1+GroundFuelSurcharge),2)))*(1+FedEx_Markup),2)"),38.42)</f>
        <v>38.42</v>
      </c>
      <c r="F82" s="275">
        <f>IFERROR(__xludf.DUMMYFUNCTION("ROUND((IF(SINGLE('Ground Base'!F$154)&gt;ROUND(((1-GroundResDiscount31Up-GroundResIncentive)*'Ground Base'!F77),2),ROUND((SINGLE('Ground Base'!F$154)+GroundResidentialFee)*(1+GroundFuelSurcharge),2),ROUND((((1-GroundResDiscount31Up-GroundResIncentive)*'Groun"&amp;"d Base'!F77)+GroundResidentialFee)*(1+GroundFuelSurcharge),2)))*(1+FedEx_Markup),2)"),45.87)</f>
        <v>45.87</v>
      </c>
      <c r="G82" s="275">
        <f>IFERROR(__xludf.DUMMYFUNCTION("ROUND((IF(SINGLE('Ground Base'!G$154)&gt;ROUND(((1-GroundResDiscount31Up-GroundResIncentive)*'Ground Base'!G77),2),ROUND((SINGLE('Ground Base'!G$154)+GroundResidentialFee)*(1+GroundFuelSurcharge),2),ROUND((((1-GroundResDiscount31Up-GroundResIncentive)*'Groun"&amp;"d Base'!G77)+GroundResidentialFee)*(1+GroundFuelSurcharge),2)))*(1+FedEx_Markup),2)"),52.89)</f>
        <v>52.89</v>
      </c>
      <c r="H82" s="275">
        <f>IFERROR(__xludf.DUMMYFUNCTION("ROUND((IF(SINGLE('Ground Base'!H$154)&gt;ROUND(((1-GroundResDiscount31Up-GroundResIncentive)*'Ground Base'!H77),2),ROUND((SINGLE('Ground Base'!H$154)+GroundResidentialFee)*(1+GroundFuelSurcharge),2),ROUND((((1-GroundResDiscount31Up-GroundResIncentive)*'Groun"&amp;"d Base'!H77)+GroundResidentialFee)*(1+GroundFuelSurcharge),2)))*(1+FedEx_Markup),2)"),58.8)</f>
        <v>58.8</v>
      </c>
      <c r="I82" s="275">
        <f>ROUND((IF('Ground Base'!I$154&gt;ROUND(((1-GroundAKHIDiscount)*'Ground Base'!I77),2),ROUND(('Ground Base'!I$154+GroundResidentialFee)*(1+GroundFuelSurcharge),2),ROUND((((1-GroundAKHIDiscount)*'Ground Base'!I77)+GroundResidentialFee)*(1+GroundFuelSurcharge),2)))*(1+FedEx_Markup),2)</f>
        <v>339.61</v>
      </c>
      <c r="J82" s="275">
        <f>ROUND((IF('Ground Base'!J$154&gt;ROUND(((1-GroundAKHIDiscount)*'Ground Base'!J77),2),ROUND(('Ground Base'!J$154+GroundResidentialFee)*(1+GroundFuelSurcharge),2),ROUND((((1-GroundAKHIDiscount)*'Ground Base'!J77)+GroundResidentialFee)*(1+GroundFuelSurcharge),2)))*(1+FedEx_Markup),2)</f>
        <v>339.61</v>
      </c>
      <c r="K82" s="275">
        <f>ROUND((IF('Ground Base'!K$154&gt;ROUND(((1-GroundZone51Discount)*'Ground Base'!K77),2),ROUND(('Ground Base'!K$154+GroundResidentialFee)*(1+GroundFuelSurcharge),2),ROUND((((1-GroundZone51Discount)*'Ground Base'!K77)+GroundResidentialFee)*(1+GroundFuelSurcharge),2)))*(1+FedEx_Markup),2)</f>
        <v>95.02</v>
      </c>
      <c r="L82" s="275">
        <f>ROUND((IF('Ground Base'!L$154&gt;ROUND(((1-GroundZone54Discount)*'Ground Base'!L77),2),ROUND(('Ground Base'!L$154+GroundResidentialFee)*(1+GroundFuelSurcharge),2),ROUND((((1-GroundZone54Discount)*'Ground Base'!L77)+GroundResidentialFee)*(1+GroundFuelSurcharge),2)))*(1+FedEx_Markup),2)</f>
        <v>111.29</v>
      </c>
    </row>
    <row r="83" ht="12.75" customHeight="1">
      <c r="A83" s="274">
        <v>76.0</v>
      </c>
      <c r="B83" s="275">
        <f>IFERROR(__xludf.DUMMYFUNCTION("ROUND((IF(SINGLE('Ground Base'!B$154)&gt;ROUND(((1-GroundResDiscount31Up-GroundResIncentive)*'Ground Base'!B78),2),ROUND((SINGLE('Ground Base'!B$154)+GroundResidentialFee)*(1+GroundFuelSurcharge),2),ROUND((((1-GroundResDiscount31Up-GroundResIncentive)*'Groun"&amp;"d Base'!B78)+GroundResidentialFee)*(1+GroundFuelSurcharge),2)))*(1+FedEx_Markup),2)"),25.05)</f>
        <v>25.05</v>
      </c>
      <c r="C83" s="275">
        <f>IFERROR(__xludf.DUMMYFUNCTION("ROUND((IF(SINGLE('Ground Base'!C$154)&gt;ROUND(((1-GroundResDiscount31Up-GroundResIncentive)*'Ground Base'!C78),2),ROUND((SINGLE('Ground Base'!C$154)+GroundResidentialFee)*(1+GroundFuelSurcharge),2),ROUND((((1-GroundResDiscount31Up-GroundResIncentive)*'Groun"&amp;"d Base'!C78)+GroundResidentialFee)*(1+GroundFuelSurcharge),2)))*(1+FedEx_Markup),2)"),28.52)</f>
        <v>28.52</v>
      </c>
      <c r="D83" s="275">
        <f>IFERROR(__xludf.DUMMYFUNCTION("ROUND((IF(SINGLE('Ground Base'!D$154)&gt;ROUND(((1-GroundResDiscount31Up-GroundResIncentive)*'Ground Base'!D78),2),ROUND((SINGLE('Ground Base'!D$154)+GroundResidentialFee)*(1+GroundFuelSurcharge),2),ROUND((((1-GroundResDiscount31Up-GroundResIncentive)*'Groun"&amp;"d Base'!D78)+GroundResidentialFee)*(1+GroundFuelSurcharge),2)))*(1+FedEx_Markup),2)"),32.25)</f>
        <v>32.25</v>
      </c>
      <c r="E83" s="275">
        <f>IFERROR(__xludf.DUMMYFUNCTION("ROUND((IF(SINGLE('Ground Base'!E$154)&gt;ROUND(((1-GroundResDiscount31Up-GroundResIncentive)*'Ground Base'!E78),2),ROUND((SINGLE('Ground Base'!E$154)+GroundResidentialFee)*(1+GroundFuelSurcharge),2),ROUND((((1-GroundResDiscount31Up-GroundResIncentive)*'Groun"&amp;"d Base'!E78)+GroundResidentialFee)*(1+GroundFuelSurcharge),2)))*(1+FedEx_Markup),2)"),38.96)</f>
        <v>38.96</v>
      </c>
      <c r="F83" s="275">
        <f>IFERROR(__xludf.DUMMYFUNCTION("ROUND((IF(SINGLE('Ground Base'!F$154)&gt;ROUND(((1-GroundResDiscount31Up-GroundResIncentive)*'Ground Base'!F78),2),ROUND((SINGLE('Ground Base'!F$154)+GroundResidentialFee)*(1+GroundFuelSurcharge),2),ROUND((((1-GroundResDiscount31Up-GroundResIncentive)*'Groun"&amp;"d Base'!F78)+GroundResidentialFee)*(1+GroundFuelSurcharge),2)))*(1+FedEx_Markup),2)"),46.83)</f>
        <v>46.83</v>
      </c>
      <c r="G83" s="275">
        <f>IFERROR(__xludf.DUMMYFUNCTION("ROUND((IF(SINGLE('Ground Base'!G$154)&gt;ROUND(((1-GroundResDiscount31Up-GroundResIncentive)*'Ground Base'!G78),2),ROUND((SINGLE('Ground Base'!G$154)+GroundResidentialFee)*(1+GroundFuelSurcharge),2),ROUND((((1-GroundResDiscount31Up-GroundResIncentive)*'Groun"&amp;"d Base'!G78)+GroundResidentialFee)*(1+GroundFuelSurcharge),2)))*(1+FedEx_Markup),2)"),53.71)</f>
        <v>53.71</v>
      </c>
      <c r="H83" s="275">
        <f>IFERROR(__xludf.DUMMYFUNCTION("ROUND((IF(SINGLE('Ground Base'!H$154)&gt;ROUND(((1-GroundResDiscount31Up-GroundResIncentive)*'Ground Base'!H78),2),ROUND((SINGLE('Ground Base'!H$154)+GroundResidentialFee)*(1+GroundFuelSurcharge),2),ROUND((((1-GroundResDiscount31Up-GroundResIncentive)*'Groun"&amp;"d Base'!H78)+GroundResidentialFee)*(1+GroundFuelSurcharge),2)))*(1+FedEx_Markup),2)"),59.33)</f>
        <v>59.33</v>
      </c>
      <c r="I83" s="275">
        <f>ROUND((IF('Ground Base'!I$154&gt;ROUND(((1-GroundAKHIDiscount)*'Ground Base'!I78),2),ROUND(('Ground Base'!I$154+GroundResidentialFee)*(1+GroundFuelSurcharge),2),ROUND((((1-GroundAKHIDiscount)*'Ground Base'!I78)+GroundResidentialFee)*(1+GroundFuelSurcharge),2)))*(1+FedEx_Markup),2)</f>
        <v>343.76</v>
      </c>
      <c r="J83" s="275">
        <f>ROUND((IF('Ground Base'!J$154&gt;ROUND(((1-GroundAKHIDiscount)*'Ground Base'!J78),2),ROUND(('Ground Base'!J$154+GroundResidentialFee)*(1+GroundFuelSurcharge),2),ROUND((((1-GroundAKHIDiscount)*'Ground Base'!J78)+GroundResidentialFee)*(1+GroundFuelSurcharge),2)))*(1+FedEx_Markup),2)</f>
        <v>343.76</v>
      </c>
      <c r="K83" s="275">
        <f>ROUND((IF('Ground Base'!K$154&gt;ROUND(((1-GroundZone51Discount)*'Ground Base'!K78),2),ROUND(('Ground Base'!K$154+GroundResidentialFee)*(1+GroundFuelSurcharge),2),ROUND((((1-GroundZone51Discount)*'Ground Base'!K78)+GroundResidentialFee)*(1+GroundFuelSurcharge),2)))*(1+FedEx_Markup),2)</f>
        <v>95.02</v>
      </c>
      <c r="L83" s="275">
        <f>ROUND((IF('Ground Base'!L$154&gt;ROUND(((1-GroundZone54Discount)*'Ground Base'!L78),2),ROUND(('Ground Base'!L$154+GroundResidentialFee)*(1+GroundFuelSurcharge),2),ROUND((((1-GroundZone54Discount)*'Ground Base'!L78)+GroundResidentialFee)*(1+GroundFuelSurcharge),2)))*(1+FedEx_Markup),2)</f>
        <v>111.3</v>
      </c>
    </row>
    <row r="84" ht="12.75" customHeight="1">
      <c r="A84" s="274">
        <v>77.0</v>
      </c>
      <c r="B84" s="275">
        <f>IFERROR(__xludf.DUMMYFUNCTION("ROUND((IF(SINGLE('Ground Base'!B$154)&gt;ROUND(((1-GroundResDiscount31Up-GroundResIncentive)*'Ground Base'!B79),2),ROUND((SINGLE('Ground Base'!B$154)+GroundResidentialFee)*(1+GroundFuelSurcharge),2),ROUND((((1-GroundResDiscount31Up-GroundResIncentive)*'Groun"&amp;"d Base'!B79)+GroundResidentialFee)*(1+GroundFuelSurcharge),2)))*(1+FedEx_Markup),2)"),25.91)</f>
        <v>25.91</v>
      </c>
      <c r="C84" s="275">
        <f>IFERROR(__xludf.DUMMYFUNCTION("ROUND((IF(SINGLE('Ground Base'!C$154)&gt;ROUND(((1-GroundResDiscount31Up-GroundResIncentive)*'Ground Base'!C79),2),ROUND((SINGLE('Ground Base'!C$154)+GroundResidentialFee)*(1+GroundFuelSurcharge),2),ROUND((((1-GroundResDiscount31Up-GroundResIncentive)*'Groun"&amp;"d Base'!C79)+GroundResidentialFee)*(1+GroundFuelSurcharge),2)))*(1+FedEx_Markup),2)"),28.89)</f>
        <v>28.89</v>
      </c>
      <c r="D84" s="275">
        <f>IFERROR(__xludf.DUMMYFUNCTION("ROUND((IF(SINGLE('Ground Base'!D$154)&gt;ROUND(((1-GroundResDiscount31Up-GroundResIncentive)*'Ground Base'!D79),2),ROUND((SINGLE('Ground Base'!D$154)+GroundResidentialFee)*(1+GroundFuelSurcharge),2),ROUND((((1-GroundResDiscount31Up-GroundResIncentive)*'Groun"&amp;"d Base'!D79)+GroundResidentialFee)*(1+GroundFuelSurcharge),2)))*(1+FedEx_Markup),2)"),32.59)</f>
        <v>32.59</v>
      </c>
      <c r="E84" s="275">
        <f>IFERROR(__xludf.DUMMYFUNCTION("ROUND((IF(SINGLE('Ground Base'!E$154)&gt;ROUND(((1-GroundResDiscount31Up-GroundResIncentive)*'Ground Base'!E79),2),ROUND((SINGLE('Ground Base'!E$154)+GroundResidentialFee)*(1+GroundFuelSurcharge),2),ROUND((((1-GroundResDiscount31Up-GroundResIncentive)*'Groun"&amp;"d Base'!E79)+GroundResidentialFee)*(1+GroundFuelSurcharge),2)))*(1+FedEx_Markup),2)"),39.13)</f>
        <v>39.13</v>
      </c>
      <c r="F84" s="275">
        <f>IFERROR(__xludf.DUMMYFUNCTION("ROUND((IF(SINGLE('Ground Base'!F$154)&gt;ROUND(((1-GroundResDiscount31Up-GroundResIncentive)*'Ground Base'!F79),2),ROUND((SINGLE('Ground Base'!F$154)+GroundResidentialFee)*(1+GroundFuelSurcharge),2),ROUND((((1-GroundResDiscount31Up-GroundResIncentive)*'Groun"&amp;"d Base'!F79)+GroundResidentialFee)*(1+GroundFuelSurcharge),2)))*(1+FedEx_Markup),2)"),47.08)</f>
        <v>47.08</v>
      </c>
      <c r="G84" s="275">
        <f>IFERROR(__xludf.DUMMYFUNCTION("ROUND((IF(SINGLE('Ground Base'!G$154)&gt;ROUND(((1-GroundResDiscount31Up-GroundResIncentive)*'Ground Base'!G79),2),ROUND((SINGLE('Ground Base'!G$154)+GroundResidentialFee)*(1+GroundFuelSurcharge),2),ROUND((((1-GroundResDiscount31Up-GroundResIncentive)*'Groun"&amp;"d Base'!G79)+GroundResidentialFee)*(1+GroundFuelSurcharge),2)))*(1+FedEx_Markup),2)"),55.15)</f>
        <v>55.15</v>
      </c>
      <c r="H84" s="275">
        <f>IFERROR(__xludf.DUMMYFUNCTION("ROUND((IF(SINGLE('Ground Base'!H$154)&gt;ROUND(((1-GroundResDiscount31Up-GroundResIncentive)*'Ground Base'!H79),2),ROUND((SINGLE('Ground Base'!H$154)+GroundResidentialFee)*(1+GroundFuelSurcharge),2),ROUND((((1-GroundResDiscount31Up-GroundResIncentive)*'Groun"&amp;"d Base'!H79)+GroundResidentialFee)*(1+GroundFuelSurcharge),2)))*(1+FedEx_Markup),2)"),59.33)</f>
        <v>59.33</v>
      </c>
      <c r="I84" s="275">
        <f>ROUND((IF('Ground Base'!I$154&gt;ROUND(((1-GroundAKHIDiscount)*'Ground Base'!I79),2),ROUND(('Ground Base'!I$154+GroundResidentialFee)*(1+GroundFuelSurcharge),2),ROUND((((1-GroundAKHIDiscount)*'Ground Base'!I79)+GroundResidentialFee)*(1+GroundFuelSurcharge),2)))*(1+FedEx_Markup),2)</f>
        <v>346.56</v>
      </c>
      <c r="J84" s="275">
        <f>ROUND((IF('Ground Base'!J$154&gt;ROUND(((1-GroundAKHIDiscount)*'Ground Base'!J79),2),ROUND(('Ground Base'!J$154+GroundResidentialFee)*(1+GroundFuelSurcharge),2),ROUND((((1-GroundAKHIDiscount)*'Ground Base'!J79)+GroundResidentialFee)*(1+GroundFuelSurcharge),2)))*(1+FedEx_Markup),2)</f>
        <v>346.56</v>
      </c>
      <c r="K84" s="275">
        <f>ROUND((IF('Ground Base'!K$154&gt;ROUND(((1-GroundZone51Discount)*'Ground Base'!K79),2),ROUND(('Ground Base'!K$154+GroundResidentialFee)*(1+GroundFuelSurcharge),2),ROUND((((1-GroundZone51Discount)*'Ground Base'!K79)+GroundResidentialFee)*(1+GroundFuelSurcharge),2)))*(1+FedEx_Markup),2)</f>
        <v>95.24</v>
      </c>
      <c r="L84" s="275">
        <f>ROUND((IF('Ground Base'!L$154&gt;ROUND(((1-GroundZone54Discount)*'Ground Base'!L79),2),ROUND(('Ground Base'!L$154+GroundResidentialFee)*(1+GroundFuelSurcharge),2),ROUND((((1-GroundZone54Discount)*'Ground Base'!L79)+GroundResidentialFee)*(1+GroundFuelSurcharge),2)))*(1+FedEx_Markup),2)</f>
        <v>111.92</v>
      </c>
    </row>
    <row r="85" ht="12.75" customHeight="1">
      <c r="A85" s="274">
        <v>78.0</v>
      </c>
      <c r="B85" s="275">
        <f>IFERROR(__xludf.DUMMYFUNCTION("ROUND((IF(SINGLE('Ground Base'!B$154)&gt;ROUND(((1-GroundResDiscount31Up-GroundResIncentive)*'Ground Base'!B80),2),ROUND((SINGLE('Ground Base'!B$154)+GroundResidentialFee)*(1+GroundFuelSurcharge),2),ROUND((((1-GroundResDiscount31Up-GroundResIncentive)*'Groun"&amp;"d Base'!B80)+GroundResidentialFee)*(1+GroundFuelSurcharge),2)))*(1+FedEx_Markup),2)"),25.93)</f>
        <v>25.93</v>
      </c>
      <c r="C85" s="275">
        <f>IFERROR(__xludf.DUMMYFUNCTION("ROUND((IF(SINGLE('Ground Base'!C$154)&gt;ROUND(((1-GroundResDiscount31Up-GroundResIncentive)*'Ground Base'!C80),2),ROUND((SINGLE('Ground Base'!C$154)+GroundResidentialFee)*(1+GroundFuelSurcharge),2),ROUND((((1-GroundResDiscount31Up-GroundResIncentive)*'Groun"&amp;"d Base'!C80)+GroundResidentialFee)*(1+GroundFuelSurcharge),2)))*(1+FedEx_Markup),2)"),29.88)</f>
        <v>29.88</v>
      </c>
      <c r="D85" s="275">
        <f>IFERROR(__xludf.DUMMYFUNCTION("ROUND((IF(SINGLE('Ground Base'!D$154)&gt;ROUND(((1-GroundResDiscount31Up-GroundResIncentive)*'Ground Base'!D80),2),ROUND((SINGLE('Ground Base'!D$154)+GroundResidentialFee)*(1+GroundFuelSurcharge),2),ROUND((((1-GroundResDiscount31Up-GroundResIncentive)*'Groun"&amp;"d Base'!D80)+GroundResidentialFee)*(1+GroundFuelSurcharge),2)))*(1+FedEx_Markup),2)"),33.45)</f>
        <v>33.45</v>
      </c>
      <c r="E85" s="275">
        <f>IFERROR(__xludf.DUMMYFUNCTION("ROUND((IF(SINGLE('Ground Base'!E$154)&gt;ROUND(((1-GroundResDiscount31Up-GroundResIncentive)*'Ground Base'!E80),2),ROUND((SINGLE('Ground Base'!E$154)+GroundResidentialFee)*(1+GroundFuelSurcharge),2),ROUND((((1-GroundResDiscount31Up-GroundResIncentive)*'Groun"&amp;"d Base'!E80)+GroundResidentialFee)*(1+GroundFuelSurcharge),2)))*(1+FedEx_Markup),2)"),39.51)</f>
        <v>39.51</v>
      </c>
      <c r="F85" s="275">
        <f>IFERROR(__xludf.DUMMYFUNCTION("ROUND((IF(SINGLE('Ground Base'!F$154)&gt;ROUND(((1-GroundResDiscount31Up-GroundResIncentive)*'Ground Base'!F80),2),ROUND((SINGLE('Ground Base'!F$154)+GroundResidentialFee)*(1+GroundFuelSurcharge),2),ROUND((((1-GroundResDiscount31Up-GroundResIncentive)*'Groun"&amp;"d Base'!F80)+GroundResidentialFee)*(1+GroundFuelSurcharge),2)))*(1+FedEx_Markup),2)"),47.36)</f>
        <v>47.36</v>
      </c>
      <c r="G85" s="275">
        <f>IFERROR(__xludf.DUMMYFUNCTION("ROUND((IF(SINGLE('Ground Base'!G$154)&gt;ROUND(((1-GroundResDiscount31Up-GroundResIncentive)*'Ground Base'!G80),2),ROUND((SINGLE('Ground Base'!G$154)+GroundResidentialFee)*(1+GroundFuelSurcharge),2),ROUND((((1-GroundResDiscount31Up-GroundResIncentive)*'Groun"&amp;"d Base'!G80)+GroundResidentialFee)*(1+GroundFuelSurcharge),2)))*(1+FedEx_Markup),2)"),55.55)</f>
        <v>55.55</v>
      </c>
      <c r="H85" s="275">
        <f>IFERROR(__xludf.DUMMYFUNCTION("ROUND((IF(SINGLE('Ground Base'!H$154)&gt;ROUND(((1-GroundResDiscount31Up-GroundResIncentive)*'Ground Base'!H80),2),ROUND((SINGLE('Ground Base'!H$154)+GroundResidentialFee)*(1+GroundFuelSurcharge),2),ROUND((((1-GroundResDiscount31Up-GroundResIncentive)*'Groun"&amp;"d Base'!H80)+GroundResidentialFee)*(1+GroundFuelSurcharge),2)))*(1+FedEx_Markup),2)"),59.34)</f>
        <v>59.34</v>
      </c>
      <c r="I85" s="275">
        <f>ROUND((IF('Ground Base'!I$154&gt;ROUND(((1-GroundAKHIDiscount)*'Ground Base'!I80),2),ROUND(('Ground Base'!I$154+GroundResidentialFee)*(1+GroundFuelSurcharge),2),ROUND((((1-GroundAKHIDiscount)*'Ground Base'!I80)+GroundResidentialFee)*(1+GroundFuelSurcharge),2)))*(1+FedEx_Markup),2)</f>
        <v>348.42</v>
      </c>
      <c r="J85" s="275">
        <f>ROUND((IF('Ground Base'!J$154&gt;ROUND(((1-GroundAKHIDiscount)*'Ground Base'!J80),2),ROUND(('Ground Base'!J$154+GroundResidentialFee)*(1+GroundFuelSurcharge),2),ROUND((((1-GroundAKHIDiscount)*'Ground Base'!J80)+GroundResidentialFee)*(1+GroundFuelSurcharge),2)))*(1+FedEx_Markup),2)</f>
        <v>348.42</v>
      </c>
      <c r="K85" s="275">
        <f>ROUND((IF('Ground Base'!K$154&gt;ROUND(((1-GroundZone51Discount)*'Ground Base'!K80),2),ROUND(('Ground Base'!K$154+GroundResidentialFee)*(1+GroundFuelSurcharge),2),ROUND((((1-GroundZone51Discount)*'Ground Base'!K80)+GroundResidentialFee)*(1+GroundFuelSurcharge),2)))*(1+FedEx_Markup),2)</f>
        <v>95.25</v>
      </c>
      <c r="L85" s="275">
        <f>ROUND((IF('Ground Base'!L$154&gt;ROUND(((1-GroundZone54Discount)*'Ground Base'!L80),2),ROUND(('Ground Base'!L$154+GroundResidentialFee)*(1+GroundFuelSurcharge),2),ROUND((((1-GroundZone54Discount)*'Ground Base'!L80)+GroundResidentialFee)*(1+GroundFuelSurcharge),2)))*(1+FedEx_Markup),2)</f>
        <v>111.92</v>
      </c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ht="12.75" customHeight="1">
      <c r="A86" s="274">
        <v>79.0</v>
      </c>
      <c r="B86" s="275">
        <f>IFERROR(__xludf.DUMMYFUNCTION("ROUND((IF(SINGLE('Ground Base'!B$154)&gt;ROUND(((1-GroundResDiscount31Up-GroundResIncentive)*'Ground Base'!B81),2),ROUND((SINGLE('Ground Base'!B$154)+GroundResidentialFee)*(1+GroundFuelSurcharge),2),ROUND((((1-GroundResDiscount31Up-GroundResIncentive)*'Groun"&amp;"d Base'!B81)+GroundResidentialFee)*(1+GroundFuelSurcharge),2)))*(1+FedEx_Markup),2)"),26.98)</f>
        <v>26.98</v>
      </c>
      <c r="C86" s="275">
        <f>IFERROR(__xludf.DUMMYFUNCTION("ROUND((IF(SINGLE('Ground Base'!C$154)&gt;ROUND(((1-GroundResDiscount31Up-GroundResIncentive)*'Ground Base'!C81),2),ROUND((SINGLE('Ground Base'!C$154)+GroundResidentialFee)*(1+GroundFuelSurcharge),2),ROUND((((1-GroundResDiscount31Up-GroundResIncentive)*'Groun"&amp;"d Base'!C81)+GroundResidentialFee)*(1+GroundFuelSurcharge),2)))*(1+FedEx_Markup),2)"),30.99)</f>
        <v>30.99</v>
      </c>
      <c r="D86" s="275">
        <f>IFERROR(__xludf.DUMMYFUNCTION("ROUND((IF(SINGLE('Ground Base'!D$154)&gt;ROUND(((1-GroundResDiscount31Up-GroundResIncentive)*'Ground Base'!D81),2),ROUND((SINGLE('Ground Base'!D$154)+GroundResidentialFee)*(1+GroundFuelSurcharge),2),ROUND((((1-GroundResDiscount31Up-GroundResIncentive)*'Groun"&amp;"d Base'!D81)+GroundResidentialFee)*(1+GroundFuelSurcharge),2)))*(1+FedEx_Markup),2)"),34.22)</f>
        <v>34.22</v>
      </c>
      <c r="E86" s="275">
        <f>IFERROR(__xludf.DUMMYFUNCTION("ROUND((IF(SINGLE('Ground Base'!E$154)&gt;ROUND(((1-GroundResDiscount31Up-GroundResIncentive)*'Ground Base'!E81),2),ROUND((SINGLE('Ground Base'!E$154)+GroundResidentialFee)*(1+GroundFuelSurcharge),2),ROUND((((1-GroundResDiscount31Up-GroundResIncentive)*'Groun"&amp;"d Base'!E81)+GroundResidentialFee)*(1+GroundFuelSurcharge),2)))*(1+FedEx_Markup),2)"),40.1)</f>
        <v>40.1</v>
      </c>
      <c r="F86" s="275">
        <f>IFERROR(__xludf.DUMMYFUNCTION("ROUND((IF(SINGLE('Ground Base'!F$154)&gt;ROUND(((1-GroundResDiscount31Up-GroundResIncentive)*'Ground Base'!F81),2),ROUND((SINGLE('Ground Base'!F$154)+GroundResidentialFee)*(1+GroundFuelSurcharge),2),ROUND((((1-GroundResDiscount31Up-GroundResIncentive)*'Groun"&amp;"d Base'!F81)+GroundResidentialFee)*(1+GroundFuelSurcharge),2)))*(1+FedEx_Markup),2)"),48.29)</f>
        <v>48.29</v>
      </c>
      <c r="G86" s="275">
        <f>IFERROR(__xludf.DUMMYFUNCTION("ROUND((IF(SINGLE('Ground Base'!G$154)&gt;ROUND(((1-GroundResDiscount31Up-GroundResIncentive)*'Ground Base'!G81),2),ROUND((SINGLE('Ground Base'!G$154)+GroundResidentialFee)*(1+GroundFuelSurcharge),2),ROUND((((1-GroundResDiscount31Up-GroundResIncentive)*'Groun"&amp;"d Base'!G81)+GroundResidentialFee)*(1+GroundFuelSurcharge),2)))*(1+FedEx_Markup),2)"),56.36)</f>
        <v>56.36</v>
      </c>
      <c r="H86" s="275">
        <f>IFERROR(__xludf.DUMMYFUNCTION("ROUND((IF(SINGLE('Ground Base'!H$154)&gt;ROUND(((1-GroundResDiscount31Up-GroundResIncentive)*'Ground Base'!H81),2),ROUND((SINGLE('Ground Base'!H$154)+GroundResidentialFee)*(1+GroundFuelSurcharge),2),ROUND((((1-GroundResDiscount31Up-GroundResIncentive)*'Groun"&amp;"d Base'!H81)+GroundResidentialFee)*(1+GroundFuelSurcharge),2)))*(1+FedEx_Markup),2)"),60.26)</f>
        <v>60.26</v>
      </c>
      <c r="I86" s="275">
        <f>ROUND((IF('Ground Base'!I$154&gt;ROUND(((1-GroundAKHIDiscount)*'Ground Base'!I81),2),ROUND(('Ground Base'!I$154+GroundResidentialFee)*(1+GroundFuelSurcharge),2),ROUND((((1-GroundAKHIDiscount)*'Ground Base'!I81)+GroundResidentialFee)*(1+GroundFuelSurcharge),2)))*(1+FedEx_Markup),2)</f>
        <v>348.47</v>
      </c>
      <c r="J86" s="275">
        <f>ROUND((IF('Ground Base'!J$154&gt;ROUND(((1-GroundAKHIDiscount)*'Ground Base'!J81),2),ROUND(('Ground Base'!J$154+GroundResidentialFee)*(1+GroundFuelSurcharge),2),ROUND((((1-GroundAKHIDiscount)*'Ground Base'!J81)+GroundResidentialFee)*(1+GroundFuelSurcharge),2)))*(1+FedEx_Markup),2)</f>
        <v>348.47</v>
      </c>
      <c r="K86" s="275">
        <f>ROUND((IF('Ground Base'!K$154&gt;ROUND(((1-GroundZone51Discount)*'Ground Base'!K81),2),ROUND(('Ground Base'!K$154+GroundResidentialFee)*(1+GroundFuelSurcharge),2),ROUND((((1-GroundZone51Discount)*'Ground Base'!K81)+GroundResidentialFee)*(1+GroundFuelSurcharge),2)))*(1+FedEx_Markup),2)</f>
        <v>96.4</v>
      </c>
      <c r="L86" s="275">
        <f>ROUND((IF('Ground Base'!L$154&gt;ROUND(((1-GroundZone54Discount)*'Ground Base'!L81),2),ROUND(('Ground Base'!L$154+GroundResidentialFee)*(1+GroundFuelSurcharge),2),ROUND((((1-GroundZone54Discount)*'Ground Base'!L81)+GroundResidentialFee)*(1+GroundFuelSurcharge),2)))*(1+FedEx_Markup),2)</f>
        <v>114.52</v>
      </c>
    </row>
    <row r="87" ht="12.75" customHeight="1">
      <c r="A87" s="274">
        <v>80.0</v>
      </c>
      <c r="B87" s="275">
        <f>IFERROR(__xludf.DUMMYFUNCTION("ROUND((IF(SINGLE('Ground Base'!B$154)&gt;ROUND(((1-GroundResDiscount31Up-GroundResIncentive)*'Ground Base'!B82),2),ROUND((SINGLE('Ground Base'!B$154)+GroundResidentialFee)*(1+GroundFuelSurcharge),2),ROUND((((1-GroundResDiscount31Up-GroundResIncentive)*'Groun"&amp;"d Base'!B82)+GroundResidentialFee)*(1+GroundFuelSurcharge),2)))*(1+FedEx_Markup),2)"),27.63)</f>
        <v>27.63</v>
      </c>
      <c r="C87" s="275">
        <f>IFERROR(__xludf.DUMMYFUNCTION("ROUND((IF(SINGLE('Ground Base'!C$154)&gt;ROUND(((1-GroundResDiscount31Up-GroundResIncentive)*'Ground Base'!C82),2),ROUND((SINGLE('Ground Base'!C$154)+GroundResidentialFee)*(1+GroundFuelSurcharge),2),ROUND((((1-GroundResDiscount31Up-GroundResIncentive)*'Groun"&amp;"d Base'!C82)+GroundResidentialFee)*(1+GroundFuelSurcharge),2)))*(1+FedEx_Markup),2)"),31.53)</f>
        <v>31.53</v>
      </c>
      <c r="D87" s="275">
        <f>IFERROR(__xludf.DUMMYFUNCTION("ROUND((IF(SINGLE('Ground Base'!D$154)&gt;ROUND(((1-GroundResDiscount31Up-GroundResIncentive)*'Ground Base'!D82),2),ROUND((SINGLE('Ground Base'!D$154)+GroundResidentialFee)*(1+GroundFuelSurcharge),2),ROUND((((1-GroundResDiscount31Up-GroundResIncentive)*'Groun"&amp;"d Base'!D82)+GroundResidentialFee)*(1+GroundFuelSurcharge),2)))*(1+FedEx_Markup),2)"),34.36)</f>
        <v>34.36</v>
      </c>
      <c r="E87" s="275">
        <f>IFERROR(__xludf.DUMMYFUNCTION("ROUND((IF(SINGLE('Ground Base'!E$154)&gt;ROUND(((1-GroundResDiscount31Up-GroundResIncentive)*'Ground Base'!E82),2),ROUND((SINGLE('Ground Base'!E$154)+GroundResidentialFee)*(1+GroundFuelSurcharge),2),ROUND((((1-GroundResDiscount31Up-GroundResIncentive)*'Groun"&amp;"d Base'!E82)+GroundResidentialFee)*(1+GroundFuelSurcharge),2)))*(1+FedEx_Markup),2)"),40.99)</f>
        <v>40.99</v>
      </c>
      <c r="F87" s="275">
        <f>IFERROR(__xludf.DUMMYFUNCTION("ROUND((IF(SINGLE('Ground Base'!F$154)&gt;ROUND(((1-GroundResDiscount31Up-GroundResIncentive)*'Ground Base'!F82),2),ROUND((SINGLE('Ground Base'!F$154)+GroundResidentialFee)*(1+GroundFuelSurcharge),2),ROUND((((1-GroundResDiscount31Up-GroundResIncentive)*'Groun"&amp;"d Base'!F82)+GroundResidentialFee)*(1+GroundFuelSurcharge),2)))*(1+FedEx_Markup),2)"),49.05)</f>
        <v>49.05</v>
      </c>
      <c r="G87" s="275">
        <f>IFERROR(__xludf.DUMMYFUNCTION("ROUND((IF(SINGLE('Ground Base'!G$154)&gt;ROUND(((1-GroundResDiscount31Up-GroundResIncentive)*'Ground Base'!G82),2),ROUND((SINGLE('Ground Base'!G$154)+GroundResidentialFee)*(1+GroundFuelSurcharge),2),ROUND((((1-GroundResDiscount31Up-GroundResIncentive)*'Groun"&amp;"d Base'!G82)+GroundResidentialFee)*(1+GroundFuelSurcharge),2)))*(1+FedEx_Markup),2)"),57.1)</f>
        <v>57.1</v>
      </c>
      <c r="H87" s="275">
        <f>IFERROR(__xludf.DUMMYFUNCTION("ROUND((IF(SINGLE('Ground Base'!H$154)&gt;ROUND(((1-GroundResDiscount31Up-GroundResIncentive)*'Ground Base'!H82),2),ROUND((SINGLE('Ground Base'!H$154)+GroundResidentialFee)*(1+GroundFuelSurcharge),2),ROUND((((1-GroundResDiscount31Up-GroundResIncentive)*'Groun"&amp;"d Base'!H82)+GroundResidentialFee)*(1+GroundFuelSurcharge),2)))*(1+FedEx_Markup),2)"),60.71)</f>
        <v>60.71</v>
      </c>
      <c r="I87" s="275">
        <f>ROUND((IF('Ground Base'!I$154&gt;ROUND(((1-GroundAKHIDiscount)*'Ground Base'!I82),2),ROUND(('Ground Base'!I$154+GroundResidentialFee)*(1+GroundFuelSurcharge),2),ROUND((((1-GroundAKHIDiscount)*'Ground Base'!I82)+GroundResidentialFee)*(1+GroundFuelSurcharge),2)))*(1+FedEx_Markup),2)</f>
        <v>352.08</v>
      </c>
      <c r="J87" s="275">
        <f>ROUND((IF('Ground Base'!J$154&gt;ROUND(((1-GroundAKHIDiscount)*'Ground Base'!J82),2),ROUND(('Ground Base'!J$154+GroundResidentialFee)*(1+GroundFuelSurcharge),2),ROUND((((1-GroundAKHIDiscount)*'Ground Base'!J82)+GroundResidentialFee)*(1+GroundFuelSurcharge),2)))*(1+FedEx_Markup),2)</f>
        <v>352.08</v>
      </c>
      <c r="K87" s="275">
        <f>ROUND((IF('Ground Base'!K$154&gt;ROUND(((1-GroundZone51Discount)*'Ground Base'!K82),2),ROUND(('Ground Base'!K$154+GroundResidentialFee)*(1+GroundFuelSurcharge),2),ROUND((((1-GroundZone51Discount)*'Ground Base'!K82)+GroundResidentialFee)*(1+GroundFuelSurcharge),2)))*(1+FedEx_Markup),2)</f>
        <v>96.43</v>
      </c>
      <c r="L87" s="275">
        <f>ROUND((IF('Ground Base'!L$154&gt;ROUND(((1-GroundZone54Discount)*'Ground Base'!L82),2),ROUND(('Ground Base'!L$154+GroundResidentialFee)*(1+GroundFuelSurcharge),2),ROUND((((1-GroundZone54Discount)*'Ground Base'!L82)+GroundResidentialFee)*(1+GroundFuelSurcharge),2)))*(1+FedEx_Markup),2)</f>
        <v>114.53</v>
      </c>
    </row>
    <row r="88" ht="12.75" customHeight="1">
      <c r="A88" s="274">
        <v>81.0</v>
      </c>
      <c r="B88" s="275">
        <f>IFERROR(__xludf.DUMMYFUNCTION("ROUND((IF(SINGLE('Ground Base'!B$154)&gt;ROUND(((1-GroundResDiscount31Up-GroundResIncentive)*'Ground Base'!B83),2),ROUND((SINGLE('Ground Base'!B$154)+GroundResidentialFee)*(1+GroundFuelSurcharge),2),ROUND((((1-GroundResDiscount31Up-GroundResIncentive)*'Groun"&amp;"d Base'!B83)+GroundResidentialFee)*(1+GroundFuelSurcharge),2)))*(1+FedEx_Markup),2)"),28.24)</f>
        <v>28.24</v>
      </c>
      <c r="C88" s="275">
        <f>IFERROR(__xludf.DUMMYFUNCTION("ROUND((IF(SINGLE('Ground Base'!C$154)&gt;ROUND(((1-GroundResDiscount31Up-GroundResIncentive)*'Ground Base'!C83),2),ROUND((SINGLE('Ground Base'!C$154)+GroundResidentialFee)*(1+GroundFuelSurcharge),2),ROUND((((1-GroundResDiscount31Up-GroundResIncentive)*'Groun"&amp;"d Base'!C83)+GroundResidentialFee)*(1+GroundFuelSurcharge),2)))*(1+FedEx_Markup),2)"),31.76)</f>
        <v>31.76</v>
      </c>
      <c r="D88" s="275">
        <f>IFERROR(__xludf.DUMMYFUNCTION("ROUND((IF(SINGLE('Ground Base'!D$154)&gt;ROUND(((1-GroundResDiscount31Up-GroundResIncentive)*'Ground Base'!D83),2),ROUND((SINGLE('Ground Base'!D$154)+GroundResidentialFee)*(1+GroundFuelSurcharge),2),ROUND((((1-GroundResDiscount31Up-GroundResIncentive)*'Groun"&amp;"d Base'!D83)+GroundResidentialFee)*(1+GroundFuelSurcharge),2)))*(1+FedEx_Markup),2)"),35.13)</f>
        <v>35.13</v>
      </c>
      <c r="E88" s="275">
        <f>IFERROR(__xludf.DUMMYFUNCTION("ROUND((IF(SINGLE('Ground Base'!E$154)&gt;ROUND(((1-GroundResDiscount31Up-GroundResIncentive)*'Ground Base'!E83),2),ROUND((SINGLE('Ground Base'!E$154)+GroundResidentialFee)*(1+GroundFuelSurcharge),2),ROUND((((1-GroundResDiscount31Up-GroundResIncentive)*'Groun"&amp;"d Base'!E83)+GroundResidentialFee)*(1+GroundFuelSurcharge),2)))*(1+FedEx_Markup),2)"),41.24)</f>
        <v>41.24</v>
      </c>
      <c r="F88" s="275">
        <f>IFERROR(__xludf.DUMMYFUNCTION("ROUND((IF(SINGLE('Ground Base'!F$154)&gt;ROUND(((1-GroundResDiscount31Up-GroundResIncentive)*'Ground Base'!F83),2),ROUND((SINGLE('Ground Base'!F$154)+GroundResidentialFee)*(1+GroundFuelSurcharge),2),ROUND((((1-GroundResDiscount31Up-GroundResIncentive)*'Groun"&amp;"d Base'!F83)+GroundResidentialFee)*(1+GroundFuelSurcharge),2)))*(1+FedEx_Markup),2)"),49.65)</f>
        <v>49.65</v>
      </c>
      <c r="G88" s="275">
        <f>IFERROR(__xludf.DUMMYFUNCTION("ROUND((IF(SINGLE('Ground Base'!G$154)&gt;ROUND(((1-GroundResDiscount31Up-GroundResIncentive)*'Ground Base'!G83),2),ROUND((SINGLE('Ground Base'!G$154)+GroundResidentialFee)*(1+GroundFuelSurcharge),2),ROUND((((1-GroundResDiscount31Up-GroundResIncentive)*'Groun"&amp;"d Base'!G83)+GroundResidentialFee)*(1+GroundFuelSurcharge),2)))*(1+FedEx_Markup),2)"),57.42)</f>
        <v>57.42</v>
      </c>
      <c r="H88" s="275">
        <f>IFERROR(__xludf.DUMMYFUNCTION("ROUND((IF(SINGLE('Ground Base'!H$154)&gt;ROUND(((1-GroundResDiscount31Up-GroundResIncentive)*'Ground Base'!H83),2),ROUND((SINGLE('Ground Base'!H$154)+GroundResidentialFee)*(1+GroundFuelSurcharge),2),ROUND((((1-GroundResDiscount31Up-GroundResIncentive)*'Groun"&amp;"d Base'!H83)+GroundResidentialFee)*(1+GroundFuelSurcharge),2)))*(1+FedEx_Markup),2)"),60.9)</f>
        <v>60.9</v>
      </c>
      <c r="I88" s="275">
        <f>ROUND((IF('Ground Base'!I$154&gt;ROUND(((1-GroundAKHIDiscount)*'Ground Base'!I83),2),ROUND(('Ground Base'!I$154+GroundResidentialFee)*(1+GroundFuelSurcharge),2),ROUND((((1-GroundAKHIDiscount)*'Ground Base'!I83)+GroundResidentialFee)*(1+GroundFuelSurcharge),2)))*(1+FedEx_Markup),2)</f>
        <v>355.01</v>
      </c>
      <c r="J88" s="275">
        <f>ROUND((IF('Ground Base'!J$154&gt;ROUND(((1-GroundAKHIDiscount)*'Ground Base'!J83),2),ROUND(('Ground Base'!J$154+GroundResidentialFee)*(1+GroundFuelSurcharge),2),ROUND((((1-GroundAKHIDiscount)*'Ground Base'!J83)+GroundResidentialFee)*(1+GroundFuelSurcharge),2)))*(1+FedEx_Markup),2)</f>
        <v>355.01</v>
      </c>
      <c r="K88" s="275">
        <f>ROUND((IF('Ground Base'!K$154&gt;ROUND(((1-GroundZone51Discount)*'Ground Base'!K83),2),ROUND(('Ground Base'!K$154+GroundResidentialFee)*(1+GroundFuelSurcharge),2),ROUND((((1-GroundZone51Discount)*'Ground Base'!K83)+GroundResidentialFee)*(1+GroundFuelSurcharge),2)))*(1+FedEx_Markup),2)</f>
        <v>96.86</v>
      </c>
      <c r="L88" s="275">
        <f>ROUND((IF('Ground Base'!L$154&gt;ROUND(((1-GroundZone54Discount)*'Ground Base'!L83),2),ROUND(('Ground Base'!L$154+GroundResidentialFee)*(1+GroundFuelSurcharge),2),ROUND((((1-GroundZone54Discount)*'Ground Base'!L83)+GroundResidentialFee)*(1+GroundFuelSurcharge),2)))*(1+FedEx_Markup),2)</f>
        <v>116.59</v>
      </c>
    </row>
    <row r="89" ht="12.75" customHeight="1">
      <c r="A89" s="274">
        <v>82.0</v>
      </c>
      <c r="B89" s="275">
        <f>IFERROR(__xludf.DUMMYFUNCTION("ROUND((IF(SINGLE('Ground Base'!B$154)&gt;ROUND(((1-GroundResDiscount31Up-GroundResIncentive)*'Ground Base'!B84),2),ROUND((SINGLE('Ground Base'!B$154)+GroundResidentialFee)*(1+GroundFuelSurcharge),2),ROUND((((1-GroundResDiscount31Up-GroundResIncentive)*'Groun"&amp;"d Base'!B84)+GroundResidentialFee)*(1+GroundFuelSurcharge),2)))*(1+FedEx_Markup),2)"),29.07)</f>
        <v>29.07</v>
      </c>
      <c r="C89" s="275">
        <f>IFERROR(__xludf.DUMMYFUNCTION("ROUND((IF(SINGLE('Ground Base'!C$154)&gt;ROUND(((1-GroundResDiscount31Up-GroundResIncentive)*'Ground Base'!C84),2),ROUND((SINGLE('Ground Base'!C$154)+GroundResidentialFee)*(1+GroundFuelSurcharge),2),ROUND((((1-GroundResDiscount31Up-GroundResIncentive)*'Groun"&amp;"d Base'!C84)+GroundResidentialFee)*(1+GroundFuelSurcharge),2)))*(1+FedEx_Markup),2)"),32.48)</f>
        <v>32.48</v>
      </c>
      <c r="D89" s="275">
        <f>IFERROR(__xludf.DUMMYFUNCTION("ROUND((IF(SINGLE('Ground Base'!D$154)&gt;ROUND(((1-GroundResDiscount31Up-GroundResIncentive)*'Ground Base'!D84),2),ROUND((SINGLE('Ground Base'!D$154)+GroundResidentialFee)*(1+GroundFuelSurcharge),2),ROUND((((1-GroundResDiscount31Up-GroundResIncentive)*'Groun"&amp;"d Base'!D84)+GroundResidentialFee)*(1+GroundFuelSurcharge),2)))*(1+FedEx_Markup),2)"),36.59)</f>
        <v>36.59</v>
      </c>
      <c r="E89" s="275">
        <f>IFERROR(__xludf.DUMMYFUNCTION("ROUND((IF(SINGLE('Ground Base'!E$154)&gt;ROUND(((1-GroundResDiscount31Up-GroundResIncentive)*'Ground Base'!E84),2),ROUND((SINGLE('Ground Base'!E$154)+GroundResidentialFee)*(1+GroundFuelSurcharge),2),ROUND((((1-GroundResDiscount31Up-GroundResIncentive)*'Groun"&amp;"d Base'!E84)+GroundResidentialFee)*(1+GroundFuelSurcharge),2)))*(1+FedEx_Markup),2)"),42.22)</f>
        <v>42.22</v>
      </c>
      <c r="F89" s="275">
        <f>IFERROR(__xludf.DUMMYFUNCTION("ROUND((IF(SINGLE('Ground Base'!F$154)&gt;ROUND(((1-GroundResDiscount31Up-GroundResIncentive)*'Ground Base'!F84),2),ROUND((SINGLE('Ground Base'!F$154)+GroundResidentialFee)*(1+GroundFuelSurcharge),2),ROUND((((1-GroundResDiscount31Up-GroundResIncentive)*'Groun"&amp;"d Base'!F84)+GroundResidentialFee)*(1+GroundFuelSurcharge),2)))*(1+FedEx_Markup),2)"),49.77)</f>
        <v>49.77</v>
      </c>
      <c r="G89" s="275">
        <f>IFERROR(__xludf.DUMMYFUNCTION("ROUND((IF(SINGLE('Ground Base'!G$154)&gt;ROUND(((1-GroundResDiscount31Up-GroundResIncentive)*'Ground Base'!G84),2),ROUND((SINGLE('Ground Base'!G$154)+GroundResidentialFee)*(1+GroundFuelSurcharge),2),ROUND((((1-GroundResDiscount31Up-GroundResIncentive)*'Groun"&amp;"d Base'!G84)+GroundResidentialFee)*(1+GroundFuelSurcharge),2)))*(1+FedEx_Markup),2)"),58.83)</f>
        <v>58.83</v>
      </c>
      <c r="H89" s="275">
        <f>IFERROR(__xludf.DUMMYFUNCTION("ROUND((IF(SINGLE('Ground Base'!H$154)&gt;ROUND(((1-GroundResDiscount31Up-GroundResIncentive)*'Ground Base'!H84),2),ROUND((SINGLE('Ground Base'!H$154)+GroundResidentialFee)*(1+GroundFuelSurcharge),2),ROUND((((1-GroundResDiscount31Up-GroundResIncentive)*'Groun"&amp;"d Base'!H84)+GroundResidentialFee)*(1+GroundFuelSurcharge),2)))*(1+FedEx_Markup),2)"),60.9)</f>
        <v>60.9</v>
      </c>
      <c r="I89" s="275">
        <f>ROUND((IF('Ground Base'!I$154&gt;ROUND(((1-GroundAKHIDiscount)*'Ground Base'!I84),2),ROUND(('Ground Base'!I$154+GroundResidentialFee)*(1+GroundFuelSurcharge),2),ROUND((((1-GroundAKHIDiscount)*'Ground Base'!I84)+GroundResidentialFee)*(1+GroundFuelSurcharge),2)))*(1+FedEx_Markup),2)</f>
        <v>356.76</v>
      </c>
      <c r="J89" s="275">
        <f>ROUND((IF('Ground Base'!J$154&gt;ROUND(((1-GroundAKHIDiscount)*'Ground Base'!J84),2),ROUND(('Ground Base'!J$154+GroundResidentialFee)*(1+GroundFuelSurcharge),2),ROUND((((1-GroundAKHIDiscount)*'Ground Base'!J84)+GroundResidentialFee)*(1+GroundFuelSurcharge),2)))*(1+FedEx_Markup),2)</f>
        <v>356.76</v>
      </c>
      <c r="K89" s="275">
        <f>ROUND((IF('Ground Base'!K$154&gt;ROUND(((1-GroundZone51Discount)*'Ground Base'!K84),2),ROUND(('Ground Base'!K$154+GroundResidentialFee)*(1+GroundFuelSurcharge),2),ROUND((((1-GroundZone51Discount)*'Ground Base'!K84)+GroundResidentialFee)*(1+GroundFuelSurcharge),2)))*(1+FedEx_Markup),2)</f>
        <v>96.88</v>
      </c>
      <c r="L89" s="275">
        <f>ROUND((IF('Ground Base'!L$154&gt;ROUND(((1-GroundZone54Discount)*'Ground Base'!L84),2),ROUND(('Ground Base'!L$154+GroundResidentialFee)*(1+GroundFuelSurcharge),2),ROUND((((1-GroundZone54Discount)*'Ground Base'!L84)+GroundResidentialFee)*(1+GroundFuelSurcharge),2)))*(1+FedEx_Markup),2)</f>
        <v>116.6</v>
      </c>
    </row>
    <row r="90" ht="12.75" customHeight="1">
      <c r="A90" s="274">
        <v>83.0</v>
      </c>
      <c r="B90" s="275">
        <f>IFERROR(__xludf.DUMMYFUNCTION("ROUND((IF(SINGLE('Ground Base'!B$154)&gt;ROUND(((1-GroundResDiscount31Up-GroundResIncentive)*'Ground Base'!B85),2),ROUND((SINGLE('Ground Base'!B$154)+GroundResidentialFee)*(1+GroundFuelSurcharge),2),ROUND((((1-GroundResDiscount31Up-GroundResIncentive)*'Groun"&amp;"d Base'!B85)+GroundResidentialFee)*(1+GroundFuelSurcharge),2)))*(1+FedEx_Markup),2)"),29.07)</f>
        <v>29.07</v>
      </c>
      <c r="C90" s="275">
        <f>IFERROR(__xludf.DUMMYFUNCTION("ROUND((IF(SINGLE('Ground Base'!C$154)&gt;ROUND(((1-GroundResDiscount31Up-GroundResIncentive)*'Ground Base'!C85),2),ROUND((SINGLE('Ground Base'!C$154)+GroundResidentialFee)*(1+GroundFuelSurcharge),2),ROUND((((1-GroundResDiscount31Up-GroundResIncentive)*'Groun"&amp;"d Base'!C85)+GroundResidentialFee)*(1+GroundFuelSurcharge),2)))*(1+FedEx_Markup),2)"),32.48)</f>
        <v>32.48</v>
      </c>
      <c r="D90" s="275">
        <f>IFERROR(__xludf.DUMMYFUNCTION("ROUND((IF(SINGLE('Ground Base'!D$154)&gt;ROUND(((1-GroundResDiscount31Up-GroundResIncentive)*'Ground Base'!D85),2),ROUND((SINGLE('Ground Base'!D$154)+GroundResidentialFee)*(1+GroundFuelSurcharge),2),ROUND((((1-GroundResDiscount31Up-GroundResIncentive)*'Groun"&amp;"d Base'!D85)+GroundResidentialFee)*(1+GroundFuelSurcharge),2)))*(1+FedEx_Markup),2)"),36.59)</f>
        <v>36.59</v>
      </c>
      <c r="E90" s="275">
        <f>IFERROR(__xludf.DUMMYFUNCTION("ROUND((IF(SINGLE('Ground Base'!E$154)&gt;ROUND(((1-GroundResDiscount31Up-GroundResIncentive)*'Ground Base'!E85),2),ROUND((SINGLE('Ground Base'!E$154)+GroundResidentialFee)*(1+GroundFuelSurcharge),2),ROUND((((1-GroundResDiscount31Up-GroundResIncentive)*'Groun"&amp;"d Base'!E85)+GroundResidentialFee)*(1+GroundFuelSurcharge),2)))*(1+FedEx_Markup),2)"),42.23)</f>
        <v>42.23</v>
      </c>
      <c r="F90" s="275">
        <f>IFERROR(__xludf.DUMMYFUNCTION("ROUND((IF(SINGLE('Ground Base'!F$154)&gt;ROUND(((1-GroundResDiscount31Up-GroundResIncentive)*'Ground Base'!F85),2),ROUND((SINGLE('Ground Base'!F$154)+GroundResidentialFee)*(1+GroundFuelSurcharge),2),ROUND((((1-GroundResDiscount31Up-GroundResIncentive)*'Groun"&amp;"d Base'!F85)+GroundResidentialFee)*(1+GroundFuelSurcharge),2)))*(1+FedEx_Markup),2)"),49.91)</f>
        <v>49.91</v>
      </c>
      <c r="G90" s="275">
        <f>IFERROR(__xludf.DUMMYFUNCTION("ROUND((IF(SINGLE('Ground Base'!G$154)&gt;ROUND(((1-GroundResDiscount31Up-GroundResIncentive)*'Ground Base'!G85),2),ROUND((SINGLE('Ground Base'!G$154)+GroundResidentialFee)*(1+GroundFuelSurcharge),2),ROUND((((1-GroundResDiscount31Up-GroundResIncentive)*'Groun"&amp;"d Base'!G85)+GroundResidentialFee)*(1+GroundFuelSurcharge),2)))*(1+FedEx_Markup),2)"),58.85)</f>
        <v>58.85</v>
      </c>
      <c r="H90" s="275">
        <f>IFERROR(__xludf.DUMMYFUNCTION("ROUND((IF(SINGLE('Ground Base'!H$154)&gt;ROUND(((1-GroundResDiscount31Up-GroundResIncentive)*'Ground Base'!H85),2),ROUND((SINGLE('Ground Base'!H$154)+GroundResidentialFee)*(1+GroundFuelSurcharge),2),ROUND((((1-GroundResDiscount31Up-GroundResIncentive)*'Groun"&amp;"d Base'!H85)+GroundResidentialFee)*(1+GroundFuelSurcharge),2)))*(1+FedEx_Markup),2)"),60.92)</f>
        <v>60.92</v>
      </c>
      <c r="I90" s="275">
        <f>ROUND((IF('Ground Base'!I$154&gt;ROUND(((1-GroundAKHIDiscount)*'Ground Base'!I85),2),ROUND(('Ground Base'!I$154+GroundResidentialFee)*(1+GroundFuelSurcharge),2),ROUND((((1-GroundAKHIDiscount)*'Ground Base'!I85)+GroundResidentialFee)*(1+GroundFuelSurcharge),2)))*(1+FedEx_Markup),2)</f>
        <v>360.62</v>
      </c>
      <c r="J90" s="275">
        <f>ROUND((IF('Ground Base'!J$154&gt;ROUND(((1-GroundAKHIDiscount)*'Ground Base'!J85),2),ROUND(('Ground Base'!J$154+GroundResidentialFee)*(1+GroundFuelSurcharge),2),ROUND((((1-GroundAKHIDiscount)*'Ground Base'!J85)+GroundResidentialFee)*(1+GroundFuelSurcharge),2)))*(1+FedEx_Markup),2)</f>
        <v>360.62</v>
      </c>
      <c r="K90" s="275">
        <f>ROUND((IF('Ground Base'!K$154&gt;ROUND(((1-GroundZone51Discount)*'Ground Base'!K85),2),ROUND(('Ground Base'!K$154+GroundResidentialFee)*(1+GroundFuelSurcharge),2),ROUND((((1-GroundZone51Discount)*'Ground Base'!K85)+GroundResidentialFee)*(1+GroundFuelSurcharge),2)))*(1+FedEx_Markup),2)</f>
        <v>97.69</v>
      </c>
      <c r="L90" s="275">
        <f>ROUND((IF('Ground Base'!L$154&gt;ROUND(((1-GroundZone54Discount)*'Ground Base'!L85),2),ROUND(('Ground Base'!L$154+GroundResidentialFee)*(1+GroundFuelSurcharge),2),ROUND((((1-GroundZone54Discount)*'Ground Base'!L85)+GroundResidentialFee)*(1+GroundFuelSurcharge),2)))*(1+FedEx_Markup),2)</f>
        <v>118.61</v>
      </c>
    </row>
    <row r="91" ht="12.75" customHeight="1">
      <c r="A91" s="274">
        <v>84.0</v>
      </c>
      <c r="B91" s="275">
        <f>IFERROR(__xludf.DUMMYFUNCTION("ROUND((IF(SINGLE('Ground Base'!B$154)&gt;ROUND(((1-GroundResDiscount31Up-GroundResIncentive)*'Ground Base'!B86),2),ROUND((SINGLE('Ground Base'!B$154)+GroundResidentialFee)*(1+GroundFuelSurcharge),2),ROUND((((1-GroundResDiscount31Up-GroundResIncentive)*'Groun"&amp;"d Base'!B86)+GroundResidentialFee)*(1+GroundFuelSurcharge),2)))*(1+FedEx_Markup),2)"),30.12)</f>
        <v>30.12</v>
      </c>
      <c r="C91" s="275">
        <f>IFERROR(__xludf.DUMMYFUNCTION("ROUND((IF(SINGLE('Ground Base'!C$154)&gt;ROUND(((1-GroundResDiscount31Up-GroundResIncentive)*'Ground Base'!C86),2),ROUND((SINGLE('Ground Base'!C$154)+GroundResidentialFee)*(1+GroundFuelSurcharge),2),ROUND((((1-GroundResDiscount31Up-GroundResIncentive)*'Groun"&amp;"d Base'!C86)+GroundResidentialFee)*(1+GroundFuelSurcharge),2)))*(1+FedEx_Markup),2)"),33.65)</f>
        <v>33.65</v>
      </c>
      <c r="D91" s="275">
        <f>IFERROR(__xludf.DUMMYFUNCTION("ROUND((IF(SINGLE('Ground Base'!D$154)&gt;ROUND(((1-GroundResDiscount31Up-GroundResIncentive)*'Ground Base'!D86),2),ROUND((SINGLE('Ground Base'!D$154)+GroundResidentialFee)*(1+GroundFuelSurcharge),2),ROUND((((1-GroundResDiscount31Up-GroundResIncentive)*'Groun"&amp;"d Base'!D86)+GroundResidentialFee)*(1+GroundFuelSurcharge),2)))*(1+FedEx_Markup),2)"),37.58)</f>
        <v>37.58</v>
      </c>
      <c r="E91" s="275">
        <f>IFERROR(__xludf.DUMMYFUNCTION("ROUND((IF(SINGLE('Ground Base'!E$154)&gt;ROUND(((1-GroundResDiscount31Up-GroundResIncentive)*'Ground Base'!E86),2),ROUND((SINGLE('Ground Base'!E$154)+GroundResidentialFee)*(1+GroundFuelSurcharge),2),ROUND((((1-GroundResDiscount31Up-GroundResIncentive)*'Groun"&amp;"d Base'!E86)+GroundResidentialFee)*(1+GroundFuelSurcharge),2)))*(1+FedEx_Markup),2)"),42.61)</f>
        <v>42.61</v>
      </c>
      <c r="F91" s="275">
        <f>IFERROR(__xludf.DUMMYFUNCTION("ROUND((IF(SINGLE('Ground Base'!F$154)&gt;ROUND(((1-GroundResDiscount31Up-GroundResIncentive)*'Ground Base'!F86),2),ROUND((SINGLE('Ground Base'!F$154)+GroundResidentialFee)*(1+GroundFuelSurcharge),2),ROUND((((1-GroundResDiscount31Up-GroundResIncentive)*'Groun"&amp;"d Base'!F86)+GroundResidentialFee)*(1+GroundFuelSurcharge),2)))*(1+FedEx_Markup),2)"),51.07)</f>
        <v>51.07</v>
      </c>
      <c r="G91" s="275">
        <f>IFERROR(__xludf.DUMMYFUNCTION("ROUND((IF(SINGLE('Ground Base'!G$154)&gt;ROUND(((1-GroundResDiscount31Up-GroundResIncentive)*'Ground Base'!G86),2),ROUND((SINGLE('Ground Base'!G$154)+GroundResidentialFee)*(1+GroundFuelSurcharge),2),ROUND((((1-GroundResDiscount31Up-GroundResIncentive)*'Groun"&amp;"d Base'!G86)+GroundResidentialFee)*(1+GroundFuelSurcharge),2)))*(1+FedEx_Markup),2)"),59.51)</f>
        <v>59.51</v>
      </c>
      <c r="H91" s="275">
        <f>IFERROR(__xludf.DUMMYFUNCTION("ROUND((IF(SINGLE('Ground Base'!H$154)&gt;ROUND(((1-GroundResDiscount31Up-GroundResIncentive)*'Ground Base'!H86),2),ROUND((SINGLE('Ground Base'!H$154)+GroundResidentialFee)*(1+GroundFuelSurcharge),2),ROUND((((1-GroundResDiscount31Up-GroundResIncentive)*'Groun"&amp;"d Base'!H86)+GroundResidentialFee)*(1+GroundFuelSurcharge),2)))*(1+FedEx_Markup),2)"),61.36)</f>
        <v>61.36</v>
      </c>
      <c r="I91" s="275">
        <f>ROUND((IF('Ground Base'!I$154&gt;ROUND(((1-GroundAKHIDiscount)*'Ground Base'!I86),2),ROUND(('Ground Base'!I$154+GroundResidentialFee)*(1+GroundFuelSurcharge),2),ROUND((((1-GroundAKHIDiscount)*'Ground Base'!I86)+GroundResidentialFee)*(1+GroundFuelSurcharge),2)))*(1+FedEx_Markup),2)</f>
        <v>364.76</v>
      </c>
      <c r="J91" s="275">
        <f>ROUND((IF('Ground Base'!J$154&gt;ROUND(((1-GroundAKHIDiscount)*'Ground Base'!J86),2),ROUND(('Ground Base'!J$154+GroundResidentialFee)*(1+GroundFuelSurcharge),2),ROUND((((1-GroundAKHIDiscount)*'Ground Base'!J86)+GroundResidentialFee)*(1+GroundFuelSurcharge),2)))*(1+FedEx_Markup),2)</f>
        <v>364.76</v>
      </c>
      <c r="K91" s="275">
        <f>ROUND((IF('Ground Base'!K$154&gt;ROUND(((1-GroundZone51Discount)*'Ground Base'!K86),2),ROUND(('Ground Base'!K$154+GroundResidentialFee)*(1+GroundFuelSurcharge),2),ROUND((((1-GroundZone51Discount)*'Ground Base'!K86)+GroundResidentialFee)*(1+GroundFuelSurcharge),2)))*(1+FedEx_Markup),2)</f>
        <v>97.73</v>
      </c>
      <c r="L91" s="275">
        <f>ROUND((IF('Ground Base'!L$154&gt;ROUND(((1-GroundZone54Discount)*'Ground Base'!L86),2),ROUND(('Ground Base'!L$154+GroundResidentialFee)*(1+GroundFuelSurcharge),2),ROUND((((1-GroundZone54Discount)*'Ground Base'!L86)+GroundResidentialFee)*(1+GroundFuelSurcharge),2)))*(1+FedEx_Markup),2)</f>
        <v>118.62</v>
      </c>
    </row>
    <row r="92" ht="12.75" customHeight="1">
      <c r="A92" s="274">
        <v>85.0</v>
      </c>
      <c r="B92" s="275">
        <f>IFERROR(__xludf.DUMMYFUNCTION("ROUND((IF(SINGLE('Ground Base'!B$154)&gt;ROUND(((1-GroundResDiscount31Up-GroundResIncentive)*'Ground Base'!B87),2),ROUND((SINGLE('Ground Base'!B$154)+GroundResidentialFee)*(1+GroundFuelSurcharge),2),ROUND((((1-GroundResDiscount31Up-GroundResIncentive)*'Groun"&amp;"d Base'!B87)+GroundResidentialFee)*(1+GroundFuelSurcharge),2)))*(1+FedEx_Markup),2)"),30.85)</f>
        <v>30.85</v>
      </c>
      <c r="C92" s="275">
        <f>IFERROR(__xludf.DUMMYFUNCTION("ROUND((IF(SINGLE('Ground Base'!C$154)&gt;ROUND(((1-GroundResDiscount31Up-GroundResIncentive)*'Ground Base'!C87),2),ROUND((SINGLE('Ground Base'!C$154)+GroundResidentialFee)*(1+GroundFuelSurcharge),2),ROUND((((1-GroundResDiscount31Up-GroundResIncentive)*'Groun"&amp;"d Base'!C87)+GroundResidentialFee)*(1+GroundFuelSurcharge),2)))*(1+FedEx_Markup),2)"),33.66)</f>
        <v>33.66</v>
      </c>
      <c r="D92" s="275">
        <f>IFERROR(__xludf.DUMMYFUNCTION("ROUND((IF(SINGLE('Ground Base'!D$154)&gt;ROUND(((1-GroundResDiscount31Up-GroundResIncentive)*'Ground Base'!D87),2),ROUND((SINGLE('Ground Base'!D$154)+GroundResidentialFee)*(1+GroundFuelSurcharge),2),ROUND((((1-GroundResDiscount31Up-GroundResIncentive)*'Groun"&amp;"d Base'!D87)+GroundResidentialFee)*(1+GroundFuelSurcharge),2)))*(1+FedEx_Markup),2)"),37.61)</f>
        <v>37.61</v>
      </c>
      <c r="E92" s="275">
        <f>IFERROR(__xludf.DUMMYFUNCTION("ROUND((IF(SINGLE('Ground Base'!E$154)&gt;ROUND(((1-GroundResDiscount31Up-GroundResIncentive)*'Ground Base'!E87),2),ROUND((SINGLE('Ground Base'!E$154)+GroundResidentialFee)*(1+GroundFuelSurcharge),2),ROUND((((1-GroundResDiscount31Up-GroundResIncentive)*'Groun"&amp;"d Base'!E87)+GroundResidentialFee)*(1+GroundFuelSurcharge),2)))*(1+FedEx_Markup),2)"),43.25)</f>
        <v>43.25</v>
      </c>
      <c r="F92" s="275">
        <f>IFERROR(__xludf.DUMMYFUNCTION("ROUND((IF(SINGLE('Ground Base'!F$154)&gt;ROUND(((1-GroundResDiscount31Up-GroundResIncentive)*'Ground Base'!F87),2),ROUND((SINGLE('Ground Base'!F$154)+GroundResidentialFee)*(1+GroundFuelSurcharge),2),ROUND((((1-GroundResDiscount31Up-GroundResIncentive)*'Groun"&amp;"d Base'!F87)+GroundResidentialFee)*(1+GroundFuelSurcharge),2)))*(1+FedEx_Markup),2)"),51.36)</f>
        <v>51.36</v>
      </c>
      <c r="G92" s="275">
        <f>IFERROR(__xludf.DUMMYFUNCTION("ROUND((IF(SINGLE('Ground Base'!G$154)&gt;ROUND(((1-GroundResDiscount31Up-GroundResIncentive)*'Ground Base'!G87),2),ROUND((SINGLE('Ground Base'!G$154)+GroundResidentialFee)*(1+GroundFuelSurcharge),2),ROUND((((1-GroundResDiscount31Up-GroundResIncentive)*'Groun"&amp;"d Base'!G87)+GroundResidentialFee)*(1+GroundFuelSurcharge),2)))*(1+FedEx_Markup),2)"),60.12)</f>
        <v>60.12</v>
      </c>
      <c r="H92" s="275">
        <f>IFERROR(__xludf.DUMMYFUNCTION("ROUND((IF(SINGLE('Ground Base'!H$154)&gt;ROUND(((1-GroundResDiscount31Up-GroundResIncentive)*'Ground Base'!H87),2),ROUND((SINGLE('Ground Base'!H$154)+GroundResidentialFee)*(1+GroundFuelSurcharge),2),ROUND((((1-GroundResDiscount31Up-GroundResIncentive)*'Groun"&amp;"d Base'!H87)+GroundResidentialFee)*(1+GroundFuelSurcharge),2)))*(1+FedEx_Markup),2)"),62.0)</f>
        <v>62</v>
      </c>
      <c r="I92" s="275">
        <f>ROUND((IF('Ground Base'!I$154&gt;ROUND(((1-GroundAKHIDiscount)*'Ground Base'!I87),2),ROUND(('Ground Base'!I$154+GroundResidentialFee)*(1+GroundFuelSurcharge),2),ROUND((((1-GroundAKHIDiscount)*'Ground Base'!I87)+GroundResidentialFee)*(1+GroundFuelSurcharge),2)))*(1+FedEx_Markup),2)</f>
        <v>368.97</v>
      </c>
      <c r="J92" s="275">
        <f>ROUND((IF('Ground Base'!J$154&gt;ROUND(((1-GroundAKHIDiscount)*'Ground Base'!J87),2),ROUND(('Ground Base'!J$154+GroundResidentialFee)*(1+GroundFuelSurcharge),2),ROUND((((1-GroundAKHIDiscount)*'Ground Base'!J87)+GroundResidentialFee)*(1+GroundFuelSurcharge),2)))*(1+FedEx_Markup),2)</f>
        <v>368.97</v>
      </c>
      <c r="K92" s="275">
        <f>ROUND((IF('Ground Base'!K$154&gt;ROUND(((1-GroundZone51Discount)*'Ground Base'!K87),2),ROUND(('Ground Base'!K$154+GroundResidentialFee)*(1+GroundFuelSurcharge),2),ROUND((((1-GroundZone51Discount)*'Ground Base'!K87)+GroundResidentialFee)*(1+GroundFuelSurcharge),2)))*(1+FedEx_Markup),2)</f>
        <v>98.04</v>
      </c>
      <c r="L92" s="275">
        <f>ROUND((IF('Ground Base'!L$154&gt;ROUND(((1-GroundZone54Discount)*'Ground Base'!L87),2),ROUND(('Ground Base'!L$154+GroundResidentialFee)*(1+GroundFuelSurcharge),2),ROUND((((1-GroundZone54Discount)*'Ground Base'!L87)+GroundResidentialFee)*(1+GroundFuelSurcharge),2)))*(1+FedEx_Markup),2)</f>
        <v>121.21</v>
      </c>
    </row>
    <row r="93" ht="12.75" customHeight="1">
      <c r="A93" s="274">
        <v>86.0</v>
      </c>
      <c r="B93" s="275">
        <f>IFERROR(__xludf.DUMMYFUNCTION("ROUND((IF(SINGLE('Ground Base'!B$154)&gt;ROUND(((1-GroundResDiscount31Up-GroundResIncentive)*'Ground Base'!B88),2),ROUND((SINGLE('Ground Base'!B$154)+GroundResidentialFee)*(1+GroundFuelSurcharge),2),ROUND((((1-GroundResDiscount31Up-GroundResIncentive)*'Groun"&amp;"d Base'!B88)+GroundResidentialFee)*(1+GroundFuelSurcharge),2)))*(1+FedEx_Markup),2)"),31.87)</f>
        <v>31.87</v>
      </c>
      <c r="C93" s="275">
        <f>IFERROR(__xludf.DUMMYFUNCTION("ROUND((IF(SINGLE('Ground Base'!C$154)&gt;ROUND(((1-GroundResDiscount31Up-GroundResIncentive)*'Ground Base'!C88),2),ROUND((SINGLE('Ground Base'!C$154)+GroundResidentialFee)*(1+GroundFuelSurcharge),2),ROUND((((1-GroundResDiscount31Up-GroundResIncentive)*'Groun"&amp;"d Base'!C88)+GroundResidentialFee)*(1+GroundFuelSurcharge),2)))*(1+FedEx_Markup),2)"),35.36)</f>
        <v>35.36</v>
      </c>
      <c r="D93" s="275">
        <f>IFERROR(__xludf.DUMMYFUNCTION("ROUND((IF(SINGLE('Ground Base'!D$154)&gt;ROUND(((1-GroundResDiscount31Up-GroundResIncentive)*'Ground Base'!D88),2),ROUND((SINGLE('Ground Base'!D$154)+GroundResidentialFee)*(1+GroundFuelSurcharge),2),ROUND((((1-GroundResDiscount31Up-GroundResIncentive)*'Groun"&amp;"d Base'!D88)+GroundResidentialFee)*(1+GroundFuelSurcharge),2)))*(1+FedEx_Markup),2)"),38.96)</f>
        <v>38.96</v>
      </c>
      <c r="E93" s="275">
        <f>IFERROR(__xludf.DUMMYFUNCTION("ROUND((IF(SINGLE('Ground Base'!E$154)&gt;ROUND(((1-GroundResDiscount31Up-GroundResIncentive)*'Ground Base'!E88),2),ROUND((SINGLE('Ground Base'!E$154)+GroundResidentialFee)*(1+GroundFuelSurcharge),2),ROUND((((1-GroundResDiscount31Up-GroundResIncentive)*'Groun"&amp;"d Base'!E88)+GroundResidentialFee)*(1+GroundFuelSurcharge),2)))*(1+FedEx_Markup),2)"),44.01)</f>
        <v>44.01</v>
      </c>
      <c r="F93" s="275">
        <f>IFERROR(__xludf.DUMMYFUNCTION("ROUND((IF(SINGLE('Ground Base'!F$154)&gt;ROUND(((1-GroundResDiscount31Up-GroundResIncentive)*'Ground Base'!F88),2),ROUND((SINGLE('Ground Base'!F$154)+GroundResidentialFee)*(1+GroundFuelSurcharge),2),ROUND((((1-GroundResDiscount31Up-GroundResIncentive)*'Groun"&amp;"d Base'!F88)+GroundResidentialFee)*(1+GroundFuelSurcharge),2)))*(1+FedEx_Markup),2)"),52.39)</f>
        <v>52.39</v>
      </c>
      <c r="G93" s="275">
        <f>IFERROR(__xludf.DUMMYFUNCTION("ROUND((IF(SINGLE('Ground Base'!G$154)&gt;ROUND(((1-GroundResDiscount31Up-GroundResIncentive)*'Ground Base'!G88),2),ROUND((SINGLE('Ground Base'!G$154)+GroundResidentialFee)*(1+GroundFuelSurcharge),2),ROUND((((1-GroundResDiscount31Up-GroundResIncentive)*'Groun"&amp;"d Base'!G88)+GroundResidentialFee)*(1+GroundFuelSurcharge),2)))*(1+FedEx_Markup),2)"),61.73)</f>
        <v>61.73</v>
      </c>
      <c r="H93" s="275">
        <f>IFERROR(__xludf.DUMMYFUNCTION("ROUND((IF(SINGLE('Ground Base'!H$154)&gt;ROUND(((1-GroundResDiscount31Up-GroundResIncentive)*'Ground Base'!H88),2),ROUND((SINGLE('Ground Base'!H$154)+GroundResidentialFee)*(1+GroundFuelSurcharge),2),ROUND((((1-GroundResDiscount31Up-GroundResIncentive)*'Groun"&amp;"d Base'!H88)+GroundResidentialFee)*(1+GroundFuelSurcharge),2)))*(1+FedEx_Markup),2)"),63.8)</f>
        <v>63.8</v>
      </c>
      <c r="I93" s="275">
        <f>ROUND((IF('Ground Base'!I$154&gt;ROUND(((1-GroundAKHIDiscount)*'Ground Base'!I88),2),ROUND(('Ground Base'!I$154+GroundResidentialFee)*(1+GroundFuelSurcharge),2),ROUND((((1-GroundAKHIDiscount)*'Ground Base'!I88)+GroundResidentialFee)*(1+GroundFuelSurcharge),2)))*(1+FedEx_Markup),2)</f>
        <v>372.81</v>
      </c>
      <c r="J93" s="275">
        <f>ROUND((IF('Ground Base'!J$154&gt;ROUND(((1-GroundAKHIDiscount)*'Ground Base'!J88),2),ROUND(('Ground Base'!J$154+GroundResidentialFee)*(1+GroundFuelSurcharge),2),ROUND((((1-GroundAKHIDiscount)*'Ground Base'!J88)+GroundResidentialFee)*(1+GroundFuelSurcharge),2)))*(1+FedEx_Markup),2)</f>
        <v>372.81</v>
      </c>
      <c r="K93" s="275">
        <f>ROUND((IF('Ground Base'!K$154&gt;ROUND(((1-GroundZone51Discount)*'Ground Base'!K88),2),ROUND(('Ground Base'!K$154+GroundResidentialFee)*(1+GroundFuelSurcharge),2),ROUND((((1-GroundZone51Discount)*'Ground Base'!K88)+GroundResidentialFee)*(1+GroundFuelSurcharge),2)))*(1+FedEx_Markup),2)</f>
        <v>98.04</v>
      </c>
      <c r="L93" s="275">
        <f>ROUND((IF('Ground Base'!L$154&gt;ROUND(((1-GroundZone54Discount)*'Ground Base'!L88),2),ROUND(('Ground Base'!L$154+GroundResidentialFee)*(1+GroundFuelSurcharge),2),ROUND((((1-GroundZone54Discount)*'Ground Base'!L88)+GroundResidentialFee)*(1+GroundFuelSurcharge),2)))*(1+FedEx_Markup),2)</f>
        <v>121.21</v>
      </c>
    </row>
    <row r="94" ht="12.75" customHeight="1">
      <c r="A94" s="274">
        <v>87.0</v>
      </c>
      <c r="B94" s="275">
        <f>IFERROR(__xludf.DUMMYFUNCTION("ROUND((IF(SINGLE('Ground Base'!B$154)&gt;ROUND(((1-GroundResDiscount31Up-GroundResIncentive)*'Ground Base'!B89),2),ROUND((SINGLE('Ground Base'!B$154)+GroundResidentialFee)*(1+GroundFuelSurcharge),2),ROUND((((1-GroundResDiscount31Up-GroundResIncentive)*'Groun"&amp;"d Base'!B89)+GroundResidentialFee)*(1+GroundFuelSurcharge),2)))*(1+FedEx_Markup),2)"),32.48)</f>
        <v>32.48</v>
      </c>
      <c r="C94" s="275">
        <f>IFERROR(__xludf.DUMMYFUNCTION("ROUND((IF(SINGLE('Ground Base'!C$154)&gt;ROUND(((1-GroundResDiscount31Up-GroundResIncentive)*'Ground Base'!C89),2),ROUND((SINGLE('Ground Base'!C$154)+GroundResidentialFee)*(1+GroundFuelSurcharge),2),ROUND((((1-GroundResDiscount31Up-GroundResIncentive)*'Groun"&amp;"d Base'!C89)+GroundResidentialFee)*(1+GroundFuelSurcharge),2)))*(1+FedEx_Markup),2)"),35.39)</f>
        <v>35.39</v>
      </c>
      <c r="D94" s="275">
        <f>IFERROR(__xludf.DUMMYFUNCTION("ROUND((IF(SINGLE('Ground Base'!D$154)&gt;ROUND(((1-GroundResDiscount31Up-GroundResIncentive)*'Ground Base'!D89),2),ROUND((SINGLE('Ground Base'!D$154)+GroundResidentialFee)*(1+GroundFuelSurcharge),2),ROUND((((1-GroundResDiscount31Up-GroundResIncentive)*'Groun"&amp;"d Base'!D89)+GroundResidentialFee)*(1+GroundFuelSurcharge),2)))*(1+FedEx_Markup),2)"),38.96)</f>
        <v>38.96</v>
      </c>
      <c r="E94" s="275">
        <f>IFERROR(__xludf.DUMMYFUNCTION("ROUND((IF(SINGLE('Ground Base'!E$154)&gt;ROUND(((1-GroundResDiscount31Up-GroundResIncentive)*'Ground Base'!E89),2),ROUND((SINGLE('Ground Base'!E$154)+GroundResidentialFee)*(1+GroundFuelSurcharge),2),ROUND((((1-GroundResDiscount31Up-GroundResIncentive)*'Groun"&amp;"d Base'!E89)+GroundResidentialFee)*(1+GroundFuelSurcharge),2)))*(1+FedEx_Markup),2)"),44.01)</f>
        <v>44.01</v>
      </c>
      <c r="F94" s="275">
        <f>IFERROR(__xludf.DUMMYFUNCTION("ROUND((IF(SINGLE('Ground Base'!F$154)&gt;ROUND(((1-GroundResDiscount31Up-GroundResIncentive)*'Ground Base'!F89),2),ROUND((SINGLE('Ground Base'!F$154)+GroundResidentialFee)*(1+GroundFuelSurcharge),2),ROUND((((1-GroundResDiscount31Up-GroundResIncentive)*'Groun"&amp;"d Base'!F89)+GroundResidentialFee)*(1+GroundFuelSurcharge),2)))*(1+FedEx_Markup),2)"),53.05)</f>
        <v>53.05</v>
      </c>
      <c r="G94" s="275">
        <f>IFERROR(__xludf.DUMMYFUNCTION("ROUND((IF(SINGLE('Ground Base'!G$154)&gt;ROUND(((1-GroundResDiscount31Up-GroundResIncentive)*'Ground Base'!G89),2),ROUND((SINGLE('Ground Base'!G$154)+GroundResidentialFee)*(1+GroundFuelSurcharge),2),ROUND((((1-GroundResDiscount31Up-GroundResIncentive)*'Groun"&amp;"d Base'!G89)+GroundResidentialFee)*(1+GroundFuelSurcharge),2)))*(1+FedEx_Markup),2)"),61.78)</f>
        <v>61.78</v>
      </c>
      <c r="H94" s="275">
        <f>IFERROR(__xludf.DUMMYFUNCTION("ROUND((IF(SINGLE('Ground Base'!H$154)&gt;ROUND(((1-GroundResDiscount31Up-GroundResIncentive)*'Ground Base'!H89),2),ROUND((SINGLE('Ground Base'!H$154)+GroundResidentialFee)*(1+GroundFuelSurcharge),2),ROUND((((1-GroundResDiscount31Up-GroundResIncentive)*'Groun"&amp;"d Base'!H89)+GroundResidentialFee)*(1+GroundFuelSurcharge),2)))*(1+FedEx_Markup),2)"),63.91)</f>
        <v>63.91</v>
      </c>
      <c r="I94" s="275">
        <f>ROUND((IF('Ground Base'!I$154&gt;ROUND(((1-GroundAKHIDiscount)*'Ground Base'!I89),2),ROUND(('Ground Base'!I$154+GroundResidentialFee)*(1+GroundFuelSurcharge),2),ROUND((((1-GroundAKHIDiscount)*'Ground Base'!I89)+GroundResidentialFee)*(1+GroundFuelSurcharge),2)))*(1+FedEx_Markup),2)</f>
        <v>376.98</v>
      </c>
      <c r="J94" s="275">
        <f>ROUND((IF('Ground Base'!J$154&gt;ROUND(((1-GroundAKHIDiscount)*'Ground Base'!J89),2),ROUND(('Ground Base'!J$154+GroundResidentialFee)*(1+GroundFuelSurcharge),2),ROUND((((1-GroundAKHIDiscount)*'Ground Base'!J89)+GroundResidentialFee)*(1+GroundFuelSurcharge),2)))*(1+FedEx_Markup),2)</f>
        <v>376.98</v>
      </c>
      <c r="K94" s="275">
        <f>ROUND((IF('Ground Base'!K$154&gt;ROUND(((1-GroundZone51Discount)*'Ground Base'!K89),2),ROUND(('Ground Base'!K$154+GroundResidentialFee)*(1+GroundFuelSurcharge),2),ROUND((((1-GroundZone51Discount)*'Ground Base'!K89)+GroundResidentialFee)*(1+GroundFuelSurcharge),2)))*(1+FedEx_Markup),2)</f>
        <v>99.16</v>
      </c>
      <c r="L94" s="275">
        <f>ROUND((IF('Ground Base'!L$154&gt;ROUND(((1-GroundZone54Discount)*'Ground Base'!L89),2),ROUND(('Ground Base'!L$154+GroundResidentialFee)*(1+GroundFuelSurcharge),2),ROUND((((1-GroundZone54Discount)*'Ground Base'!L89)+GroundResidentialFee)*(1+GroundFuelSurcharge),2)))*(1+FedEx_Markup),2)</f>
        <v>123.15</v>
      </c>
    </row>
    <row r="95" ht="12.75" customHeight="1">
      <c r="A95" s="274">
        <v>88.0</v>
      </c>
      <c r="B95" s="275">
        <f>IFERROR(__xludf.DUMMYFUNCTION("ROUND((IF(SINGLE('Ground Base'!B$154)&gt;ROUND(((1-GroundResDiscount31Up-GroundResIncentive)*'Ground Base'!B90),2),ROUND((SINGLE('Ground Base'!B$154)+GroundResidentialFee)*(1+GroundFuelSurcharge),2),ROUND((((1-GroundResDiscount31Up-GroundResIncentive)*'Groun"&amp;"d Base'!B90)+GroundResidentialFee)*(1+GroundFuelSurcharge),2)))*(1+FedEx_Markup),2)"),33.7)</f>
        <v>33.7</v>
      </c>
      <c r="C95" s="275">
        <f>IFERROR(__xludf.DUMMYFUNCTION("ROUND((IF(SINGLE('Ground Base'!C$154)&gt;ROUND(((1-GroundResDiscount31Up-GroundResIncentive)*'Ground Base'!C90),2),ROUND((SINGLE('Ground Base'!C$154)+GroundResidentialFee)*(1+GroundFuelSurcharge),2),ROUND((((1-GroundResDiscount31Up-GroundResIncentive)*'Groun"&amp;"d Base'!C90)+GroundResidentialFee)*(1+GroundFuelSurcharge),2)))*(1+FedEx_Markup),2)"),36.11)</f>
        <v>36.11</v>
      </c>
      <c r="D95" s="275">
        <f>IFERROR(__xludf.DUMMYFUNCTION("ROUND((IF(SINGLE('Ground Base'!D$154)&gt;ROUND(((1-GroundResDiscount31Up-GroundResIncentive)*'Ground Base'!D90),2),ROUND((SINGLE('Ground Base'!D$154)+GroundResidentialFee)*(1+GroundFuelSurcharge),2),ROUND((((1-GroundResDiscount31Up-GroundResIncentive)*'Groun"&amp;"d Base'!D90)+GroundResidentialFee)*(1+GroundFuelSurcharge),2)))*(1+FedEx_Markup),2)"),40.1)</f>
        <v>40.1</v>
      </c>
      <c r="E95" s="275">
        <f>IFERROR(__xludf.DUMMYFUNCTION("ROUND((IF(SINGLE('Ground Base'!E$154)&gt;ROUND(((1-GroundResDiscount31Up-GroundResIncentive)*'Ground Base'!E90),2),ROUND((SINGLE('Ground Base'!E$154)+GroundResidentialFee)*(1+GroundFuelSurcharge),2),ROUND((((1-GroundResDiscount31Up-GroundResIncentive)*'Groun"&amp;"d Base'!E90)+GroundResidentialFee)*(1+GroundFuelSurcharge),2)))*(1+FedEx_Markup),2)"),45.34)</f>
        <v>45.34</v>
      </c>
      <c r="F95" s="275">
        <f>IFERROR(__xludf.DUMMYFUNCTION("ROUND((IF(SINGLE('Ground Base'!F$154)&gt;ROUND(((1-GroundResDiscount31Up-GroundResIncentive)*'Ground Base'!F90),2),ROUND((SINGLE('Ground Base'!F$154)+GroundResidentialFee)*(1+GroundFuelSurcharge),2),ROUND((((1-GroundResDiscount31Up-GroundResIncentive)*'Groun"&amp;"d Base'!F90)+GroundResidentialFee)*(1+GroundFuelSurcharge),2)))*(1+FedEx_Markup),2)"),53.23)</f>
        <v>53.23</v>
      </c>
      <c r="G95" s="275">
        <f>IFERROR(__xludf.DUMMYFUNCTION("ROUND((IF(SINGLE('Ground Base'!G$154)&gt;ROUND(((1-GroundResDiscount31Up-GroundResIncentive)*'Ground Base'!G90),2),ROUND((SINGLE('Ground Base'!G$154)+GroundResidentialFee)*(1+GroundFuelSurcharge),2),ROUND((((1-GroundResDiscount31Up-GroundResIncentive)*'Groun"&amp;"d Base'!G90)+GroundResidentialFee)*(1+GroundFuelSurcharge),2)))*(1+FedEx_Markup),2)"),61.85)</f>
        <v>61.85</v>
      </c>
      <c r="H95" s="275">
        <f>IFERROR(__xludf.DUMMYFUNCTION("ROUND((IF(SINGLE('Ground Base'!H$154)&gt;ROUND(((1-GroundResDiscount31Up-GroundResIncentive)*'Ground Base'!H90),2),ROUND((SINGLE('Ground Base'!H$154)+GroundResidentialFee)*(1+GroundFuelSurcharge),2),ROUND((((1-GroundResDiscount31Up-GroundResIncentive)*'Groun"&amp;"d Base'!H90)+GroundResidentialFee)*(1+GroundFuelSurcharge),2)))*(1+FedEx_Markup),2)"),64.57)</f>
        <v>64.57</v>
      </c>
      <c r="I95" s="275">
        <f>ROUND((IF('Ground Base'!I$154&gt;ROUND(((1-GroundAKHIDiscount)*'Ground Base'!I90),2),ROUND(('Ground Base'!I$154+GroundResidentialFee)*(1+GroundFuelSurcharge),2),ROUND((((1-GroundAKHIDiscount)*'Ground Base'!I90)+GroundResidentialFee)*(1+GroundFuelSurcharge),2)))*(1+FedEx_Markup),2)</f>
        <v>381.11</v>
      </c>
      <c r="J95" s="275">
        <f>ROUND((IF('Ground Base'!J$154&gt;ROUND(((1-GroundAKHIDiscount)*'Ground Base'!J90),2),ROUND(('Ground Base'!J$154+GroundResidentialFee)*(1+GroundFuelSurcharge),2),ROUND((((1-GroundAKHIDiscount)*'Ground Base'!J90)+GroundResidentialFee)*(1+GroundFuelSurcharge),2)))*(1+FedEx_Markup),2)</f>
        <v>381.11</v>
      </c>
      <c r="K95" s="275">
        <f>ROUND((IF('Ground Base'!K$154&gt;ROUND(((1-GroundZone51Discount)*'Ground Base'!K90),2),ROUND(('Ground Base'!K$154+GroundResidentialFee)*(1+GroundFuelSurcharge),2),ROUND((((1-GroundZone51Discount)*'Ground Base'!K90)+GroundResidentialFee)*(1+GroundFuelSurcharge),2)))*(1+FedEx_Markup),2)</f>
        <v>99.18</v>
      </c>
      <c r="L95" s="275">
        <f>ROUND((IF('Ground Base'!L$154&gt;ROUND(((1-GroundZone54Discount)*'Ground Base'!L90),2),ROUND(('Ground Base'!L$154+GroundResidentialFee)*(1+GroundFuelSurcharge),2),ROUND((((1-GroundZone54Discount)*'Ground Base'!L90)+GroundResidentialFee)*(1+GroundFuelSurcharge),2)))*(1+FedEx_Markup),2)</f>
        <v>123.18</v>
      </c>
    </row>
    <row r="96" ht="12.75" customHeight="1">
      <c r="A96" s="274">
        <v>89.0</v>
      </c>
      <c r="B96" s="275">
        <f>IFERROR(__xludf.DUMMYFUNCTION("ROUND((IF(SINGLE('Ground Base'!B$154)&gt;ROUND(((1-GroundResDiscount31Up-GroundResIncentive)*'Ground Base'!B91),2),ROUND((SINGLE('Ground Base'!B$154)+GroundResidentialFee)*(1+GroundFuelSurcharge),2),ROUND((((1-GroundResDiscount31Up-GroundResIncentive)*'Groun"&amp;"d Base'!B91)+GroundResidentialFee)*(1+GroundFuelSurcharge),2)))*(1+FedEx_Markup),2)"),35.09)</f>
        <v>35.09</v>
      </c>
      <c r="C96" s="275">
        <f>IFERROR(__xludf.DUMMYFUNCTION("ROUND((IF(SINGLE('Ground Base'!C$154)&gt;ROUND(((1-GroundResDiscount31Up-GroundResIncentive)*'Ground Base'!C91),2),ROUND((SINGLE('Ground Base'!C$154)+GroundResidentialFee)*(1+GroundFuelSurcharge),2),ROUND((((1-GroundResDiscount31Up-GroundResIncentive)*'Groun"&amp;"d Base'!C91)+GroundResidentialFee)*(1+GroundFuelSurcharge),2)))*(1+FedEx_Markup),2)"),37.04)</f>
        <v>37.04</v>
      </c>
      <c r="D96" s="275">
        <f>IFERROR(__xludf.DUMMYFUNCTION("ROUND((IF(SINGLE('Ground Base'!D$154)&gt;ROUND(((1-GroundResDiscount31Up-GroundResIncentive)*'Ground Base'!D91),2),ROUND((SINGLE('Ground Base'!D$154)+GroundResidentialFee)*(1+GroundFuelSurcharge),2),ROUND((((1-GroundResDiscount31Up-GroundResIncentive)*'Groun"&amp;"d Base'!D91)+GroundResidentialFee)*(1+GroundFuelSurcharge),2)))*(1+FedEx_Markup),2)"),40.84)</f>
        <v>40.84</v>
      </c>
      <c r="E96" s="275">
        <f>IFERROR(__xludf.DUMMYFUNCTION("ROUND((IF(SINGLE('Ground Base'!E$154)&gt;ROUND(((1-GroundResDiscount31Up-GroundResIncentive)*'Ground Base'!E91),2),ROUND((SINGLE('Ground Base'!E$154)+GroundResidentialFee)*(1+GroundFuelSurcharge),2),ROUND((((1-GroundResDiscount31Up-GroundResIncentive)*'Groun"&amp;"d Base'!E91)+GroundResidentialFee)*(1+GroundFuelSurcharge),2)))*(1+FedEx_Markup),2)"),45.48)</f>
        <v>45.48</v>
      </c>
      <c r="F96" s="275">
        <f>IFERROR(__xludf.DUMMYFUNCTION("ROUND((IF(SINGLE('Ground Base'!F$154)&gt;ROUND(((1-GroundResDiscount31Up-GroundResIncentive)*'Ground Base'!F91),2),ROUND((SINGLE('Ground Base'!F$154)+GroundResidentialFee)*(1+GroundFuelSurcharge),2),ROUND((((1-GroundResDiscount31Up-GroundResIncentive)*'Groun"&amp;"d Base'!F91)+GroundResidentialFee)*(1+GroundFuelSurcharge),2)))*(1+FedEx_Markup),2)"),54.33)</f>
        <v>54.33</v>
      </c>
      <c r="G96" s="275">
        <f>IFERROR(__xludf.DUMMYFUNCTION("ROUND((IF(SINGLE('Ground Base'!G$154)&gt;ROUND(((1-GroundResDiscount31Up-GroundResIncentive)*'Ground Base'!G91),2),ROUND((SINGLE('Ground Base'!G$154)+GroundResidentialFee)*(1+GroundFuelSurcharge),2),ROUND((((1-GroundResDiscount31Up-GroundResIncentive)*'Groun"&amp;"d Base'!G91)+GroundResidentialFee)*(1+GroundFuelSurcharge),2)))*(1+FedEx_Markup),2)"),62.45)</f>
        <v>62.45</v>
      </c>
      <c r="H96" s="275">
        <f>IFERROR(__xludf.DUMMYFUNCTION("ROUND((IF(SINGLE('Ground Base'!H$154)&gt;ROUND(((1-GroundResDiscount31Up-GroundResIncentive)*'Ground Base'!H91),2),ROUND((SINGLE('Ground Base'!H$154)+GroundResidentialFee)*(1+GroundFuelSurcharge),2),ROUND((((1-GroundResDiscount31Up-GroundResIncentive)*'Groun"&amp;"d Base'!H91)+GroundResidentialFee)*(1+GroundFuelSurcharge),2)))*(1+FedEx_Markup),2)"),65.86)</f>
        <v>65.86</v>
      </c>
      <c r="I96" s="275">
        <f>ROUND((IF('Ground Base'!I$154&gt;ROUND(((1-GroundAKHIDiscount)*'Ground Base'!I91),2),ROUND(('Ground Base'!I$154+GroundResidentialFee)*(1+GroundFuelSurcharge),2),ROUND((((1-GroundAKHIDiscount)*'Ground Base'!I91)+GroundResidentialFee)*(1+GroundFuelSurcharge),2)))*(1+FedEx_Markup),2)</f>
        <v>385.07</v>
      </c>
      <c r="J96" s="275">
        <f>ROUND((IF('Ground Base'!J$154&gt;ROUND(((1-GroundAKHIDiscount)*'Ground Base'!J91),2),ROUND(('Ground Base'!J$154+GroundResidentialFee)*(1+GroundFuelSurcharge),2),ROUND((((1-GroundAKHIDiscount)*'Ground Base'!J91)+GroundResidentialFee)*(1+GroundFuelSurcharge),2)))*(1+FedEx_Markup),2)</f>
        <v>385.07</v>
      </c>
      <c r="K96" s="275">
        <f>ROUND((IF('Ground Base'!K$154&gt;ROUND(((1-GroundZone51Discount)*'Ground Base'!K91),2),ROUND(('Ground Base'!K$154+GroundResidentialFee)*(1+GroundFuelSurcharge),2),ROUND((((1-GroundZone51Discount)*'Ground Base'!K91)+GroundResidentialFee)*(1+GroundFuelSurcharge),2)))*(1+FedEx_Markup),2)</f>
        <v>99.82</v>
      </c>
      <c r="L96" s="275">
        <f>ROUND((IF('Ground Base'!L$154&gt;ROUND(((1-GroundZone54Discount)*'Ground Base'!L91),2),ROUND(('Ground Base'!L$154+GroundResidentialFee)*(1+GroundFuelSurcharge),2),ROUND((((1-GroundZone54Discount)*'Ground Base'!L91)+GroundResidentialFee)*(1+GroundFuelSurcharge),2)))*(1+FedEx_Markup),2)</f>
        <v>125.09</v>
      </c>
    </row>
    <row r="97" ht="12.75" customHeight="1">
      <c r="A97" s="274">
        <v>90.0</v>
      </c>
      <c r="B97" s="275">
        <f>IFERROR(__xludf.DUMMYFUNCTION("ROUND((IF(SINGLE('Ground Base'!B$154)&gt;ROUND(((1-GroundResDiscount31Up-GroundResIncentive)*'Ground Base'!B92),2),ROUND((SINGLE('Ground Base'!B$154)+GroundResidentialFee)*(1+GroundFuelSurcharge),2),ROUND((((1-GroundResDiscount31Up-GroundResIncentive)*'Groun"&amp;"d Base'!B92)+GroundResidentialFee)*(1+GroundFuelSurcharge),2)))*(1+FedEx_Markup),2)"),37.05)</f>
        <v>37.05</v>
      </c>
      <c r="C97" s="275">
        <f>IFERROR(__xludf.DUMMYFUNCTION("ROUND((IF(SINGLE('Ground Base'!C$154)&gt;ROUND(((1-GroundResDiscount31Up-GroundResIncentive)*'Ground Base'!C92),2),ROUND((SINGLE('Ground Base'!C$154)+GroundResidentialFee)*(1+GroundFuelSurcharge),2),ROUND((((1-GroundResDiscount31Up-GroundResIncentive)*'Groun"&amp;"d Base'!C92)+GroundResidentialFee)*(1+GroundFuelSurcharge),2)))*(1+FedEx_Markup),2)"),38.53)</f>
        <v>38.53</v>
      </c>
      <c r="D97" s="275">
        <f>IFERROR(__xludf.DUMMYFUNCTION("ROUND((IF(SINGLE('Ground Base'!D$154)&gt;ROUND(((1-GroundResDiscount31Up-GroundResIncentive)*'Ground Base'!D92),2),ROUND((SINGLE('Ground Base'!D$154)+GroundResidentialFee)*(1+GroundFuelSurcharge),2),ROUND((((1-GroundResDiscount31Up-GroundResIncentive)*'Groun"&amp;"d Base'!D92)+GroundResidentialFee)*(1+GroundFuelSurcharge),2)))*(1+FedEx_Markup),2)"),42.48)</f>
        <v>42.48</v>
      </c>
      <c r="E97" s="275">
        <f>IFERROR(__xludf.DUMMYFUNCTION("ROUND((IF(SINGLE('Ground Base'!E$154)&gt;ROUND(((1-GroundResDiscount31Up-GroundResIncentive)*'Ground Base'!E92),2),ROUND((SINGLE('Ground Base'!E$154)+GroundResidentialFee)*(1+GroundFuelSurcharge),2),ROUND((((1-GroundResDiscount31Up-GroundResIncentive)*'Groun"&amp;"d Base'!E92)+GroundResidentialFee)*(1+GroundFuelSurcharge),2)))*(1+FedEx_Markup),2)"),46.74)</f>
        <v>46.74</v>
      </c>
      <c r="F97" s="275">
        <f>IFERROR(__xludf.DUMMYFUNCTION("ROUND((IF(SINGLE('Ground Base'!F$154)&gt;ROUND(((1-GroundResDiscount31Up-GroundResIncentive)*'Ground Base'!F92),2),ROUND((SINGLE('Ground Base'!F$154)+GroundResidentialFee)*(1+GroundFuelSurcharge),2),ROUND((((1-GroundResDiscount31Up-GroundResIncentive)*'Groun"&amp;"d Base'!F92)+GroundResidentialFee)*(1+GroundFuelSurcharge),2)))*(1+FedEx_Markup),2)"),55.06)</f>
        <v>55.06</v>
      </c>
      <c r="G97" s="275">
        <f>IFERROR(__xludf.DUMMYFUNCTION("ROUND((IF(SINGLE('Ground Base'!G$154)&gt;ROUND(((1-GroundResDiscount31Up-GroundResIncentive)*'Ground Base'!G92),2),ROUND((SINGLE('Ground Base'!G$154)+GroundResidentialFee)*(1+GroundFuelSurcharge),2),ROUND((((1-GroundResDiscount31Up-GroundResIncentive)*'Groun"&amp;"d Base'!G92)+GroundResidentialFee)*(1+GroundFuelSurcharge),2)))*(1+FedEx_Markup),2)"),63.84)</f>
        <v>63.84</v>
      </c>
      <c r="H97" s="275">
        <f>IFERROR(__xludf.DUMMYFUNCTION("ROUND((IF(SINGLE('Ground Base'!H$154)&gt;ROUND(((1-GroundResDiscount31Up-GroundResIncentive)*'Ground Base'!H92),2),ROUND((SINGLE('Ground Base'!H$154)+GroundResidentialFee)*(1+GroundFuelSurcharge),2),ROUND((((1-GroundResDiscount31Up-GroundResIncentive)*'Groun"&amp;"d Base'!H92)+GroundResidentialFee)*(1+GroundFuelSurcharge),2)))*(1+FedEx_Markup),2)"),67.11)</f>
        <v>67.11</v>
      </c>
      <c r="I97" s="275">
        <f>ROUND((IF('Ground Base'!I$154&gt;ROUND(((1-GroundAKHIDiscount)*'Ground Base'!I92),2),ROUND(('Ground Base'!I$154+GroundResidentialFee)*(1+GroundFuelSurcharge),2),ROUND((((1-GroundAKHIDiscount)*'Ground Base'!I92)+GroundResidentialFee)*(1+GroundFuelSurcharge),2)))*(1+FedEx_Markup),2)</f>
        <v>388.93</v>
      </c>
      <c r="J97" s="275">
        <f>ROUND((IF('Ground Base'!J$154&gt;ROUND(((1-GroundAKHIDiscount)*'Ground Base'!J92),2),ROUND(('Ground Base'!J$154+GroundResidentialFee)*(1+GroundFuelSurcharge),2),ROUND((((1-GroundAKHIDiscount)*'Ground Base'!J92)+GroundResidentialFee)*(1+GroundFuelSurcharge),2)))*(1+FedEx_Markup),2)</f>
        <v>388.93</v>
      </c>
      <c r="K97" s="275">
        <f>ROUND((IF('Ground Base'!K$154&gt;ROUND(((1-GroundZone51Discount)*'Ground Base'!K92),2),ROUND(('Ground Base'!K$154+GroundResidentialFee)*(1+GroundFuelSurcharge),2),ROUND((((1-GroundZone51Discount)*'Ground Base'!K92)+GroundResidentialFee)*(1+GroundFuelSurcharge),2)))*(1+FedEx_Markup),2)</f>
        <v>99.83</v>
      </c>
      <c r="L97" s="275">
        <f>ROUND((IF('Ground Base'!L$154&gt;ROUND(((1-GroundZone54Discount)*'Ground Base'!L92),2),ROUND(('Ground Base'!L$154+GroundResidentialFee)*(1+GroundFuelSurcharge),2),ROUND((((1-GroundZone54Discount)*'Ground Base'!L92)+GroundResidentialFee)*(1+GroundFuelSurcharge),2)))*(1+FedEx_Markup),2)</f>
        <v>125.09</v>
      </c>
    </row>
    <row r="98" ht="12.75" customHeight="1">
      <c r="A98" s="274">
        <v>91.0</v>
      </c>
      <c r="B98" s="275">
        <f>IFERROR(__xludf.DUMMYFUNCTION("ROUND((IF(SINGLE('Ground Base'!B$154)&gt;ROUND(((1-GroundResDiscount31Up-GroundResIncentive)*'Ground Base'!B93),2),ROUND((SINGLE('Ground Base'!B$154)+GroundResidentialFee)*(1+GroundFuelSurcharge),2),ROUND((((1-GroundResDiscount31Up-GroundResIncentive)*'Groun"&amp;"d Base'!B93)+GroundResidentialFee)*(1+GroundFuelSurcharge),2)))*(1+FedEx_Markup),2)"),37.05)</f>
        <v>37.05</v>
      </c>
      <c r="C98" s="275">
        <f>IFERROR(__xludf.DUMMYFUNCTION("ROUND((IF(SINGLE('Ground Base'!C$154)&gt;ROUND(((1-GroundResDiscount31Up-GroundResIncentive)*'Ground Base'!C93),2),ROUND((SINGLE('Ground Base'!C$154)+GroundResidentialFee)*(1+GroundFuelSurcharge),2),ROUND((((1-GroundResDiscount31Up-GroundResIncentive)*'Groun"&amp;"d Base'!C93)+GroundResidentialFee)*(1+GroundFuelSurcharge),2)))*(1+FedEx_Markup),2)"),38.53)</f>
        <v>38.53</v>
      </c>
      <c r="D98" s="275">
        <f>IFERROR(__xludf.DUMMYFUNCTION("ROUND((IF(SINGLE('Ground Base'!D$154)&gt;ROUND(((1-GroundResDiscount31Up-GroundResIncentive)*'Ground Base'!D93),2),ROUND((SINGLE('Ground Base'!D$154)+GroundResidentialFee)*(1+GroundFuelSurcharge),2),ROUND((((1-GroundResDiscount31Up-GroundResIncentive)*'Groun"&amp;"d Base'!D93)+GroundResidentialFee)*(1+GroundFuelSurcharge),2)))*(1+FedEx_Markup),2)"),42.48)</f>
        <v>42.48</v>
      </c>
      <c r="E98" s="275">
        <f>IFERROR(__xludf.DUMMYFUNCTION("ROUND((IF(SINGLE('Ground Base'!E$154)&gt;ROUND(((1-GroundResDiscount31Up-GroundResIncentive)*'Ground Base'!E93),2),ROUND((SINGLE('Ground Base'!E$154)+GroundResidentialFee)*(1+GroundFuelSurcharge),2),ROUND((((1-GroundResDiscount31Up-GroundResIncentive)*'Groun"&amp;"d Base'!E93)+GroundResidentialFee)*(1+GroundFuelSurcharge),2)))*(1+FedEx_Markup),2)"),46.74)</f>
        <v>46.74</v>
      </c>
      <c r="F98" s="275">
        <f>IFERROR(__xludf.DUMMYFUNCTION("ROUND((IF(SINGLE('Ground Base'!F$154)&gt;ROUND(((1-GroundResDiscount31Up-GroundResIncentive)*'Ground Base'!F93),2),ROUND((SINGLE('Ground Base'!F$154)+GroundResidentialFee)*(1+GroundFuelSurcharge),2),ROUND((((1-GroundResDiscount31Up-GroundResIncentive)*'Groun"&amp;"d Base'!F93)+GroundResidentialFee)*(1+GroundFuelSurcharge),2)))*(1+FedEx_Markup),2)"),55.06)</f>
        <v>55.06</v>
      </c>
      <c r="G98" s="275">
        <f>IFERROR(__xludf.DUMMYFUNCTION("ROUND((IF(SINGLE('Ground Base'!G$154)&gt;ROUND(((1-GroundResDiscount31Up-GroundResIncentive)*'Ground Base'!G93),2),ROUND((SINGLE('Ground Base'!G$154)+GroundResidentialFee)*(1+GroundFuelSurcharge),2),ROUND((((1-GroundResDiscount31Up-GroundResIncentive)*'Groun"&amp;"d Base'!G93)+GroundResidentialFee)*(1+GroundFuelSurcharge),2)))*(1+FedEx_Markup),2)"),63.84)</f>
        <v>63.84</v>
      </c>
      <c r="H98" s="275">
        <f>IFERROR(__xludf.DUMMYFUNCTION("ROUND((IF(SINGLE('Ground Base'!H$154)&gt;ROUND(((1-GroundResDiscount31Up-GroundResIncentive)*'Ground Base'!H93),2),ROUND((SINGLE('Ground Base'!H$154)+GroundResidentialFee)*(1+GroundFuelSurcharge),2),ROUND((((1-GroundResDiscount31Up-GroundResIncentive)*'Groun"&amp;"d Base'!H93)+GroundResidentialFee)*(1+GroundFuelSurcharge),2)))*(1+FedEx_Markup),2)"),67.11)</f>
        <v>67.11</v>
      </c>
      <c r="I98" s="275">
        <f>ROUND((IF('Ground Base'!I$154&gt;ROUND(((1-GroundAKHIDiscount)*'Ground Base'!I93),2),ROUND(('Ground Base'!I$154+GroundResidentialFee)*(1+GroundFuelSurcharge),2),ROUND((((1-GroundAKHIDiscount)*'Ground Base'!I93)+GroundResidentialFee)*(1+GroundFuelSurcharge),2)))*(1+FedEx_Markup),2)</f>
        <v>393.06</v>
      </c>
      <c r="J98" s="275">
        <f>ROUND((IF('Ground Base'!J$154&gt;ROUND(((1-GroundAKHIDiscount)*'Ground Base'!J93),2),ROUND(('Ground Base'!J$154+GroundResidentialFee)*(1+GroundFuelSurcharge),2),ROUND((((1-GroundAKHIDiscount)*'Ground Base'!J93)+GroundResidentialFee)*(1+GroundFuelSurcharge),2)))*(1+FedEx_Markup),2)</f>
        <v>393.06</v>
      </c>
      <c r="K98" s="275">
        <f>ROUND((IF('Ground Base'!K$154&gt;ROUND(((1-GroundZone51Discount)*'Ground Base'!K93),2),ROUND(('Ground Base'!K$154+GroundResidentialFee)*(1+GroundFuelSurcharge),2),ROUND((((1-GroundZone51Discount)*'Ground Base'!K93)+GroundResidentialFee)*(1+GroundFuelSurcharge),2)))*(1+FedEx_Markup),2)</f>
        <v>100.43</v>
      </c>
      <c r="L98" s="275">
        <f>ROUND((IF('Ground Base'!L$154&gt;ROUND(((1-GroundZone54Discount)*'Ground Base'!L93),2),ROUND(('Ground Base'!L$154+GroundResidentialFee)*(1+GroundFuelSurcharge),2),ROUND((((1-GroundZone54Discount)*'Ground Base'!L93)+GroundResidentialFee)*(1+GroundFuelSurcharge),2)))*(1+FedEx_Markup),2)</f>
        <v>127.37</v>
      </c>
    </row>
    <row r="99" ht="12.75" customHeight="1">
      <c r="A99" s="274">
        <v>92.0</v>
      </c>
      <c r="B99" s="275">
        <f>IFERROR(__xludf.DUMMYFUNCTION("ROUND((IF(SINGLE('Ground Base'!B$154)&gt;ROUND(((1-GroundResDiscount31Up-GroundResIncentive)*'Ground Base'!B94),2),ROUND((SINGLE('Ground Base'!B$154)+GroundResidentialFee)*(1+GroundFuelSurcharge),2),ROUND((((1-GroundResDiscount31Up-GroundResIncentive)*'Groun"&amp;"d Base'!B94)+GroundResidentialFee)*(1+GroundFuelSurcharge),2)))*(1+FedEx_Markup),2)"),37.82)</f>
        <v>37.82</v>
      </c>
      <c r="C99" s="275">
        <f>IFERROR(__xludf.DUMMYFUNCTION("ROUND((IF(SINGLE('Ground Base'!C$154)&gt;ROUND(((1-GroundResDiscount31Up-GroundResIncentive)*'Ground Base'!C94),2),ROUND((SINGLE('Ground Base'!C$154)+GroundResidentialFee)*(1+GroundFuelSurcharge),2),ROUND((((1-GroundResDiscount31Up-GroundResIncentive)*'Groun"&amp;"d Base'!C94)+GroundResidentialFee)*(1+GroundFuelSurcharge),2)))*(1+FedEx_Markup),2)"),38.86)</f>
        <v>38.86</v>
      </c>
      <c r="D99" s="275">
        <f>IFERROR(__xludf.DUMMYFUNCTION("ROUND((IF(SINGLE('Ground Base'!D$154)&gt;ROUND(((1-GroundResDiscount31Up-GroundResIncentive)*'Ground Base'!D94),2),ROUND((SINGLE('Ground Base'!D$154)+GroundResidentialFee)*(1+GroundFuelSurcharge),2),ROUND((((1-GroundResDiscount31Up-GroundResIncentive)*'Groun"&amp;"d Base'!D94)+GroundResidentialFee)*(1+GroundFuelSurcharge),2)))*(1+FedEx_Markup),2)"),42.7)</f>
        <v>42.7</v>
      </c>
      <c r="E99" s="275">
        <f>IFERROR(__xludf.DUMMYFUNCTION("ROUND((IF(SINGLE('Ground Base'!E$154)&gt;ROUND(((1-GroundResDiscount31Up-GroundResIncentive)*'Ground Base'!E94),2),ROUND((SINGLE('Ground Base'!E$154)+GroundResidentialFee)*(1+GroundFuelSurcharge),2),ROUND((((1-GroundResDiscount31Up-GroundResIncentive)*'Groun"&amp;"d Base'!E94)+GroundResidentialFee)*(1+GroundFuelSurcharge),2)))*(1+FedEx_Markup),2)"),47.16)</f>
        <v>47.16</v>
      </c>
      <c r="F99" s="275">
        <f>IFERROR(__xludf.DUMMYFUNCTION("ROUND((IF(SINGLE('Ground Base'!F$154)&gt;ROUND(((1-GroundResDiscount31Up-GroundResIncentive)*'Ground Base'!F94),2),ROUND((SINGLE('Ground Base'!F$154)+GroundResidentialFee)*(1+GroundFuelSurcharge),2),ROUND((((1-GroundResDiscount31Up-GroundResIncentive)*'Groun"&amp;"d Base'!F94)+GroundResidentialFee)*(1+GroundFuelSurcharge),2)))*(1+FedEx_Markup),2)"),55.71)</f>
        <v>55.71</v>
      </c>
      <c r="G99" s="275">
        <f>IFERROR(__xludf.DUMMYFUNCTION("ROUND((IF(SINGLE('Ground Base'!G$154)&gt;ROUND(((1-GroundResDiscount31Up-GroundResIncentive)*'Ground Base'!G94),2),ROUND((SINGLE('Ground Base'!G$154)+GroundResidentialFee)*(1+GroundFuelSurcharge),2),ROUND((((1-GroundResDiscount31Up-GroundResIncentive)*'Groun"&amp;"d Base'!G94)+GroundResidentialFee)*(1+GroundFuelSurcharge),2)))*(1+FedEx_Markup),2)"),63.85)</f>
        <v>63.85</v>
      </c>
      <c r="H99" s="275">
        <f>IFERROR(__xludf.DUMMYFUNCTION("ROUND((IF(SINGLE('Ground Base'!H$154)&gt;ROUND(((1-GroundResDiscount31Up-GroundResIncentive)*'Ground Base'!H94),2),ROUND((SINGLE('Ground Base'!H$154)+GroundResidentialFee)*(1+GroundFuelSurcharge),2),ROUND((((1-GroundResDiscount31Up-GroundResIncentive)*'Groun"&amp;"d Base'!H94)+GroundResidentialFee)*(1+GroundFuelSurcharge),2)))*(1+FedEx_Markup),2)"),67.31)</f>
        <v>67.31</v>
      </c>
      <c r="I99" s="275">
        <f>ROUND((IF('Ground Base'!I$154&gt;ROUND(((1-GroundAKHIDiscount)*'Ground Base'!I94),2),ROUND(('Ground Base'!I$154+GroundResidentialFee)*(1+GroundFuelSurcharge),2),ROUND((((1-GroundAKHIDiscount)*'Ground Base'!I94)+GroundResidentialFee)*(1+GroundFuelSurcharge),2)))*(1+FedEx_Markup),2)</f>
        <v>396.77</v>
      </c>
      <c r="J99" s="275">
        <f>ROUND((IF('Ground Base'!J$154&gt;ROUND(((1-GroundAKHIDiscount)*'Ground Base'!J94),2),ROUND(('Ground Base'!J$154+GroundResidentialFee)*(1+GroundFuelSurcharge),2),ROUND((((1-GroundAKHIDiscount)*'Ground Base'!J94)+GroundResidentialFee)*(1+GroundFuelSurcharge),2)))*(1+FedEx_Markup),2)</f>
        <v>396.77</v>
      </c>
      <c r="K99" s="275">
        <f>ROUND((IF('Ground Base'!K$154&gt;ROUND(((1-GroundZone51Discount)*'Ground Base'!K94),2),ROUND(('Ground Base'!K$154+GroundResidentialFee)*(1+GroundFuelSurcharge),2),ROUND((((1-GroundZone51Discount)*'Ground Base'!K94)+GroundResidentialFee)*(1+GroundFuelSurcharge),2)))*(1+FedEx_Markup),2)</f>
        <v>100.45</v>
      </c>
      <c r="L99" s="275">
        <f>ROUND((IF('Ground Base'!L$154&gt;ROUND(((1-GroundZone54Discount)*'Ground Base'!L94),2),ROUND(('Ground Base'!L$154+GroundResidentialFee)*(1+GroundFuelSurcharge),2),ROUND((((1-GroundZone54Discount)*'Ground Base'!L94)+GroundResidentialFee)*(1+GroundFuelSurcharge),2)))*(1+FedEx_Markup),2)</f>
        <v>127.39</v>
      </c>
    </row>
    <row r="100" ht="12.75" customHeight="1">
      <c r="A100" s="274">
        <v>93.0</v>
      </c>
      <c r="B100" s="275">
        <f>IFERROR(__xludf.DUMMYFUNCTION("ROUND((IF(SINGLE('Ground Base'!B$154)&gt;ROUND(((1-GroundResDiscount31Up-GroundResIncentive)*'Ground Base'!B95),2),ROUND((SINGLE('Ground Base'!B$154)+GroundResidentialFee)*(1+GroundFuelSurcharge),2),ROUND((((1-GroundResDiscount31Up-GroundResIncentive)*'Groun"&amp;"d Base'!B95)+GroundResidentialFee)*(1+GroundFuelSurcharge),2)))*(1+FedEx_Markup),2)"),38.27)</f>
        <v>38.27</v>
      </c>
      <c r="C100" s="275">
        <f>IFERROR(__xludf.DUMMYFUNCTION("ROUND((IF(SINGLE('Ground Base'!C$154)&gt;ROUND(((1-GroundResDiscount31Up-GroundResIncentive)*'Ground Base'!C95),2),ROUND((SINGLE('Ground Base'!C$154)+GroundResidentialFee)*(1+GroundFuelSurcharge),2),ROUND((((1-GroundResDiscount31Up-GroundResIncentive)*'Groun"&amp;"d Base'!C95)+GroundResidentialFee)*(1+GroundFuelSurcharge),2)))*(1+FedEx_Markup),2)"),39.2)</f>
        <v>39.2</v>
      </c>
      <c r="D100" s="275">
        <f>IFERROR(__xludf.DUMMYFUNCTION("ROUND((IF(SINGLE('Ground Base'!D$154)&gt;ROUND(((1-GroundResDiscount31Up-GroundResIncentive)*'Ground Base'!D95),2),ROUND((SINGLE('Ground Base'!D$154)+GroundResidentialFee)*(1+GroundFuelSurcharge),2),ROUND((((1-GroundResDiscount31Up-GroundResIncentive)*'Groun"&amp;"d Base'!D95)+GroundResidentialFee)*(1+GroundFuelSurcharge),2)))*(1+FedEx_Markup),2)"),43.45)</f>
        <v>43.45</v>
      </c>
      <c r="E100" s="275">
        <f>IFERROR(__xludf.DUMMYFUNCTION("ROUND((IF(SINGLE('Ground Base'!E$154)&gt;ROUND(((1-GroundResDiscount31Up-GroundResIncentive)*'Ground Base'!E95),2),ROUND((SINGLE('Ground Base'!E$154)+GroundResidentialFee)*(1+GroundFuelSurcharge),2),ROUND((((1-GroundResDiscount31Up-GroundResIncentive)*'Groun"&amp;"d Base'!E95)+GroundResidentialFee)*(1+GroundFuelSurcharge),2)))*(1+FedEx_Markup),2)"),47.16)</f>
        <v>47.16</v>
      </c>
      <c r="F100" s="275">
        <f>IFERROR(__xludf.DUMMYFUNCTION("ROUND((IF(SINGLE('Ground Base'!F$154)&gt;ROUND(((1-GroundResDiscount31Up-GroundResIncentive)*'Ground Base'!F95),2),ROUND((SINGLE('Ground Base'!F$154)+GroundResidentialFee)*(1+GroundFuelSurcharge),2),ROUND((((1-GroundResDiscount31Up-GroundResIncentive)*'Groun"&amp;"d Base'!F95)+GroundResidentialFee)*(1+GroundFuelSurcharge),2)))*(1+FedEx_Markup),2)"),55.71)</f>
        <v>55.71</v>
      </c>
      <c r="G100" s="275">
        <f>IFERROR(__xludf.DUMMYFUNCTION("ROUND((IF(SINGLE('Ground Base'!G$154)&gt;ROUND(((1-GroundResDiscount31Up-GroundResIncentive)*'Ground Base'!G95),2),ROUND((SINGLE('Ground Base'!G$154)+GroundResidentialFee)*(1+GroundFuelSurcharge),2),ROUND((((1-GroundResDiscount31Up-GroundResIncentive)*'Groun"&amp;"d Base'!G95)+GroundResidentialFee)*(1+GroundFuelSurcharge),2)))*(1+FedEx_Markup),2)"),63.86)</f>
        <v>63.86</v>
      </c>
      <c r="H100" s="275">
        <f>IFERROR(__xludf.DUMMYFUNCTION("ROUND((IF(SINGLE('Ground Base'!H$154)&gt;ROUND(((1-GroundResDiscount31Up-GroundResIncentive)*'Ground Base'!H95),2),ROUND((SINGLE('Ground Base'!H$154)+GroundResidentialFee)*(1+GroundFuelSurcharge),2),ROUND((((1-GroundResDiscount31Up-GroundResIncentive)*'Groun"&amp;"d Base'!H95)+GroundResidentialFee)*(1+GroundFuelSurcharge),2)))*(1+FedEx_Markup),2)"),67.31)</f>
        <v>67.31</v>
      </c>
      <c r="I100" s="275">
        <f>ROUND((IF('Ground Base'!I$154&gt;ROUND(((1-GroundAKHIDiscount)*'Ground Base'!I95),2),ROUND(('Ground Base'!I$154+GroundResidentialFee)*(1+GroundFuelSurcharge),2),ROUND((((1-GroundAKHIDiscount)*'Ground Base'!I95)+GroundResidentialFee)*(1+GroundFuelSurcharge),2)))*(1+FedEx_Markup),2)</f>
        <v>400.61</v>
      </c>
      <c r="J100" s="275">
        <f>ROUND((IF('Ground Base'!J$154&gt;ROUND(((1-GroundAKHIDiscount)*'Ground Base'!J95),2),ROUND(('Ground Base'!J$154+GroundResidentialFee)*(1+GroundFuelSurcharge),2),ROUND((((1-GroundAKHIDiscount)*'Ground Base'!J95)+GroundResidentialFee)*(1+GroundFuelSurcharge),2)))*(1+FedEx_Markup),2)</f>
        <v>400.61</v>
      </c>
      <c r="K100" s="275">
        <f>ROUND((IF('Ground Base'!K$154&gt;ROUND(((1-GroundZone51Discount)*'Ground Base'!K95),2),ROUND(('Ground Base'!K$154+GroundResidentialFee)*(1+GroundFuelSurcharge),2),ROUND((((1-GroundZone51Discount)*'Ground Base'!K95)+GroundResidentialFee)*(1+GroundFuelSurcharge),2)))*(1+FedEx_Markup),2)</f>
        <v>101.11</v>
      </c>
      <c r="L100" s="275">
        <f>ROUND((IF('Ground Base'!L$154&gt;ROUND(((1-GroundZone54Discount)*'Ground Base'!L95),2),ROUND(('Ground Base'!L$154+GroundResidentialFee)*(1+GroundFuelSurcharge),2),ROUND((((1-GroundZone54Discount)*'Ground Base'!L95)+GroundResidentialFee)*(1+GroundFuelSurcharge),2)))*(1+FedEx_Markup),2)</f>
        <v>129.34</v>
      </c>
    </row>
    <row r="101" ht="12.75" customHeight="1">
      <c r="A101" s="274">
        <v>94.0</v>
      </c>
      <c r="B101" s="275">
        <f>IFERROR(__xludf.DUMMYFUNCTION("ROUND((IF(SINGLE('Ground Base'!B$154)&gt;ROUND(((1-GroundResDiscount31Up-GroundResIncentive)*'Ground Base'!B96),2),ROUND((SINGLE('Ground Base'!B$154)+GroundResidentialFee)*(1+GroundFuelSurcharge),2),ROUND((((1-GroundResDiscount31Up-GroundResIncentive)*'Groun"&amp;"d Base'!B96)+GroundResidentialFee)*(1+GroundFuelSurcharge),2)))*(1+FedEx_Markup),2)"),38.46)</f>
        <v>38.46</v>
      </c>
      <c r="C101" s="275">
        <f>IFERROR(__xludf.DUMMYFUNCTION("ROUND((IF(SINGLE('Ground Base'!C$154)&gt;ROUND(((1-GroundResDiscount31Up-GroundResIncentive)*'Ground Base'!C96),2),ROUND((SINGLE('Ground Base'!C$154)+GroundResidentialFee)*(1+GroundFuelSurcharge),2),ROUND((((1-GroundResDiscount31Up-GroundResIncentive)*'Groun"&amp;"d Base'!C96)+GroundResidentialFee)*(1+GroundFuelSurcharge),2)))*(1+FedEx_Markup),2)"),40.17)</f>
        <v>40.17</v>
      </c>
      <c r="D101" s="275">
        <f>IFERROR(__xludf.DUMMYFUNCTION("ROUND((IF(SINGLE('Ground Base'!D$154)&gt;ROUND(((1-GroundResDiscount31Up-GroundResIncentive)*'Ground Base'!D96),2),ROUND((SINGLE('Ground Base'!D$154)+GroundResidentialFee)*(1+GroundFuelSurcharge),2),ROUND((((1-GroundResDiscount31Up-GroundResIncentive)*'Groun"&amp;"d Base'!D96)+GroundResidentialFee)*(1+GroundFuelSurcharge),2)))*(1+FedEx_Markup),2)"),43.65)</f>
        <v>43.65</v>
      </c>
      <c r="E101" s="275">
        <f>IFERROR(__xludf.DUMMYFUNCTION("ROUND((IF(SINGLE('Ground Base'!E$154)&gt;ROUND(((1-GroundResDiscount31Up-GroundResIncentive)*'Ground Base'!E96),2),ROUND((SINGLE('Ground Base'!E$154)+GroundResidentialFee)*(1+GroundFuelSurcharge),2),ROUND((((1-GroundResDiscount31Up-GroundResIncentive)*'Groun"&amp;"d Base'!E96)+GroundResidentialFee)*(1+GroundFuelSurcharge),2)))*(1+FedEx_Markup),2)"),47.74)</f>
        <v>47.74</v>
      </c>
      <c r="F101" s="275">
        <f>IFERROR(__xludf.DUMMYFUNCTION("ROUND((IF(SINGLE('Ground Base'!F$154)&gt;ROUND(((1-GroundResDiscount31Up-GroundResIncentive)*'Ground Base'!F96),2),ROUND((SINGLE('Ground Base'!F$154)+GroundResidentialFee)*(1+GroundFuelSurcharge),2),ROUND((((1-GroundResDiscount31Up-GroundResIncentive)*'Groun"&amp;"d Base'!F96)+GroundResidentialFee)*(1+GroundFuelSurcharge),2)))*(1+FedEx_Markup),2)"),56.83)</f>
        <v>56.83</v>
      </c>
      <c r="G101" s="275">
        <f>IFERROR(__xludf.DUMMYFUNCTION("ROUND((IF(SINGLE('Ground Base'!G$154)&gt;ROUND(((1-GroundResDiscount31Up-GroundResIncentive)*'Ground Base'!G96),2),ROUND((SINGLE('Ground Base'!G$154)+GroundResidentialFee)*(1+GroundFuelSurcharge),2),ROUND((((1-GroundResDiscount31Up-GroundResIncentive)*'Groun"&amp;"d Base'!G96)+GroundResidentialFee)*(1+GroundFuelSurcharge),2)))*(1+FedEx_Markup),2)"),63.87)</f>
        <v>63.87</v>
      </c>
      <c r="H101" s="275">
        <f>IFERROR(__xludf.DUMMYFUNCTION("ROUND((IF(SINGLE('Ground Base'!H$154)&gt;ROUND(((1-GroundResDiscount31Up-GroundResIncentive)*'Ground Base'!H96),2),ROUND((SINGLE('Ground Base'!H$154)+GroundResidentialFee)*(1+GroundFuelSurcharge),2),ROUND((((1-GroundResDiscount31Up-GroundResIncentive)*'Groun"&amp;"d Base'!H96)+GroundResidentialFee)*(1+GroundFuelSurcharge),2)))*(1+FedEx_Markup),2)"),68.59)</f>
        <v>68.59</v>
      </c>
      <c r="I101" s="275">
        <f>ROUND((IF('Ground Base'!I$154&gt;ROUND(((1-GroundAKHIDiscount)*'Ground Base'!I96),2),ROUND(('Ground Base'!I$154+GroundResidentialFee)*(1+GroundFuelSurcharge),2),ROUND((((1-GroundAKHIDiscount)*'Ground Base'!I96)+GroundResidentialFee)*(1+GroundFuelSurcharge),2)))*(1+FedEx_Markup),2)</f>
        <v>404.36</v>
      </c>
      <c r="J101" s="275">
        <f>ROUND((IF('Ground Base'!J$154&gt;ROUND(((1-GroundAKHIDiscount)*'Ground Base'!J96),2),ROUND(('Ground Base'!J$154+GroundResidentialFee)*(1+GroundFuelSurcharge),2),ROUND((((1-GroundAKHIDiscount)*'Ground Base'!J96)+GroundResidentialFee)*(1+GroundFuelSurcharge),2)))*(1+FedEx_Markup),2)</f>
        <v>404.36</v>
      </c>
      <c r="K101" s="275">
        <f>ROUND((IF('Ground Base'!K$154&gt;ROUND(((1-GroundZone51Discount)*'Ground Base'!K96),2),ROUND(('Ground Base'!K$154+GroundResidentialFee)*(1+GroundFuelSurcharge),2),ROUND((((1-GroundZone51Discount)*'Ground Base'!K96)+GroundResidentialFee)*(1+GroundFuelSurcharge),2)))*(1+FedEx_Markup),2)</f>
        <v>101.11</v>
      </c>
      <c r="L101" s="275">
        <f>ROUND((IF('Ground Base'!L$154&gt;ROUND(((1-GroundZone54Discount)*'Ground Base'!L96),2),ROUND(('Ground Base'!L$154+GroundResidentialFee)*(1+GroundFuelSurcharge),2),ROUND((((1-GroundZone54Discount)*'Ground Base'!L96)+GroundResidentialFee)*(1+GroundFuelSurcharge),2)))*(1+FedEx_Markup),2)</f>
        <v>129.35</v>
      </c>
    </row>
    <row r="102" ht="12.75" customHeight="1">
      <c r="A102" s="274">
        <v>95.0</v>
      </c>
      <c r="B102" s="275">
        <f>IFERROR(__xludf.DUMMYFUNCTION("ROUND((IF(SINGLE('Ground Base'!B$154)&gt;ROUND(((1-GroundResDiscount31Up-GroundResIncentive)*'Ground Base'!B97),2),ROUND((SINGLE('Ground Base'!B$154)+GroundResidentialFee)*(1+GroundFuelSurcharge),2),ROUND((((1-GroundResDiscount31Up-GroundResIncentive)*'Groun"&amp;"d Base'!B97)+GroundResidentialFee)*(1+GroundFuelSurcharge),2)))*(1+FedEx_Markup),2)"),38.94)</f>
        <v>38.94</v>
      </c>
      <c r="C102" s="275">
        <f>IFERROR(__xludf.DUMMYFUNCTION("ROUND((IF(SINGLE('Ground Base'!C$154)&gt;ROUND(((1-GroundResDiscount31Up-GroundResIncentive)*'Ground Base'!C97),2),ROUND((SINGLE('Ground Base'!C$154)+GroundResidentialFee)*(1+GroundFuelSurcharge),2),ROUND((((1-GroundResDiscount31Up-GroundResIncentive)*'Groun"&amp;"d Base'!C97)+GroundResidentialFee)*(1+GroundFuelSurcharge),2)))*(1+FedEx_Markup),2)"),40.5)</f>
        <v>40.5</v>
      </c>
      <c r="D102" s="275">
        <f>IFERROR(__xludf.DUMMYFUNCTION("ROUND((IF(SINGLE('Ground Base'!D$154)&gt;ROUND(((1-GroundResDiscount31Up-GroundResIncentive)*'Ground Base'!D97),2),ROUND((SINGLE('Ground Base'!D$154)+GroundResidentialFee)*(1+GroundFuelSurcharge),2),ROUND((((1-GroundResDiscount31Up-GroundResIncentive)*'Groun"&amp;"d Base'!D97)+GroundResidentialFee)*(1+GroundFuelSurcharge),2)))*(1+FedEx_Markup),2)"),43.92)</f>
        <v>43.92</v>
      </c>
      <c r="E102" s="275">
        <f>IFERROR(__xludf.DUMMYFUNCTION("ROUND((IF(SINGLE('Ground Base'!E$154)&gt;ROUND(((1-GroundResDiscount31Up-GroundResIncentive)*'Ground Base'!E97),2),ROUND((SINGLE('Ground Base'!E$154)+GroundResidentialFee)*(1+GroundFuelSurcharge),2),ROUND((((1-GroundResDiscount31Up-GroundResIncentive)*'Groun"&amp;"d Base'!E97)+GroundResidentialFee)*(1+GroundFuelSurcharge),2)))*(1+FedEx_Markup),2)"),48.35)</f>
        <v>48.35</v>
      </c>
      <c r="F102" s="275">
        <f>IFERROR(__xludf.DUMMYFUNCTION("ROUND((IF(SINGLE('Ground Base'!F$154)&gt;ROUND(((1-GroundResDiscount31Up-GroundResIncentive)*'Ground Base'!F97),2),ROUND((SINGLE('Ground Base'!F$154)+GroundResidentialFee)*(1+GroundFuelSurcharge),2),ROUND((((1-GroundResDiscount31Up-GroundResIncentive)*'Groun"&amp;"d Base'!F97)+GroundResidentialFee)*(1+GroundFuelSurcharge),2)))*(1+FedEx_Markup),2)"),56.99)</f>
        <v>56.99</v>
      </c>
      <c r="G102" s="275">
        <f>IFERROR(__xludf.DUMMYFUNCTION("ROUND((IF(SINGLE('Ground Base'!G$154)&gt;ROUND(((1-GroundResDiscount31Up-GroundResIncentive)*'Ground Base'!G97),2),ROUND((SINGLE('Ground Base'!G$154)+GroundResidentialFee)*(1+GroundFuelSurcharge),2),ROUND((((1-GroundResDiscount31Up-GroundResIncentive)*'Groun"&amp;"d Base'!G97)+GroundResidentialFee)*(1+GroundFuelSurcharge),2)))*(1+FedEx_Markup),2)"),64.08)</f>
        <v>64.08</v>
      </c>
      <c r="H102" s="275">
        <f>IFERROR(__xludf.DUMMYFUNCTION("ROUND((IF(SINGLE('Ground Base'!H$154)&gt;ROUND(((1-GroundResDiscount31Up-GroundResIncentive)*'Ground Base'!H97),2),ROUND((SINGLE('Ground Base'!H$154)+GroundResidentialFee)*(1+GroundFuelSurcharge),2),ROUND((((1-GroundResDiscount31Up-GroundResIncentive)*'Groun"&amp;"d Base'!H97)+GroundResidentialFee)*(1+GroundFuelSurcharge),2)))*(1+FedEx_Markup),2)"),69.3)</f>
        <v>69.3</v>
      </c>
      <c r="I102" s="275">
        <f>ROUND((IF('Ground Base'!I$154&gt;ROUND(((1-GroundAKHIDiscount)*'Ground Base'!I97),2),ROUND(('Ground Base'!I$154+GroundResidentialFee)*(1+GroundFuelSurcharge),2),ROUND((((1-GroundAKHIDiscount)*'Ground Base'!I97)+GroundResidentialFee)*(1+GroundFuelSurcharge),2)))*(1+FedEx_Markup),2)</f>
        <v>408.27</v>
      </c>
      <c r="J102" s="275">
        <f>ROUND((IF('Ground Base'!J$154&gt;ROUND(((1-GroundAKHIDiscount)*'Ground Base'!J97),2),ROUND(('Ground Base'!J$154+GroundResidentialFee)*(1+GroundFuelSurcharge),2),ROUND((((1-GroundAKHIDiscount)*'Ground Base'!J97)+GroundResidentialFee)*(1+GroundFuelSurcharge),2)))*(1+FedEx_Markup),2)</f>
        <v>408.27</v>
      </c>
      <c r="K102" s="275">
        <f>ROUND((IF('Ground Base'!K$154&gt;ROUND(((1-GroundZone51Discount)*'Ground Base'!K97),2),ROUND(('Ground Base'!K$154+GroundResidentialFee)*(1+GroundFuelSurcharge),2),ROUND((((1-GroundZone51Discount)*'Ground Base'!K97)+GroundResidentialFee)*(1+GroundFuelSurcharge),2)))*(1+FedEx_Markup),2)</f>
        <v>101.88</v>
      </c>
      <c r="L102" s="275">
        <f>ROUND((IF('Ground Base'!L$154&gt;ROUND(((1-GroundZone54Discount)*'Ground Base'!L97),2),ROUND(('Ground Base'!L$154+GroundResidentialFee)*(1+GroundFuelSurcharge),2),ROUND((((1-GroundZone54Discount)*'Ground Base'!L97)+GroundResidentialFee)*(1+GroundFuelSurcharge),2)))*(1+FedEx_Markup),2)</f>
        <v>131.47</v>
      </c>
    </row>
    <row r="103" ht="12.75" customHeight="1">
      <c r="A103" s="274">
        <v>96.0</v>
      </c>
      <c r="B103" s="275">
        <f>IFERROR(__xludf.DUMMYFUNCTION("ROUND((IF(SINGLE('Ground Base'!B$154)&gt;ROUND(((1-GroundResDiscount31Up-GroundResIncentive)*'Ground Base'!B98),2),ROUND((SINGLE('Ground Base'!B$154)+GroundResidentialFee)*(1+GroundFuelSurcharge),2),ROUND((((1-GroundResDiscount31Up-GroundResIncentive)*'Groun"&amp;"d Base'!B98)+GroundResidentialFee)*(1+GroundFuelSurcharge),2)))*(1+FedEx_Markup),2)"),40.1)</f>
        <v>40.1</v>
      </c>
      <c r="C103" s="275">
        <f>IFERROR(__xludf.DUMMYFUNCTION("ROUND((IF(SINGLE('Ground Base'!C$154)&gt;ROUND(((1-GroundResDiscount31Up-GroundResIncentive)*'Ground Base'!C98),2),ROUND((SINGLE('Ground Base'!C$154)+GroundResidentialFee)*(1+GroundFuelSurcharge),2),ROUND((((1-GroundResDiscount31Up-GroundResIncentive)*'Groun"&amp;"d Base'!C98)+GroundResidentialFee)*(1+GroundFuelSurcharge),2)))*(1+FedEx_Markup),2)"),40.74)</f>
        <v>40.74</v>
      </c>
      <c r="D103" s="275">
        <f>IFERROR(__xludf.DUMMYFUNCTION("ROUND((IF(SINGLE('Ground Base'!D$154)&gt;ROUND(((1-GroundResDiscount31Up-GroundResIncentive)*'Ground Base'!D98),2),ROUND((SINGLE('Ground Base'!D$154)+GroundResidentialFee)*(1+GroundFuelSurcharge),2),ROUND((((1-GroundResDiscount31Up-GroundResIncentive)*'Groun"&amp;"d Base'!D98)+GroundResidentialFee)*(1+GroundFuelSurcharge),2)))*(1+FedEx_Markup),2)"),45.43)</f>
        <v>45.43</v>
      </c>
      <c r="E103" s="275">
        <f>IFERROR(__xludf.DUMMYFUNCTION("ROUND((IF(SINGLE('Ground Base'!E$154)&gt;ROUND(((1-GroundResDiscount31Up-GroundResIncentive)*'Ground Base'!E98),2),ROUND((SINGLE('Ground Base'!E$154)+GroundResidentialFee)*(1+GroundFuelSurcharge),2),ROUND((((1-GroundResDiscount31Up-GroundResIncentive)*'Groun"&amp;"d Base'!E98)+GroundResidentialFee)*(1+GroundFuelSurcharge),2)))*(1+FedEx_Markup),2)"),48.85)</f>
        <v>48.85</v>
      </c>
      <c r="F103" s="275">
        <f>IFERROR(__xludf.DUMMYFUNCTION("ROUND((IF(SINGLE('Ground Base'!F$154)&gt;ROUND(((1-GroundResDiscount31Up-GroundResIncentive)*'Ground Base'!F98),2),ROUND((SINGLE('Ground Base'!F$154)+GroundResidentialFee)*(1+GroundFuelSurcharge),2),ROUND((((1-GroundResDiscount31Up-GroundResIncentive)*'Groun"&amp;"d Base'!F98)+GroundResidentialFee)*(1+GroundFuelSurcharge),2)))*(1+FedEx_Markup),2)"),56.99)</f>
        <v>56.99</v>
      </c>
      <c r="G103" s="275">
        <f>IFERROR(__xludf.DUMMYFUNCTION("ROUND((IF(SINGLE('Ground Base'!G$154)&gt;ROUND(((1-GroundResDiscount31Up-GroundResIncentive)*'Ground Base'!G98),2),ROUND((SINGLE('Ground Base'!G$154)+GroundResidentialFee)*(1+GroundFuelSurcharge),2),ROUND((((1-GroundResDiscount31Up-GroundResIncentive)*'Groun"&amp;"d Base'!G98)+GroundResidentialFee)*(1+GroundFuelSurcharge),2)))*(1+FedEx_Markup),2)"),64.09)</f>
        <v>64.09</v>
      </c>
      <c r="H103" s="275">
        <f>IFERROR(__xludf.DUMMYFUNCTION("ROUND((IF(SINGLE('Ground Base'!H$154)&gt;ROUND(((1-GroundResDiscount31Up-GroundResIncentive)*'Ground Base'!H98),2),ROUND((SINGLE('Ground Base'!H$154)+GroundResidentialFee)*(1+GroundFuelSurcharge),2),ROUND((((1-GroundResDiscount31Up-GroundResIncentive)*'Groun"&amp;"d Base'!H98)+GroundResidentialFee)*(1+GroundFuelSurcharge),2)))*(1+FedEx_Markup),2)"),69.95)</f>
        <v>69.95</v>
      </c>
      <c r="I103" s="275">
        <f>ROUND((IF('Ground Base'!I$154&gt;ROUND(((1-GroundAKHIDiscount)*'Ground Base'!I98),2),ROUND(('Ground Base'!I$154+GroundResidentialFee)*(1+GroundFuelSurcharge),2),ROUND((((1-GroundAKHIDiscount)*'Ground Base'!I98)+GroundResidentialFee)*(1+GroundFuelSurcharge),2)))*(1+FedEx_Markup),2)</f>
        <v>411.98</v>
      </c>
      <c r="J103" s="275">
        <f>ROUND((IF('Ground Base'!J$154&gt;ROUND(((1-GroundAKHIDiscount)*'Ground Base'!J98),2),ROUND(('Ground Base'!J$154+GroundResidentialFee)*(1+GroundFuelSurcharge),2),ROUND((((1-GroundAKHIDiscount)*'Ground Base'!J98)+GroundResidentialFee)*(1+GroundFuelSurcharge),2)))*(1+FedEx_Markup),2)</f>
        <v>411.98</v>
      </c>
      <c r="K103" s="275">
        <f>ROUND((IF('Ground Base'!K$154&gt;ROUND(((1-GroundZone51Discount)*'Ground Base'!K98),2),ROUND(('Ground Base'!K$154+GroundResidentialFee)*(1+GroundFuelSurcharge),2),ROUND((((1-GroundZone51Discount)*'Ground Base'!K98)+GroundResidentialFee)*(1+GroundFuelSurcharge),2)))*(1+FedEx_Markup),2)</f>
        <v>101.89</v>
      </c>
      <c r="L103" s="275">
        <f>ROUND((IF('Ground Base'!L$154&gt;ROUND(((1-GroundZone54Discount)*'Ground Base'!L98),2),ROUND(('Ground Base'!L$154+GroundResidentialFee)*(1+GroundFuelSurcharge),2),ROUND((((1-GroundZone54Discount)*'Ground Base'!L98)+GroundResidentialFee)*(1+GroundFuelSurcharge),2)))*(1+FedEx_Markup),2)</f>
        <v>131.48</v>
      </c>
    </row>
    <row r="104" ht="12.75" customHeight="1">
      <c r="A104" s="274">
        <v>97.0</v>
      </c>
      <c r="B104" s="275">
        <f>IFERROR(__xludf.DUMMYFUNCTION("ROUND((IF(SINGLE('Ground Base'!B$154)&gt;ROUND(((1-GroundResDiscount31Up-GroundResIncentive)*'Ground Base'!B99),2),ROUND((SINGLE('Ground Base'!B$154)+GroundResidentialFee)*(1+GroundFuelSurcharge),2),ROUND((((1-GroundResDiscount31Up-GroundResIncentive)*'Groun"&amp;"d Base'!B99)+GroundResidentialFee)*(1+GroundFuelSurcharge),2)))*(1+FedEx_Markup),2)"),41.32)</f>
        <v>41.32</v>
      </c>
      <c r="C104" s="275">
        <f>IFERROR(__xludf.DUMMYFUNCTION("ROUND((IF(SINGLE('Ground Base'!C$154)&gt;ROUND(((1-GroundResDiscount31Up-GroundResIncentive)*'Ground Base'!C99),2),ROUND((SINGLE('Ground Base'!C$154)+GroundResidentialFee)*(1+GroundFuelSurcharge),2),ROUND((((1-GroundResDiscount31Up-GroundResIncentive)*'Groun"&amp;"d Base'!C99)+GroundResidentialFee)*(1+GroundFuelSurcharge),2)))*(1+FedEx_Markup),2)"),42.23)</f>
        <v>42.23</v>
      </c>
      <c r="D104" s="275">
        <f>IFERROR(__xludf.DUMMYFUNCTION("ROUND((IF(SINGLE('Ground Base'!D$154)&gt;ROUND(((1-GroundResDiscount31Up-GroundResIncentive)*'Ground Base'!D99),2),ROUND((SINGLE('Ground Base'!D$154)+GroundResidentialFee)*(1+GroundFuelSurcharge),2),ROUND((((1-GroundResDiscount31Up-GroundResIncentive)*'Groun"&amp;"d Base'!D99)+GroundResidentialFee)*(1+GroundFuelSurcharge),2)))*(1+FedEx_Markup),2)"),46.05)</f>
        <v>46.05</v>
      </c>
      <c r="E104" s="275">
        <f>IFERROR(__xludf.DUMMYFUNCTION("ROUND((IF(SINGLE('Ground Base'!E$154)&gt;ROUND(((1-GroundResDiscount31Up-GroundResIncentive)*'Ground Base'!E99),2),ROUND((SINGLE('Ground Base'!E$154)+GroundResidentialFee)*(1+GroundFuelSurcharge),2),ROUND((((1-GroundResDiscount31Up-GroundResIncentive)*'Groun"&amp;"d Base'!E99)+GroundResidentialFee)*(1+GroundFuelSurcharge),2)))*(1+FedEx_Markup),2)"),49.6)</f>
        <v>49.6</v>
      </c>
      <c r="F104" s="275">
        <f>IFERROR(__xludf.DUMMYFUNCTION("ROUND((IF(SINGLE('Ground Base'!F$154)&gt;ROUND(((1-GroundResDiscount31Up-GroundResIncentive)*'Ground Base'!F99),2),ROUND((SINGLE('Ground Base'!F$154)+GroundResidentialFee)*(1+GroundFuelSurcharge),2),ROUND((((1-GroundResDiscount31Up-GroundResIncentive)*'Groun"&amp;"d Base'!F99)+GroundResidentialFee)*(1+GroundFuelSurcharge),2)))*(1+FedEx_Markup),2)"),58.17)</f>
        <v>58.17</v>
      </c>
      <c r="G104" s="275">
        <f>IFERROR(__xludf.DUMMYFUNCTION("ROUND((IF(SINGLE('Ground Base'!G$154)&gt;ROUND(((1-GroundResDiscount31Up-GroundResIncentive)*'Ground Base'!G99),2),ROUND((SINGLE('Ground Base'!G$154)+GroundResidentialFee)*(1+GroundFuelSurcharge),2),ROUND((((1-GroundResDiscount31Up-GroundResIncentive)*'Groun"&amp;"d Base'!G99)+GroundResidentialFee)*(1+GroundFuelSurcharge),2)))*(1+FedEx_Markup),2)"),64.96)</f>
        <v>64.96</v>
      </c>
      <c r="H104" s="275">
        <f>IFERROR(__xludf.DUMMYFUNCTION("ROUND((IF(SINGLE('Ground Base'!H$154)&gt;ROUND(((1-GroundResDiscount31Up-GroundResIncentive)*'Ground Base'!H99),2),ROUND((SINGLE('Ground Base'!H$154)+GroundResidentialFee)*(1+GroundFuelSurcharge),2),ROUND((((1-GroundResDiscount31Up-GroundResIncentive)*'Groun"&amp;"d Base'!H99)+GroundResidentialFee)*(1+GroundFuelSurcharge),2)))*(1+FedEx_Markup),2)"),71.28)</f>
        <v>71.28</v>
      </c>
      <c r="I104" s="275">
        <f>ROUND((IF('Ground Base'!I$154&gt;ROUND(((1-GroundAKHIDiscount)*'Ground Base'!I99),2),ROUND(('Ground Base'!I$154+GroundResidentialFee)*(1+GroundFuelSurcharge),2),ROUND((((1-GroundAKHIDiscount)*'Ground Base'!I99)+GroundResidentialFee)*(1+GroundFuelSurcharge),2)))*(1+FedEx_Markup),2)</f>
        <v>415.89</v>
      </c>
      <c r="J104" s="275">
        <f>ROUND((IF('Ground Base'!J$154&gt;ROUND(((1-GroundAKHIDiscount)*'Ground Base'!J99),2),ROUND(('Ground Base'!J$154+GroundResidentialFee)*(1+GroundFuelSurcharge),2),ROUND((((1-GroundAKHIDiscount)*'Ground Base'!J99)+GroundResidentialFee)*(1+GroundFuelSurcharge),2)))*(1+FedEx_Markup),2)</f>
        <v>415.89</v>
      </c>
      <c r="K104" s="275">
        <f>ROUND((IF('Ground Base'!K$154&gt;ROUND(((1-GroundZone51Discount)*'Ground Base'!K99),2),ROUND(('Ground Base'!K$154+GroundResidentialFee)*(1+GroundFuelSurcharge),2),ROUND((((1-GroundZone51Discount)*'Ground Base'!K99)+GroundResidentialFee)*(1+GroundFuelSurcharge),2)))*(1+FedEx_Markup),2)</f>
        <v>102.51</v>
      </c>
      <c r="L104" s="275">
        <f>ROUND((IF('Ground Base'!L$154&gt;ROUND(((1-GroundZone54Discount)*'Ground Base'!L99),2),ROUND(('Ground Base'!L$154+GroundResidentialFee)*(1+GroundFuelSurcharge),2),ROUND((((1-GroundZone54Discount)*'Ground Base'!L99)+GroundResidentialFee)*(1+GroundFuelSurcharge),2)))*(1+FedEx_Markup),2)</f>
        <v>133.72</v>
      </c>
    </row>
    <row r="105" ht="12.75" customHeight="1">
      <c r="A105" s="274">
        <v>98.0</v>
      </c>
      <c r="B105" s="275">
        <f>IFERROR(__xludf.DUMMYFUNCTION("ROUND((IF(SINGLE('Ground Base'!B$154)&gt;ROUND(((1-GroundResDiscount31Up-GroundResIncentive)*'Ground Base'!B100),2),ROUND((SINGLE('Ground Base'!B$154)+GroundResidentialFee)*(1+GroundFuelSurcharge),2),ROUND((((1-GroundResDiscount31Up-GroundResIncentive)*'Grou"&amp;"nd Base'!B100)+GroundResidentialFee)*(1+GroundFuelSurcharge),2)))*(1+FedEx_Markup),2)"),41.84)</f>
        <v>41.84</v>
      </c>
      <c r="C105" s="275">
        <f>IFERROR(__xludf.DUMMYFUNCTION("ROUND((IF(SINGLE('Ground Base'!C$154)&gt;ROUND(((1-GroundResDiscount31Up-GroundResIncentive)*'Ground Base'!C100),2),ROUND((SINGLE('Ground Base'!C$154)+GroundResidentialFee)*(1+GroundFuelSurcharge),2),ROUND((((1-GroundResDiscount31Up-GroundResIncentive)*'Grou"&amp;"nd Base'!C100)+GroundResidentialFee)*(1+GroundFuelSurcharge),2)))*(1+FedEx_Markup),2)"),42.49)</f>
        <v>42.49</v>
      </c>
      <c r="D105" s="275">
        <f>IFERROR(__xludf.DUMMYFUNCTION("ROUND((IF(SINGLE('Ground Base'!D$154)&gt;ROUND(((1-GroundResDiscount31Up-GroundResIncentive)*'Ground Base'!D100),2),ROUND((SINGLE('Ground Base'!D$154)+GroundResidentialFee)*(1+GroundFuelSurcharge),2),ROUND((((1-GroundResDiscount31Up-GroundResIncentive)*'Grou"&amp;"nd Base'!D100)+GroundResidentialFee)*(1+GroundFuelSurcharge),2)))*(1+FedEx_Markup),2)"),46.05)</f>
        <v>46.05</v>
      </c>
      <c r="E105" s="275">
        <f>IFERROR(__xludf.DUMMYFUNCTION("ROUND((IF(SINGLE('Ground Base'!E$154)&gt;ROUND(((1-GroundResDiscount31Up-GroundResIncentive)*'Ground Base'!E100),2),ROUND((SINGLE('Ground Base'!E$154)+GroundResidentialFee)*(1+GroundFuelSurcharge),2),ROUND((((1-GroundResDiscount31Up-GroundResIncentive)*'Grou"&amp;"nd Base'!E100)+GroundResidentialFee)*(1+GroundFuelSurcharge),2)))*(1+FedEx_Markup),2)"),50.14)</f>
        <v>50.14</v>
      </c>
      <c r="F105" s="275">
        <f>IFERROR(__xludf.DUMMYFUNCTION("ROUND((IF(SINGLE('Ground Base'!F$154)&gt;ROUND(((1-GroundResDiscount31Up-GroundResIncentive)*'Ground Base'!F100),2),ROUND((SINGLE('Ground Base'!F$154)+GroundResidentialFee)*(1+GroundFuelSurcharge),2),ROUND((((1-GroundResDiscount31Up-GroundResIncentive)*'Grou"&amp;"nd Base'!F100)+GroundResidentialFee)*(1+GroundFuelSurcharge),2)))*(1+FedEx_Markup),2)"),58.79)</f>
        <v>58.79</v>
      </c>
      <c r="G105" s="275">
        <f>IFERROR(__xludf.DUMMYFUNCTION("ROUND((IF(SINGLE('Ground Base'!G$154)&gt;ROUND(((1-GroundResDiscount31Up-GroundResIncentive)*'Ground Base'!G100),2),ROUND((SINGLE('Ground Base'!G$154)+GroundResidentialFee)*(1+GroundFuelSurcharge),2),ROUND((((1-GroundResDiscount31Up-GroundResIncentive)*'Grou"&amp;"nd Base'!G100)+GroundResidentialFee)*(1+GroundFuelSurcharge),2)))*(1+FedEx_Markup),2)"),64.98)</f>
        <v>64.98</v>
      </c>
      <c r="H105" s="275">
        <f>IFERROR(__xludf.DUMMYFUNCTION("ROUND((IF(SINGLE('Ground Base'!H$154)&gt;ROUND(((1-GroundResDiscount31Up-GroundResIncentive)*'Ground Base'!H100),2),ROUND((SINGLE('Ground Base'!H$154)+GroundResidentialFee)*(1+GroundFuelSurcharge),2),ROUND((((1-GroundResDiscount31Up-GroundResIncentive)*'Grou"&amp;"nd Base'!H100)+GroundResidentialFee)*(1+GroundFuelSurcharge),2)))*(1+FedEx_Markup),2)"),71.29)</f>
        <v>71.29</v>
      </c>
      <c r="I105" s="275">
        <f>ROUND((IF('Ground Base'!I$154&gt;ROUND(((1-GroundAKHIDiscount)*'Ground Base'!I100),2),ROUND(('Ground Base'!I$154+GroundResidentialFee)*(1+GroundFuelSurcharge),2),ROUND((((1-GroundAKHIDiscount)*'Ground Base'!I100)+GroundResidentialFee)*(1+GroundFuelSurcharge),2)))*(1+FedEx_Markup),2)</f>
        <v>419.54</v>
      </c>
      <c r="J105" s="275">
        <f>ROUND((IF('Ground Base'!J$154&gt;ROUND(((1-GroundAKHIDiscount)*'Ground Base'!J100),2),ROUND(('Ground Base'!J$154+GroundResidentialFee)*(1+GroundFuelSurcharge),2),ROUND((((1-GroundAKHIDiscount)*'Ground Base'!J100)+GroundResidentialFee)*(1+GroundFuelSurcharge),2)))*(1+FedEx_Markup),2)</f>
        <v>419.54</v>
      </c>
      <c r="K105" s="275">
        <f>ROUND((IF('Ground Base'!K$154&gt;ROUND(((1-GroundZone51Discount)*'Ground Base'!K100),2),ROUND(('Ground Base'!K$154+GroundResidentialFee)*(1+GroundFuelSurcharge),2),ROUND((((1-GroundZone51Discount)*'Ground Base'!K100)+GroundResidentialFee)*(1+GroundFuelSurcharge),2)))*(1+FedEx_Markup),2)</f>
        <v>102.51</v>
      </c>
      <c r="L105" s="275">
        <f>ROUND((IF('Ground Base'!L$154&gt;ROUND(((1-GroundZone54Discount)*'Ground Base'!L100),2),ROUND(('Ground Base'!L$154+GroundResidentialFee)*(1+GroundFuelSurcharge),2),ROUND((((1-GroundZone54Discount)*'Ground Base'!L100)+GroundResidentialFee)*(1+GroundFuelSurcharge),2)))*(1+FedEx_Markup),2)</f>
        <v>133.72</v>
      </c>
    </row>
    <row r="106" ht="12.75" customHeight="1">
      <c r="A106" s="274">
        <v>99.0</v>
      </c>
      <c r="B106" s="275">
        <f>IFERROR(__xludf.DUMMYFUNCTION("ROUND((IF(SINGLE('Ground Base'!B$154)&gt;ROUND(((1-GroundResDiscount31Up-GroundResIncentive)*'Ground Base'!B101),2),ROUND((SINGLE('Ground Base'!B$154)+GroundResidentialFee)*(1+GroundFuelSurcharge),2),ROUND((((1-GroundResDiscount31Up-GroundResIncentive)*'Grou"&amp;"nd Base'!B101)+GroundResidentialFee)*(1+GroundFuelSurcharge),2)))*(1+FedEx_Markup),2)"),42.37)</f>
        <v>42.37</v>
      </c>
      <c r="C106" s="275">
        <f>IFERROR(__xludf.DUMMYFUNCTION("ROUND((IF(SINGLE('Ground Base'!C$154)&gt;ROUND(((1-GroundResDiscount31Up-GroundResIncentive)*'Ground Base'!C101),2),ROUND((SINGLE('Ground Base'!C$154)+GroundResidentialFee)*(1+GroundFuelSurcharge),2),ROUND((((1-GroundResDiscount31Up-GroundResIncentive)*'Grou"&amp;"nd Base'!C101)+GroundResidentialFee)*(1+GroundFuelSurcharge),2)))*(1+FedEx_Markup),2)"),42.72)</f>
        <v>42.72</v>
      </c>
      <c r="D106" s="275">
        <f>IFERROR(__xludf.DUMMYFUNCTION("ROUND((IF(SINGLE('Ground Base'!D$154)&gt;ROUND(((1-GroundResDiscount31Up-GroundResIncentive)*'Ground Base'!D101),2),ROUND((SINGLE('Ground Base'!D$154)+GroundResidentialFee)*(1+GroundFuelSurcharge),2),ROUND((((1-GroundResDiscount31Up-GroundResIncentive)*'Grou"&amp;"nd Base'!D101)+GroundResidentialFee)*(1+GroundFuelSurcharge),2)))*(1+FedEx_Markup),2)"),46.85)</f>
        <v>46.85</v>
      </c>
      <c r="E106" s="275">
        <f>IFERROR(__xludf.DUMMYFUNCTION("ROUND((IF(SINGLE('Ground Base'!E$154)&gt;ROUND(((1-GroundResDiscount31Up-GroundResIncentive)*'Ground Base'!E101),2),ROUND((SINGLE('Ground Base'!E$154)+GroundResidentialFee)*(1+GroundFuelSurcharge),2),ROUND((((1-GroundResDiscount31Up-GroundResIncentive)*'Grou"&amp;"nd Base'!E101)+GroundResidentialFee)*(1+GroundFuelSurcharge),2)))*(1+FedEx_Markup),2)"),50.74)</f>
        <v>50.74</v>
      </c>
      <c r="F106" s="275">
        <f>IFERROR(__xludf.DUMMYFUNCTION("ROUND((IF(SINGLE('Ground Base'!F$154)&gt;ROUND(((1-GroundResDiscount31Up-GroundResIncentive)*'Ground Base'!F101),2),ROUND((SINGLE('Ground Base'!F$154)+GroundResidentialFee)*(1+GroundFuelSurcharge),2),ROUND((((1-GroundResDiscount31Up-GroundResIncentive)*'Grou"&amp;"nd Base'!F101)+GroundResidentialFee)*(1+GroundFuelSurcharge),2)))*(1+FedEx_Markup),2)"),58.91)</f>
        <v>58.91</v>
      </c>
      <c r="G106" s="275">
        <f>IFERROR(__xludf.DUMMYFUNCTION("ROUND((IF(SINGLE('Ground Base'!G$154)&gt;ROUND(((1-GroundResDiscount31Up-GroundResIncentive)*'Ground Base'!G101),2),ROUND((SINGLE('Ground Base'!G$154)+GroundResidentialFee)*(1+GroundFuelSurcharge),2),ROUND((((1-GroundResDiscount31Up-GroundResIncentive)*'Grou"&amp;"nd Base'!G101)+GroundResidentialFee)*(1+GroundFuelSurcharge),2)))*(1+FedEx_Markup),2)"),65.6)</f>
        <v>65.6</v>
      </c>
      <c r="H106" s="275">
        <f>IFERROR(__xludf.DUMMYFUNCTION("ROUND((IF(SINGLE('Ground Base'!H$154)&gt;ROUND(((1-GroundResDiscount31Up-GroundResIncentive)*'Ground Base'!H101),2),ROUND((SINGLE('Ground Base'!H$154)+GroundResidentialFee)*(1+GroundFuelSurcharge),2),ROUND((((1-GroundResDiscount31Up-GroundResIncentive)*'Grou"&amp;"nd Base'!H101)+GroundResidentialFee)*(1+GroundFuelSurcharge),2)))*(1+FedEx_Markup),2)"),71.98)</f>
        <v>71.98</v>
      </c>
      <c r="I106" s="275">
        <f>ROUND((IF('Ground Base'!I$154&gt;ROUND(((1-GroundAKHIDiscount)*'Ground Base'!I101),2),ROUND(('Ground Base'!I$154+GroundResidentialFee)*(1+GroundFuelSurcharge),2),ROUND((((1-GroundAKHIDiscount)*'Ground Base'!I101)+GroundResidentialFee)*(1+GroundFuelSurcharge),2)))*(1+FedEx_Markup),2)</f>
        <v>423.45</v>
      </c>
      <c r="J106" s="275">
        <f>ROUND((IF('Ground Base'!J$154&gt;ROUND(((1-GroundAKHIDiscount)*'Ground Base'!J101),2),ROUND(('Ground Base'!J$154+GroundResidentialFee)*(1+GroundFuelSurcharge),2),ROUND((((1-GroundAKHIDiscount)*'Ground Base'!J101)+GroundResidentialFee)*(1+GroundFuelSurcharge),2)))*(1+FedEx_Markup),2)</f>
        <v>423.45</v>
      </c>
      <c r="K106" s="275">
        <f>ROUND((IF('Ground Base'!K$154&gt;ROUND(((1-GroundZone51Discount)*'Ground Base'!K101),2),ROUND(('Ground Base'!K$154+GroundResidentialFee)*(1+GroundFuelSurcharge),2),ROUND((((1-GroundZone51Discount)*'Ground Base'!K101)+GroundResidentialFee)*(1+GroundFuelSurcharge),2)))*(1+FedEx_Markup),2)</f>
        <v>103.01</v>
      </c>
      <c r="L106" s="275">
        <f>ROUND((IF('Ground Base'!L$154&gt;ROUND(((1-GroundZone54Discount)*'Ground Base'!L101),2),ROUND(('Ground Base'!L$154+GroundResidentialFee)*(1+GroundFuelSurcharge),2),ROUND((((1-GroundZone54Discount)*'Ground Base'!L101)+GroundResidentialFee)*(1+GroundFuelSurcharge),2)))*(1+FedEx_Markup),2)</f>
        <v>135.59</v>
      </c>
    </row>
    <row r="107" ht="12.75" customHeight="1">
      <c r="A107" s="274">
        <v>100.0</v>
      </c>
      <c r="B107" s="275">
        <f>IFERROR(__xludf.DUMMYFUNCTION("ROUND((IF(SINGLE('Ground Base'!B$154)&gt;ROUND(((1-GroundResDiscount31Up-GroundResIncentive)*'Ground Base'!B102),2),ROUND((SINGLE('Ground Base'!B$154)+GroundResidentialFee)*(1+GroundFuelSurcharge),2),ROUND((((1-GroundResDiscount31Up-GroundResIncentive)*'Grou"&amp;"nd Base'!B102)+GroundResidentialFee)*(1+GroundFuelSurcharge),2)))*(1+FedEx_Markup),2)"),43.03)</f>
        <v>43.03</v>
      </c>
      <c r="C107" s="275">
        <f>IFERROR(__xludf.DUMMYFUNCTION("ROUND((IF(SINGLE('Ground Base'!C$154)&gt;ROUND(((1-GroundResDiscount31Up-GroundResIncentive)*'Ground Base'!C102),2),ROUND((SINGLE('Ground Base'!C$154)+GroundResidentialFee)*(1+GroundFuelSurcharge),2),ROUND((((1-GroundResDiscount31Up-GroundResIncentive)*'Grou"&amp;"nd Base'!C102)+GroundResidentialFee)*(1+GroundFuelSurcharge),2)))*(1+FedEx_Markup),2)"),43.4)</f>
        <v>43.4</v>
      </c>
      <c r="D107" s="275">
        <f>IFERROR(__xludf.DUMMYFUNCTION("ROUND((IF(SINGLE('Ground Base'!D$154)&gt;ROUND(((1-GroundResDiscount31Up-GroundResIncentive)*'Ground Base'!D102),2),ROUND((SINGLE('Ground Base'!D$154)+GroundResidentialFee)*(1+GroundFuelSurcharge),2),ROUND((((1-GroundResDiscount31Up-GroundResIncentive)*'Grou"&amp;"nd Base'!D102)+GroundResidentialFee)*(1+GroundFuelSurcharge),2)))*(1+FedEx_Markup),2)"),47.27)</f>
        <v>47.27</v>
      </c>
      <c r="E107" s="275">
        <f>IFERROR(__xludf.DUMMYFUNCTION("ROUND((IF(SINGLE('Ground Base'!E$154)&gt;ROUND(((1-GroundResDiscount31Up-GroundResIncentive)*'Ground Base'!E102),2),ROUND((SINGLE('Ground Base'!E$154)+GroundResidentialFee)*(1+GroundFuelSurcharge),2),ROUND((((1-GroundResDiscount31Up-GroundResIncentive)*'Grou"&amp;"nd Base'!E102)+GroundResidentialFee)*(1+GroundFuelSurcharge),2)))*(1+FedEx_Markup),2)"),50.99)</f>
        <v>50.99</v>
      </c>
      <c r="F107" s="275">
        <f>IFERROR(__xludf.DUMMYFUNCTION("ROUND((IF(SINGLE('Ground Base'!F$154)&gt;ROUND(((1-GroundResDiscount31Up-GroundResIncentive)*'Ground Base'!F102),2),ROUND((SINGLE('Ground Base'!F$154)+GroundResidentialFee)*(1+GroundFuelSurcharge),2),ROUND((((1-GroundResDiscount31Up-GroundResIncentive)*'Grou"&amp;"nd Base'!F102)+GroundResidentialFee)*(1+GroundFuelSurcharge),2)))*(1+FedEx_Markup),2)"),59.52)</f>
        <v>59.52</v>
      </c>
      <c r="G107" s="275">
        <f>IFERROR(__xludf.DUMMYFUNCTION("ROUND((IF(SINGLE('Ground Base'!G$154)&gt;ROUND(((1-GroundResDiscount31Up-GroundResIncentive)*'Ground Base'!G102),2),ROUND((SINGLE('Ground Base'!G$154)+GroundResidentialFee)*(1+GroundFuelSurcharge),2),ROUND((((1-GroundResDiscount31Up-GroundResIncentive)*'Grou"&amp;"nd Base'!G102)+GroundResidentialFee)*(1+GroundFuelSurcharge),2)))*(1+FedEx_Markup),2)"),65.64)</f>
        <v>65.64</v>
      </c>
      <c r="H107" s="275">
        <f>IFERROR(__xludf.DUMMYFUNCTION("ROUND((IF(SINGLE('Ground Base'!H$154)&gt;ROUND(((1-GroundResDiscount31Up-GroundResIncentive)*'Ground Base'!H102),2),ROUND((SINGLE('Ground Base'!H$154)+GroundResidentialFee)*(1+GroundFuelSurcharge),2),ROUND((((1-GroundResDiscount31Up-GroundResIncentive)*'Grou"&amp;"nd Base'!H102)+GroundResidentialFee)*(1+GroundFuelSurcharge),2)))*(1+FedEx_Markup),2)"),72.02)</f>
        <v>72.02</v>
      </c>
      <c r="I107" s="275">
        <f>ROUND((IF('Ground Base'!I$154&gt;ROUND(((1-GroundAKHIDiscount)*'Ground Base'!I102),2),ROUND(('Ground Base'!I$154+GroundResidentialFee)*(1+GroundFuelSurcharge),2),ROUND((((1-GroundAKHIDiscount)*'Ground Base'!I102)+GroundResidentialFee)*(1+GroundFuelSurcharge),2)))*(1+FedEx_Markup),2)</f>
        <v>427.35</v>
      </c>
      <c r="J107" s="275">
        <f>ROUND((IF('Ground Base'!J$154&gt;ROUND(((1-GroundAKHIDiscount)*'Ground Base'!J102),2),ROUND(('Ground Base'!J$154+GroundResidentialFee)*(1+GroundFuelSurcharge),2),ROUND((((1-GroundAKHIDiscount)*'Ground Base'!J102)+GroundResidentialFee)*(1+GroundFuelSurcharge),2)))*(1+FedEx_Markup),2)</f>
        <v>427.35</v>
      </c>
      <c r="K107" s="275">
        <f>ROUND((IF('Ground Base'!K$154&gt;ROUND(((1-GroundZone51Discount)*'Ground Base'!K102),2),ROUND(('Ground Base'!K$154+GroundResidentialFee)*(1+GroundFuelSurcharge),2),ROUND((((1-GroundZone51Discount)*'Ground Base'!K102)+GroundResidentialFee)*(1+GroundFuelSurcharge),2)))*(1+FedEx_Markup),2)</f>
        <v>103.02</v>
      </c>
      <c r="L107" s="275">
        <f>ROUND((IF('Ground Base'!L$154&gt;ROUND(((1-GroundZone54Discount)*'Ground Base'!L102),2),ROUND(('Ground Base'!L$154+GroundResidentialFee)*(1+GroundFuelSurcharge),2),ROUND((((1-GroundZone54Discount)*'Ground Base'!L102)+GroundResidentialFee)*(1+GroundFuelSurcharge),2)))*(1+FedEx_Markup),2)</f>
        <v>135.6</v>
      </c>
    </row>
    <row r="108" ht="12.75" customHeight="1">
      <c r="A108" s="274">
        <v>101.0</v>
      </c>
      <c r="B108" s="275">
        <f>IFERROR(__xludf.DUMMYFUNCTION("ROUND((IF(SINGLE('Ground Base'!B$154)&gt;ROUND(((1-GroundResDiscount31Up-GroundResIncentive)*'Ground Base'!B103),2),ROUND((SINGLE('Ground Base'!B$154)+GroundResidentialFee)*(1+GroundFuelSurcharge),2),ROUND((((1-GroundResDiscount31Up-GroundResIncentive)*'Grou"&amp;"nd Base'!B103)+GroundResidentialFee)*(1+GroundFuelSurcharge),2)))*(1+FedEx_Markup),2)"),43.31)</f>
        <v>43.31</v>
      </c>
      <c r="C108" s="275">
        <f>IFERROR(__xludf.DUMMYFUNCTION("ROUND((IF(SINGLE('Ground Base'!C$154)&gt;ROUND(((1-GroundResDiscount31Up-GroundResIncentive)*'Ground Base'!C103),2),ROUND((SINGLE('Ground Base'!C$154)+GroundResidentialFee)*(1+GroundFuelSurcharge),2),ROUND((((1-GroundResDiscount31Up-GroundResIncentive)*'Grou"&amp;"nd Base'!C103)+GroundResidentialFee)*(1+GroundFuelSurcharge),2)))*(1+FedEx_Markup),2)"),43.79)</f>
        <v>43.79</v>
      </c>
      <c r="D108" s="275">
        <f>IFERROR(__xludf.DUMMYFUNCTION("ROUND((IF(SINGLE('Ground Base'!D$154)&gt;ROUND(((1-GroundResDiscount31Up-GroundResIncentive)*'Ground Base'!D103),2),ROUND((SINGLE('Ground Base'!D$154)+GroundResidentialFee)*(1+GroundFuelSurcharge),2),ROUND((((1-GroundResDiscount31Up-GroundResIncentive)*'Grou"&amp;"nd Base'!D103)+GroundResidentialFee)*(1+GroundFuelSurcharge),2)))*(1+FedEx_Markup),2)"),47.28)</f>
        <v>47.28</v>
      </c>
      <c r="E108" s="275">
        <f>IFERROR(__xludf.DUMMYFUNCTION("ROUND((IF(SINGLE('Ground Base'!E$154)&gt;ROUND(((1-GroundResDiscount31Up-GroundResIncentive)*'Ground Base'!E103),2),ROUND((SINGLE('Ground Base'!E$154)+GroundResidentialFee)*(1+GroundFuelSurcharge),2),ROUND((((1-GroundResDiscount31Up-GroundResIncentive)*'Grou"&amp;"nd Base'!E103)+GroundResidentialFee)*(1+GroundFuelSurcharge),2)))*(1+FedEx_Markup),2)"),51.45)</f>
        <v>51.45</v>
      </c>
      <c r="F108" s="275">
        <f>IFERROR(__xludf.DUMMYFUNCTION("ROUND((IF(SINGLE('Ground Base'!F$154)&gt;ROUND(((1-GroundResDiscount31Up-GroundResIncentive)*'Ground Base'!F103),2),ROUND((SINGLE('Ground Base'!F$154)+GroundResidentialFee)*(1+GroundFuelSurcharge),2),ROUND((((1-GroundResDiscount31Up-GroundResIncentive)*'Grou"&amp;"nd Base'!F103)+GroundResidentialFee)*(1+GroundFuelSurcharge),2)))*(1+FedEx_Markup),2)"),60.06)</f>
        <v>60.06</v>
      </c>
      <c r="G108" s="275">
        <f>IFERROR(__xludf.DUMMYFUNCTION("ROUND((IF(SINGLE('Ground Base'!G$154)&gt;ROUND(((1-GroundResDiscount31Up-GroundResIncentive)*'Ground Base'!G103),2),ROUND((SINGLE('Ground Base'!G$154)+GroundResidentialFee)*(1+GroundFuelSurcharge),2),ROUND((((1-GroundResDiscount31Up-GroundResIncentive)*'Grou"&amp;"nd Base'!G103)+GroundResidentialFee)*(1+GroundFuelSurcharge),2)))*(1+FedEx_Markup),2)"),66.23)</f>
        <v>66.23</v>
      </c>
      <c r="H108" s="275">
        <f>IFERROR(__xludf.DUMMYFUNCTION("ROUND((IF(SINGLE('Ground Base'!H$154)&gt;ROUND(((1-GroundResDiscount31Up-GroundResIncentive)*'Ground Base'!H103),2),ROUND((SINGLE('Ground Base'!H$154)+GroundResidentialFee)*(1+GroundFuelSurcharge),2),ROUND((((1-GroundResDiscount31Up-GroundResIncentive)*'Grou"&amp;"nd Base'!H103)+GroundResidentialFee)*(1+GroundFuelSurcharge),2)))*(1+FedEx_Markup),2)"),72.66)</f>
        <v>72.66</v>
      </c>
      <c r="I108" s="275">
        <f>ROUND((IF('Ground Base'!I$154&gt;ROUND(((1-GroundAKHIDiscount)*'Ground Base'!I103),2),ROUND(('Ground Base'!I$154+GroundResidentialFee)*(1+GroundFuelSurcharge),2),ROUND((((1-GroundAKHIDiscount)*'Ground Base'!I103)+GroundResidentialFee)*(1+GroundFuelSurcharge),2)))*(1+FedEx_Markup),2)</f>
        <v>427.36</v>
      </c>
      <c r="J108" s="275">
        <f>ROUND((IF('Ground Base'!J$154&gt;ROUND(((1-GroundAKHIDiscount)*'Ground Base'!J103),2),ROUND(('Ground Base'!J$154+GroundResidentialFee)*(1+GroundFuelSurcharge),2),ROUND((((1-GroundAKHIDiscount)*'Ground Base'!J103)+GroundResidentialFee)*(1+GroundFuelSurcharge),2)))*(1+FedEx_Markup),2)</f>
        <v>427.36</v>
      </c>
      <c r="K108" s="275">
        <f>ROUND((IF('Ground Base'!K$154&gt;ROUND(((1-GroundZone51Discount)*'Ground Base'!K103),2),ROUND(('Ground Base'!K$154+GroundResidentialFee)*(1+GroundFuelSurcharge),2),ROUND((((1-GroundZone51Discount)*'Ground Base'!K103)+GroundResidentialFee)*(1+GroundFuelSurcharge),2)))*(1+FedEx_Markup),2)</f>
        <v>103.03</v>
      </c>
      <c r="L108" s="275">
        <f>ROUND((IF('Ground Base'!L$154&gt;ROUND(((1-GroundZone54Discount)*'Ground Base'!L103),2),ROUND(('Ground Base'!L$154+GroundResidentialFee)*(1+GroundFuelSurcharge),2),ROUND((((1-GroundZone54Discount)*'Ground Base'!L103)+GroundResidentialFee)*(1+GroundFuelSurcharge),2)))*(1+FedEx_Markup),2)</f>
        <v>135.6</v>
      </c>
    </row>
    <row r="109" ht="12.75" customHeight="1">
      <c r="A109" s="274">
        <v>102.0</v>
      </c>
      <c r="B109" s="275">
        <f>IFERROR(__xludf.DUMMYFUNCTION("ROUND((IF(SINGLE('Ground Base'!B$154)&gt;ROUND(((1-GroundResDiscount31Up-GroundResIncentive)*'Ground Base'!B104),2),ROUND((SINGLE('Ground Base'!B$154)+GroundResidentialFee)*(1+GroundFuelSurcharge),2),ROUND((((1-GroundResDiscount31Up-GroundResIncentive)*'Grou"&amp;"nd Base'!B104)+GroundResidentialFee)*(1+GroundFuelSurcharge),2)))*(1+FedEx_Markup),2)"),43.7)</f>
        <v>43.7</v>
      </c>
      <c r="C109" s="275">
        <f>IFERROR(__xludf.DUMMYFUNCTION("ROUND((IF(SINGLE('Ground Base'!C$154)&gt;ROUND(((1-GroundResDiscount31Up-GroundResIncentive)*'Ground Base'!C104),2),ROUND((SINGLE('Ground Base'!C$154)+GroundResidentialFee)*(1+GroundFuelSurcharge),2),ROUND((((1-GroundResDiscount31Up-GroundResIncentive)*'Grou"&amp;"nd Base'!C104)+GroundResidentialFee)*(1+GroundFuelSurcharge),2)))*(1+FedEx_Markup),2)"),43.79)</f>
        <v>43.79</v>
      </c>
      <c r="D109" s="275">
        <f>IFERROR(__xludf.DUMMYFUNCTION("ROUND((IF(SINGLE('Ground Base'!D$154)&gt;ROUND(((1-GroundResDiscount31Up-GroundResIncentive)*'Ground Base'!D104),2),ROUND((SINGLE('Ground Base'!D$154)+GroundResidentialFee)*(1+GroundFuelSurcharge),2),ROUND((((1-GroundResDiscount31Up-GroundResIncentive)*'Grou"&amp;"nd Base'!D104)+GroundResidentialFee)*(1+GroundFuelSurcharge),2)))*(1+FedEx_Markup),2)"),47.7)</f>
        <v>47.7</v>
      </c>
      <c r="E109" s="275">
        <f>IFERROR(__xludf.DUMMYFUNCTION("ROUND((IF(SINGLE('Ground Base'!E$154)&gt;ROUND(((1-GroundResDiscount31Up-GroundResIncentive)*'Ground Base'!E104),2),ROUND((SINGLE('Ground Base'!E$154)+GroundResidentialFee)*(1+GroundFuelSurcharge),2),ROUND((((1-GroundResDiscount31Up-GroundResIncentive)*'Grou"&amp;"nd Base'!E104)+GroundResidentialFee)*(1+GroundFuelSurcharge),2)))*(1+FedEx_Markup),2)"),51.45)</f>
        <v>51.45</v>
      </c>
      <c r="F109" s="275">
        <f>IFERROR(__xludf.DUMMYFUNCTION("ROUND((IF(SINGLE('Ground Base'!F$154)&gt;ROUND(((1-GroundResDiscount31Up-GroundResIncentive)*'Ground Base'!F104),2),ROUND((SINGLE('Ground Base'!F$154)+GroundResidentialFee)*(1+GroundFuelSurcharge),2),ROUND((((1-GroundResDiscount31Up-GroundResIncentive)*'Grou"&amp;"nd Base'!F104)+GroundResidentialFee)*(1+GroundFuelSurcharge),2)))*(1+FedEx_Markup),2)"),60.06)</f>
        <v>60.06</v>
      </c>
      <c r="G109" s="275">
        <f>IFERROR(__xludf.DUMMYFUNCTION("ROUND((IF(SINGLE('Ground Base'!G$154)&gt;ROUND(((1-GroundResDiscount31Up-GroundResIncentive)*'Ground Base'!G104),2),ROUND((SINGLE('Ground Base'!G$154)+GroundResidentialFee)*(1+GroundFuelSurcharge),2),ROUND((((1-GroundResDiscount31Up-GroundResIncentive)*'Grou"&amp;"nd Base'!G104)+GroundResidentialFee)*(1+GroundFuelSurcharge),2)))*(1+FedEx_Markup),2)"),66.24)</f>
        <v>66.24</v>
      </c>
      <c r="H109" s="275">
        <f>IFERROR(__xludf.DUMMYFUNCTION("ROUND((IF(SINGLE('Ground Base'!H$154)&gt;ROUND(((1-GroundResDiscount31Up-GroundResIncentive)*'Ground Base'!H104),2),ROUND((SINGLE('Ground Base'!H$154)+GroundResidentialFee)*(1+GroundFuelSurcharge),2),ROUND((((1-GroundResDiscount31Up-GroundResIncentive)*'Grou"&amp;"nd Base'!H104)+GroundResidentialFee)*(1+GroundFuelSurcharge),2)))*(1+FedEx_Markup),2)"),72.67)</f>
        <v>72.67</v>
      </c>
      <c r="I109" s="275">
        <f>ROUND((IF('Ground Base'!I$154&gt;ROUND(((1-GroundAKHIDiscount)*'Ground Base'!I104),2),ROUND(('Ground Base'!I$154+GroundResidentialFee)*(1+GroundFuelSurcharge),2),ROUND((((1-GroundAKHIDiscount)*'Ground Base'!I104)+GroundResidentialFee)*(1+GroundFuelSurcharge),2)))*(1+FedEx_Markup),2)</f>
        <v>427.37</v>
      </c>
      <c r="J109" s="275">
        <f>ROUND((IF('Ground Base'!J$154&gt;ROUND(((1-GroundAKHIDiscount)*'Ground Base'!J104),2),ROUND(('Ground Base'!J$154+GroundResidentialFee)*(1+GroundFuelSurcharge),2),ROUND((((1-GroundAKHIDiscount)*'Ground Base'!J104)+GroundResidentialFee)*(1+GroundFuelSurcharge),2)))*(1+FedEx_Markup),2)</f>
        <v>427.37</v>
      </c>
      <c r="K109" s="275">
        <f>ROUND((IF('Ground Base'!K$154&gt;ROUND(((1-GroundZone51Discount)*'Ground Base'!K104),2),ROUND(('Ground Base'!K$154+GroundResidentialFee)*(1+GroundFuelSurcharge),2),ROUND((((1-GroundZone51Discount)*'Ground Base'!K104)+GroundResidentialFee)*(1+GroundFuelSurcharge),2)))*(1+FedEx_Markup),2)</f>
        <v>103.03</v>
      </c>
      <c r="L109" s="275">
        <f>ROUND((IF('Ground Base'!L$154&gt;ROUND(((1-GroundZone54Discount)*'Ground Base'!L104),2),ROUND(('Ground Base'!L$154+GroundResidentialFee)*(1+GroundFuelSurcharge),2),ROUND((((1-GroundZone54Discount)*'Ground Base'!L104)+GroundResidentialFee)*(1+GroundFuelSurcharge),2)))*(1+FedEx_Markup),2)</f>
        <v>135.62</v>
      </c>
    </row>
    <row r="110" ht="12.75" customHeight="1">
      <c r="A110" s="274">
        <v>103.0</v>
      </c>
      <c r="B110" s="275">
        <f>IFERROR(__xludf.DUMMYFUNCTION("ROUND((IF(SINGLE('Ground Base'!B$154)&gt;ROUND(((1-GroundResDiscount31Up-GroundResIncentive)*'Ground Base'!B105),2),ROUND((SINGLE('Ground Base'!B$154)+GroundResidentialFee)*(1+GroundFuelSurcharge),2),ROUND((((1-GroundResDiscount31Up-GroundResIncentive)*'Grou"&amp;"nd Base'!B105)+GroundResidentialFee)*(1+GroundFuelSurcharge),2)))*(1+FedEx_Markup),2)"),44.24)</f>
        <v>44.24</v>
      </c>
      <c r="C110" s="275">
        <f>IFERROR(__xludf.DUMMYFUNCTION("ROUND((IF(SINGLE('Ground Base'!C$154)&gt;ROUND(((1-GroundResDiscount31Up-GroundResIncentive)*'Ground Base'!C105),2),ROUND((SINGLE('Ground Base'!C$154)+GroundResidentialFee)*(1+GroundFuelSurcharge),2),ROUND((((1-GroundResDiscount31Up-GroundResIncentive)*'Grou"&amp;"nd Base'!C105)+GroundResidentialFee)*(1+GroundFuelSurcharge),2)))*(1+FedEx_Markup),2)"),44.82)</f>
        <v>44.82</v>
      </c>
      <c r="D110" s="275">
        <f>IFERROR(__xludf.DUMMYFUNCTION("ROUND((IF(SINGLE('Ground Base'!D$154)&gt;ROUND(((1-GroundResDiscount31Up-GroundResIncentive)*'Ground Base'!D105),2),ROUND((SINGLE('Ground Base'!D$154)+GroundResidentialFee)*(1+GroundFuelSurcharge),2),ROUND((((1-GroundResDiscount31Up-GroundResIncentive)*'Grou"&amp;"nd Base'!D105)+GroundResidentialFee)*(1+GroundFuelSurcharge),2)))*(1+FedEx_Markup),2)"),48.63)</f>
        <v>48.63</v>
      </c>
      <c r="E110" s="275">
        <f>IFERROR(__xludf.DUMMYFUNCTION("ROUND((IF(SINGLE('Ground Base'!E$154)&gt;ROUND(((1-GroundResDiscount31Up-GroundResIncentive)*'Ground Base'!E105),2),ROUND((SINGLE('Ground Base'!E$154)+GroundResidentialFee)*(1+GroundFuelSurcharge),2),ROUND((((1-GroundResDiscount31Up-GroundResIncentive)*'Grou"&amp;"nd Base'!E105)+GroundResidentialFee)*(1+GroundFuelSurcharge),2)))*(1+FedEx_Markup),2)"),51.74)</f>
        <v>51.74</v>
      </c>
      <c r="F110" s="275">
        <f>IFERROR(__xludf.DUMMYFUNCTION("ROUND((IF(SINGLE('Ground Base'!F$154)&gt;ROUND(((1-GroundResDiscount31Up-GroundResIncentive)*'Ground Base'!F105),2),ROUND((SINGLE('Ground Base'!F$154)+GroundResidentialFee)*(1+GroundFuelSurcharge),2),ROUND((((1-GroundResDiscount31Up-GroundResIncentive)*'Grou"&amp;"nd Base'!F105)+GroundResidentialFee)*(1+GroundFuelSurcharge),2)))*(1+FedEx_Markup),2)"),60.21)</f>
        <v>60.21</v>
      </c>
      <c r="G110" s="275">
        <f>IFERROR(__xludf.DUMMYFUNCTION("ROUND((IF(SINGLE('Ground Base'!G$154)&gt;ROUND(((1-GroundResDiscount31Up-GroundResIncentive)*'Ground Base'!G105),2),ROUND((SINGLE('Ground Base'!G$154)+GroundResidentialFee)*(1+GroundFuelSurcharge),2),ROUND((((1-GroundResDiscount31Up-GroundResIncentive)*'Grou"&amp;"nd Base'!G105)+GroundResidentialFee)*(1+GroundFuelSurcharge),2)))*(1+FedEx_Markup),2)"),66.24)</f>
        <v>66.24</v>
      </c>
      <c r="H110" s="275">
        <f>IFERROR(__xludf.DUMMYFUNCTION("ROUND((IF(SINGLE('Ground Base'!H$154)&gt;ROUND(((1-GroundResDiscount31Up-GroundResIncentive)*'Ground Base'!H105),2),ROUND((SINGLE('Ground Base'!H$154)+GroundResidentialFee)*(1+GroundFuelSurcharge),2),ROUND((((1-GroundResDiscount31Up-GroundResIncentive)*'Grou"&amp;"nd Base'!H105)+GroundResidentialFee)*(1+GroundFuelSurcharge),2)))*(1+FedEx_Markup),2)"),72.67)</f>
        <v>72.67</v>
      </c>
      <c r="I110" s="275">
        <f>ROUND((IF('Ground Base'!I$154&gt;ROUND(((1-GroundAKHIDiscount)*'Ground Base'!I105),2),ROUND(('Ground Base'!I$154+GroundResidentialFee)*(1+GroundFuelSurcharge),2),ROUND((((1-GroundAKHIDiscount)*'Ground Base'!I105)+GroundResidentialFee)*(1+GroundFuelSurcharge),2)))*(1+FedEx_Markup),2)</f>
        <v>427.39</v>
      </c>
      <c r="J110" s="275">
        <f>ROUND((IF('Ground Base'!J$154&gt;ROUND(((1-GroundAKHIDiscount)*'Ground Base'!J105),2),ROUND(('Ground Base'!J$154+GroundResidentialFee)*(1+GroundFuelSurcharge),2),ROUND((((1-GroundAKHIDiscount)*'Ground Base'!J105)+GroundResidentialFee)*(1+GroundFuelSurcharge),2)))*(1+FedEx_Markup),2)</f>
        <v>427.39</v>
      </c>
      <c r="K110" s="275">
        <f>ROUND((IF('Ground Base'!K$154&gt;ROUND(((1-GroundZone51Discount)*'Ground Base'!K105),2),ROUND(('Ground Base'!K$154+GroundResidentialFee)*(1+GroundFuelSurcharge),2),ROUND((((1-GroundZone51Discount)*'Ground Base'!K105)+GroundResidentialFee)*(1+GroundFuelSurcharge),2)))*(1+FedEx_Markup),2)</f>
        <v>103.05</v>
      </c>
      <c r="L110" s="275">
        <f>ROUND((IF('Ground Base'!L$154&gt;ROUND(((1-GroundZone54Discount)*'Ground Base'!L105),2),ROUND(('Ground Base'!L$154+GroundResidentialFee)*(1+GroundFuelSurcharge),2),ROUND((((1-GroundZone54Discount)*'Ground Base'!L105)+GroundResidentialFee)*(1+GroundFuelSurcharge),2)))*(1+FedEx_Markup),2)</f>
        <v>135.62</v>
      </c>
    </row>
    <row r="111" ht="12.75" customHeight="1">
      <c r="A111" s="274">
        <v>104.0</v>
      </c>
      <c r="B111" s="275">
        <f>IFERROR(__xludf.DUMMYFUNCTION("ROUND((IF(SINGLE('Ground Base'!B$154)&gt;ROUND(((1-GroundResDiscount31Up-GroundResIncentive)*'Ground Base'!B106),2),ROUND((SINGLE('Ground Base'!B$154)+GroundResidentialFee)*(1+GroundFuelSurcharge),2),ROUND((((1-GroundResDiscount31Up-GroundResIncentive)*'Grou"&amp;"nd Base'!B106)+GroundResidentialFee)*(1+GroundFuelSurcharge),2)))*(1+FedEx_Markup),2)"),44.24)</f>
        <v>44.24</v>
      </c>
      <c r="C111" s="275">
        <f>IFERROR(__xludf.DUMMYFUNCTION("ROUND((IF(SINGLE('Ground Base'!C$154)&gt;ROUND(((1-GroundResDiscount31Up-GroundResIncentive)*'Ground Base'!C106),2),ROUND((SINGLE('Ground Base'!C$154)+GroundResidentialFee)*(1+GroundFuelSurcharge),2),ROUND((((1-GroundResDiscount31Up-GroundResIncentive)*'Grou"&amp;"nd Base'!C106)+GroundResidentialFee)*(1+GroundFuelSurcharge),2)))*(1+FedEx_Markup),2)"),44.82)</f>
        <v>44.82</v>
      </c>
      <c r="D111" s="275">
        <f>IFERROR(__xludf.DUMMYFUNCTION("ROUND((IF(SINGLE('Ground Base'!D$154)&gt;ROUND(((1-GroundResDiscount31Up-GroundResIncentive)*'Ground Base'!D106),2),ROUND((SINGLE('Ground Base'!D$154)+GroundResidentialFee)*(1+GroundFuelSurcharge),2),ROUND((((1-GroundResDiscount31Up-GroundResIncentive)*'Grou"&amp;"nd Base'!D106)+GroundResidentialFee)*(1+GroundFuelSurcharge),2)))*(1+FedEx_Markup),2)"),48.75)</f>
        <v>48.75</v>
      </c>
      <c r="E111" s="275">
        <f>IFERROR(__xludf.DUMMYFUNCTION("ROUND((IF(SINGLE('Ground Base'!E$154)&gt;ROUND(((1-GroundResDiscount31Up-GroundResIncentive)*'Ground Base'!E106),2),ROUND((SINGLE('Ground Base'!E$154)+GroundResidentialFee)*(1+GroundFuelSurcharge),2),ROUND((((1-GroundResDiscount31Up-GroundResIncentive)*'Grou"&amp;"nd Base'!E106)+GroundResidentialFee)*(1+GroundFuelSurcharge),2)))*(1+FedEx_Markup),2)"),51.8)</f>
        <v>51.8</v>
      </c>
      <c r="F111" s="275">
        <f>IFERROR(__xludf.DUMMYFUNCTION("ROUND((IF(SINGLE('Ground Base'!F$154)&gt;ROUND(((1-GroundResDiscount31Up-GroundResIncentive)*'Ground Base'!F106),2),ROUND((SINGLE('Ground Base'!F$154)+GroundResidentialFee)*(1+GroundFuelSurcharge),2),ROUND((((1-GroundResDiscount31Up-GroundResIncentive)*'Grou"&amp;"nd Base'!F106)+GroundResidentialFee)*(1+GroundFuelSurcharge),2)))*(1+FedEx_Markup),2)"),60.21)</f>
        <v>60.21</v>
      </c>
      <c r="G111" s="275">
        <f>IFERROR(__xludf.DUMMYFUNCTION("ROUND((IF(SINGLE('Ground Base'!G$154)&gt;ROUND(((1-GroundResDiscount31Up-GroundResIncentive)*'Ground Base'!G106),2),ROUND((SINGLE('Ground Base'!G$154)+GroundResidentialFee)*(1+GroundFuelSurcharge),2),ROUND((((1-GroundResDiscount31Up-GroundResIncentive)*'Grou"&amp;"nd Base'!G106)+GroundResidentialFee)*(1+GroundFuelSurcharge),2)))*(1+FedEx_Markup),2)"),66.25)</f>
        <v>66.25</v>
      </c>
      <c r="H111" s="275">
        <f>IFERROR(__xludf.DUMMYFUNCTION("ROUND((IF(SINGLE('Ground Base'!H$154)&gt;ROUND(((1-GroundResDiscount31Up-GroundResIncentive)*'Ground Base'!H106),2),ROUND((SINGLE('Ground Base'!H$154)+GroundResidentialFee)*(1+GroundFuelSurcharge),2),ROUND((((1-GroundResDiscount31Up-GroundResIncentive)*'Grou"&amp;"nd Base'!H106)+GroundResidentialFee)*(1+GroundFuelSurcharge),2)))*(1+FedEx_Markup),2)"),72.68)</f>
        <v>72.68</v>
      </c>
      <c r="I111" s="275">
        <f>ROUND((IF('Ground Base'!I$154&gt;ROUND(((1-GroundAKHIDiscount)*'Ground Base'!I106),2),ROUND(('Ground Base'!I$154+GroundResidentialFee)*(1+GroundFuelSurcharge),2),ROUND((((1-GroundAKHIDiscount)*'Ground Base'!I106)+GroundResidentialFee)*(1+GroundFuelSurcharge),2)))*(1+FedEx_Markup),2)</f>
        <v>427.42</v>
      </c>
      <c r="J111" s="275">
        <f>ROUND((IF('Ground Base'!J$154&gt;ROUND(((1-GroundAKHIDiscount)*'Ground Base'!J106),2),ROUND(('Ground Base'!J$154+GroundResidentialFee)*(1+GroundFuelSurcharge),2),ROUND((((1-GroundAKHIDiscount)*'Ground Base'!J106)+GroundResidentialFee)*(1+GroundFuelSurcharge),2)))*(1+FedEx_Markup),2)</f>
        <v>427.42</v>
      </c>
      <c r="K111" s="275">
        <f>ROUND((IF('Ground Base'!K$154&gt;ROUND(((1-GroundZone51Discount)*'Ground Base'!K106),2),ROUND(('Ground Base'!K$154+GroundResidentialFee)*(1+GroundFuelSurcharge),2),ROUND((((1-GroundZone51Discount)*'Ground Base'!K106)+GroundResidentialFee)*(1+GroundFuelSurcharge),2)))*(1+FedEx_Markup),2)</f>
        <v>103.06</v>
      </c>
      <c r="L111" s="275">
        <f>ROUND((IF('Ground Base'!L$154&gt;ROUND(((1-GroundZone54Discount)*'Ground Base'!L106),2),ROUND(('Ground Base'!L$154+GroundResidentialFee)*(1+GroundFuelSurcharge),2),ROUND((((1-GroundZone54Discount)*'Ground Base'!L106)+GroundResidentialFee)*(1+GroundFuelSurcharge),2)))*(1+FedEx_Markup),2)</f>
        <v>135.63</v>
      </c>
    </row>
    <row r="112" ht="12.75" customHeight="1">
      <c r="A112" s="274">
        <v>105.0</v>
      </c>
      <c r="B112" s="275">
        <f>IFERROR(__xludf.DUMMYFUNCTION("ROUND((IF(SINGLE('Ground Base'!B$154)&gt;ROUND(((1-GroundResDiscount31Up-GroundResIncentive)*'Ground Base'!B107),2),ROUND((SINGLE('Ground Base'!B$154)+GroundResidentialFee)*(1+GroundFuelSurcharge),2),ROUND((((1-GroundResDiscount31Up-GroundResIncentive)*'Grou"&amp;"nd Base'!B107)+GroundResidentialFee)*(1+GroundFuelSurcharge),2)))*(1+FedEx_Markup),2)"),45.72)</f>
        <v>45.72</v>
      </c>
      <c r="C112" s="275">
        <f>IFERROR(__xludf.DUMMYFUNCTION("ROUND((IF(SINGLE('Ground Base'!C$154)&gt;ROUND(((1-GroundResDiscount31Up-GroundResIncentive)*'Ground Base'!C107),2),ROUND((SINGLE('Ground Base'!C$154)+GroundResidentialFee)*(1+GroundFuelSurcharge),2),ROUND((((1-GroundResDiscount31Up-GroundResIncentive)*'Grou"&amp;"nd Base'!C107)+GroundResidentialFee)*(1+GroundFuelSurcharge),2)))*(1+FedEx_Markup),2)"),46.06)</f>
        <v>46.06</v>
      </c>
      <c r="D112" s="275">
        <f>IFERROR(__xludf.DUMMYFUNCTION("ROUND((IF(SINGLE('Ground Base'!D$154)&gt;ROUND(((1-GroundResDiscount31Up-GroundResIncentive)*'Ground Base'!D107),2),ROUND((SINGLE('Ground Base'!D$154)+GroundResidentialFee)*(1+GroundFuelSurcharge),2),ROUND((((1-GroundResDiscount31Up-GroundResIncentive)*'Grou"&amp;"nd Base'!D107)+GroundResidentialFee)*(1+GroundFuelSurcharge),2)))*(1+FedEx_Markup),2)"),49.71)</f>
        <v>49.71</v>
      </c>
      <c r="E112" s="275">
        <f>IFERROR(__xludf.DUMMYFUNCTION("ROUND((IF(SINGLE('Ground Base'!E$154)&gt;ROUND(((1-GroundResDiscount31Up-GroundResIncentive)*'Ground Base'!E107),2),ROUND((SINGLE('Ground Base'!E$154)+GroundResidentialFee)*(1+GroundFuelSurcharge),2),ROUND((((1-GroundResDiscount31Up-GroundResIncentive)*'Grou"&amp;"nd Base'!E107)+GroundResidentialFee)*(1+GroundFuelSurcharge),2)))*(1+FedEx_Markup),2)"),53.28)</f>
        <v>53.28</v>
      </c>
      <c r="F112" s="275">
        <f>IFERROR(__xludf.DUMMYFUNCTION("ROUND((IF(SINGLE('Ground Base'!F$154)&gt;ROUND(((1-GroundResDiscount31Up-GroundResIncentive)*'Ground Base'!F107),2),ROUND((SINGLE('Ground Base'!F$154)+GroundResidentialFee)*(1+GroundFuelSurcharge),2),ROUND((((1-GroundResDiscount31Up-GroundResIncentive)*'Grou"&amp;"nd Base'!F107)+GroundResidentialFee)*(1+GroundFuelSurcharge),2)))*(1+FedEx_Markup),2)"),61.64)</f>
        <v>61.64</v>
      </c>
      <c r="G112" s="275">
        <f>IFERROR(__xludf.DUMMYFUNCTION("ROUND((IF(SINGLE('Ground Base'!G$154)&gt;ROUND(((1-GroundResDiscount31Up-GroundResIncentive)*'Ground Base'!G107),2),ROUND((SINGLE('Ground Base'!G$154)+GroundResidentialFee)*(1+GroundFuelSurcharge),2),ROUND((((1-GroundResDiscount31Up-GroundResIncentive)*'Grou"&amp;"nd Base'!G107)+GroundResidentialFee)*(1+GroundFuelSurcharge),2)))*(1+FedEx_Markup),2)"),67.72)</f>
        <v>67.72</v>
      </c>
      <c r="H112" s="275">
        <f>IFERROR(__xludf.DUMMYFUNCTION("ROUND((IF(SINGLE('Ground Base'!H$154)&gt;ROUND(((1-GroundResDiscount31Up-GroundResIncentive)*'Ground Base'!H107),2),ROUND((SINGLE('Ground Base'!H$154)+GroundResidentialFee)*(1+GroundFuelSurcharge),2),ROUND((((1-GroundResDiscount31Up-GroundResIncentive)*'Grou"&amp;"nd Base'!H107)+GroundResidentialFee)*(1+GroundFuelSurcharge),2)))*(1+FedEx_Markup),2)"),74.39)</f>
        <v>74.39</v>
      </c>
      <c r="I112" s="275">
        <f>ROUND((IF('Ground Base'!I$154&gt;ROUND(((1-GroundAKHIDiscount)*'Ground Base'!I107),2),ROUND(('Ground Base'!I$154+GroundResidentialFee)*(1+GroundFuelSurcharge),2),ROUND((((1-GroundAKHIDiscount)*'Ground Base'!I107)+GroundResidentialFee)*(1+GroundFuelSurcharge),2)))*(1+FedEx_Markup),2)</f>
        <v>431.2</v>
      </c>
      <c r="J112" s="275">
        <f>ROUND((IF('Ground Base'!J$154&gt;ROUND(((1-GroundAKHIDiscount)*'Ground Base'!J107),2),ROUND(('Ground Base'!J$154+GroundResidentialFee)*(1+GroundFuelSurcharge),2),ROUND((((1-GroundAKHIDiscount)*'Ground Base'!J107)+GroundResidentialFee)*(1+GroundFuelSurcharge),2)))*(1+FedEx_Markup),2)</f>
        <v>431.2</v>
      </c>
      <c r="K112" s="275">
        <f>ROUND((IF('Ground Base'!K$154&gt;ROUND(((1-GroundZone51Discount)*'Ground Base'!K107),2),ROUND(('Ground Base'!K$154+GroundResidentialFee)*(1+GroundFuelSurcharge),2),ROUND((((1-GroundZone51Discount)*'Ground Base'!K107)+GroundResidentialFee)*(1+GroundFuelSurcharge),2)))*(1+FedEx_Markup),2)</f>
        <v>104.01</v>
      </c>
      <c r="L112" s="275">
        <f>ROUND((IF('Ground Base'!L$154&gt;ROUND(((1-GroundZone54Discount)*'Ground Base'!L107),2),ROUND(('Ground Base'!L$154+GroundResidentialFee)*(1+GroundFuelSurcharge),2),ROUND((((1-GroundZone54Discount)*'Ground Base'!L107)+GroundResidentialFee)*(1+GroundFuelSurcharge),2)))*(1+FedEx_Markup),2)</f>
        <v>135.64</v>
      </c>
    </row>
    <row r="113" ht="12.75" customHeight="1">
      <c r="A113" s="274">
        <v>106.0</v>
      </c>
      <c r="B113" s="275">
        <f>IFERROR(__xludf.DUMMYFUNCTION("ROUND((IF(SINGLE('Ground Base'!B$154)&gt;ROUND(((1-GroundResDiscount31Up-GroundResIncentive)*'Ground Base'!B108),2),ROUND((SINGLE('Ground Base'!B$154)+GroundResidentialFee)*(1+GroundFuelSurcharge),2),ROUND((((1-GroundResDiscount31Up-GroundResIncentive)*'Grou"&amp;"nd Base'!B108)+GroundResidentialFee)*(1+GroundFuelSurcharge),2)))*(1+FedEx_Markup),2)"),46.02)</f>
        <v>46.02</v>
      </c>
      <c r="C113" s="275">
        <f>IFERROR(__xludf.DUMMYFUNCTION("ROUND((IF(SINGLE('Ground Base'!C$154)&gt;ROUND(((1-GroundResDiscount31Up-GroundResIncentive)*'Ground Base'!C108),2),ROUND((SINGLE('Ground Base'!C$154)+GroundResidentialFee)*(1+GroundFuelSurcharge),2),ROUND((((1-GroundResDiscount31Up-GroundResIncentive)*'Grou"&amp;"nd Base'!C108)+GroundResidentialFee)*(1+GroundFuelSurcharge),2)))*(1+FedEx_Markup),2)"),46.07)</f>
        <v>46.07</v>
      </c>
      <c r="D113" s="275">
        <f>IFERROR(__xludf.DUMMYFUNCTION("ROUND((IF(SINGLE('Ground Base'!D$154)&gt;ROUND(((1-GroundResDiscount31Up-GroundResIncentive)*'Ground Base'!D108),2),ROUND((SINGLE('Ground Base'!D$154)+GroundResidentialFee)*(1+GroundFuelSurcharge),2),ROUND((((1-GroundResDiscount31Up-GroundResIncentive)*'Grou"&amp;"nd Base'!D108)+GroundResidentialFee)*(1+GroundFuelSurcharge),2)))*(1+FedEx_Markup),2)"),49.71)</f>
        <v>49.71</v>
      </c>
      <c r="E113" s="275">
        <f>IFERROR(__xludf.DUMMYFUNCTION("ROUND((IF(SINGLE('Ground Base'!E$154)&gt;ROUND(((1-GroundResDiscount31Up-GroundResIncentive)*'Ground Base'!E108),2),ROUND((SINGLE('Ground Base'!E$154)+GroundResidentialFee)*(1+GroundFuelSurcharge),2),ROUND((((1-GroundResDiscount31Up-GroundResIncentive)*'Grou"&amp;"nd Base'!E108)+GroundResidentialFee)*(1+GroundFuelSurcharge),2)))*(1+FedEx_Markup),2)"),53.29)</f>
        <v>53.29</v>
      </c>
      <c r="F113" s="275">
        <f>IFERROR(__xludf.DUMMYFUNCTION("ROUND((IF(SINGLE('Ground Base'!F$154)&gt;ROUND(((1-GroundResDiscount31Up-GroundResIncentive)*'Ground Base'!F108),2),ROUND((SINGLE('Ground Base'!F$154)+GroundResidentialFee)*(1+GroundFuelSurcharge),2),ROUND((((1-GroundResDiscount31Up-GroundResIncentive)*'Grou"&amp;"nd Base'!F108)+GroundResidentialFee)*(1+GroundFuelSurcharge),2)))*(1+FedEx_Markup),2)"),61.64)</f>
        <v>61.64</v>
      </c>
      <c r="G113" s="275">
        <f>IFERROR(__xludf.DUMMYFUNCTION("ROUND((IF(SINGLE('Ground Base'!G$154)&gt;ROUND(((1-GroundResDiscount31Up-GroundResIncentive)*'Ground Base'!G108),2),ROUND((SINGLE('Ground Base'!G$154)+GroundResidentialFee)*(1+GroundFuelSurcharge),2),ROUND((((1-GroundResDiscount31Up-GroundResIncentive)*'Grou"&amp;"nd Base'!G108)+GroundResidentialFee)*(1+GroundFuelSurcharge),2)))*(1+FedEx_Markup),2)"),67.72)</f>
        <v>67.72</v>
      </c>
      <c r="H113" s="275">
        <f>IFERROR(__xludf.DUMMYFUNCTION("ROUND((IF(SINGLE('Ground Base'!H$154)&gt;ROUND(((1-GroundResDiscount31Up-GroundResIncentive)*'Ground Base'!H108),2),ROUND((SINGLE('Ground Base'!H$154)+GroundResidentialFee)*(1+GroundFuelSurcharge),2),ROUND((((1-GroundResDiscount31Up-GroundResIncentive)*'Grou"&amp;"nd Base'!H108)+GroundResidentialFee)*(1+GroundFuelSurcharge),2)))*(1+FedEx_Markup),2)"),74.41)</f>
        <v>74.41</v>
      </c>
      <c r="I113" s="275">
        <f>ROUND((IF('Ground Base'!I$154&gt;ROUND(((1-GroundAKHIDiscount)*'Ground Base'!I108),2),ROUND(('Ground Base'!I$154+GroundResidentialFee)*(1+GroundFuelSurcharge),2),ROUND((((1-GroundAKHIDiscount)*'Ground Base'!I108)+GroundResidentialFee)*(1+GroundFuelSurcharge),2)))*(1+FedEx_Markup),2)</f>
        <v>435.17</v>
      </c>
      <c r="J113" s="275">
        <f>ROUND((IF('Ground Base'!J$154&gt;ROUND(((1-GroundAKHIDiscount)*'Ground Base'!J108),2),ROUND(('Ground Base'!J$154+GroundResidentialFee)*(1+GroundFuelSurcharge),2),ROUND((((1-GroundAKHIDiscount)*'Ground Base'!J108)+GroundResidentialFee)*(1+GroundFuelSurcharge),2)))*(1+FedEx_Markup),2)</f>
        <v>435.17</v>
      </c>
      <c r="K113" s="275">
        <f>ROUND((IF('Ground Base'!K$154&gt;ROUND(((1-GroundZone51Discount)*'Ground Base'!K108),2),ROUND(('Ground Base'!K$154+GroundResidentialFee)*(1+GroundFuelSurcharge),2),ROUND((((1-GroundZone51Discount)*'Ground Base'!K108)+GroundResidentialFee)*(1+GroundFuelSurcharge),2)))*(1+FedEx_Markup),2)</f>
        <v>104.88</v>
      </c>
      <c r="L113" s="275">
        <f>ROUND((IF('Ground Base'!L$154&gt;ROUND(((1-GroundZone54Discount)*'Ground Base'!L108),2),ROUND(('Ground Base'!L$154+GroundResidentialFee)*(1+GroundFuelSurcharge),2),ROUND((((1-GroundZone54Discount)*'Ground Base'!L108)+GroundResidentialFee)*(1+GroundFuelSurcharge),2)))*(1+FedEx_Markup),2)</f>
        <v>138.77</v>
      </c>
    </row>
    <row r="114" ht="12.75" customHeight="1">
      <c r="A114" s="274">
        <v>107.0</v>
      </c>
      <c r="B114" s="275">
        <f>IFERROR(__xludf.DUMMYFUNCTION("ROUND((IF(SINGLE('Ground Base'!B$154)&gt;ROUND(((1-GroundResDiscount31Up-GroundResIncentive)*'Ground Base'!B109),2),ROUND((SINGLE('Ground Base'!B$154)+GroundResidentialFee)*(1+GroundFuelSurcharge),2),ROUND((((1-GroundResDiscount31Up-GroundResIncentive)*'Grou"&amp;"nd Base'!B109)+GroundResidentialFee)*(1+GroundFuelSurcharge),2)))*(1+FedEx_Markup),2)"),46.24)</f>
        <v>46.24</v>
      </c>
      <c r="C114" s="275">
        <f>IFERROR(__xludf.DUMMYFUNCTION("ROUND((IF(SINGLE('Ground Base'!C$154)&gt;ROUND(((1-GroundResDiscount31Up-GroundResIncentive)*'Ground Base'!C109),2),ROUND((SINGLE('Ground Base'!C$154)+GroundResidentialFee)*(1+GroundFuelSurcharge),2),ROUND((((1-GroundResDiscount31Up-GroundResIncentive)*'Grou"&amp;"nd Base'!C109)+GroundResidentialFee)*(1+GroundFuelSurcharge),2)))*(1+FedEx_Markup),2)"),46.67)</f>
        <v>46.67</v>
      </c>
      <c r="D114" s="275">
        <f>IFERROR(__xludf.DUMMYFUNCTION("ROUND((IF(SINGLE('Ground Base'!D$154)&gt;ROUND(((1-GroundResDiscount31Up-GroundResIncentive)*'Ground Base'!D109),2),ROUND((SINGLE('Ground Base'!D$154)+GroundResidentialFee)*(1+GroundFuelSurcharge),2),ROUND((((1-GroundResDiscount31Up-GroundResIncentive)*'Grou"&amp;"nd Base'!D109)+GroundResidentialFee)*(1+GroundFuelSurcharge),2)))*(1+FedEx_Markup),2)"),50.35)</f>
        <v>50.35</v>
      </c>
      <c r="E114" s="275">
        <f>IFERROR(__xludf.DUMMYFUNCTION("ROUND((IF(SINGLE('Ground Base'!E$154)&gt;ROUND(((1-GroundResDiscount31Up-GroundResIncentive)*'Ground Base'!E109),2),ROUND((SINGLE('Ground Base'!E$154)+GroundResidentialFee)*(1+GroundFuelSurcharge),2),ROUND((((1-GroundResDiscount31Up-GroundResIncentive)*'Grou"&amp;"nd Base'!E109)+GroundResidentialFee)*(1+GroundFuelSurcharge),2)))*(1+FedEx_Markup),2)"),53.83)</f>
        <v>53.83</v>
      </c>
      <c r="F114" s="275">
        <f>IFERROR(__xludf.DUMMYFUNCTION("ROUND((IF(SINGLE('Ground Base'!F$154)&gt;ROUND(((1-GroundResDiscount31Up-GroundResIncentive)*'Ground Base'!F109),2),ROUND((SINGLE('Ground Base'!F$154)+GroundResidentialFee)*(1+GroundFuelSurcharge),2),ROUND((((1-GroundResDiscount31Up-GroundResIncentive)*'Grou"&amp;"nd Base'!F109)+GroundResidentialFee)*(1+GroundFuelSurcharge),2)))*(1+FedEx_Markup),2)"),61.65)</f>
        <v>61.65</v>
      </c>
      <c r="G114" s="275">
        <f>IFERROR(__xludf.DUMMYFUNCTION("ROUND((IF(SINGLE('Ground Base'!G$154)&gt;ROUND(((1-GroundResDiscount31Up-GroundResIncentive)*'Ground Base'!G109),2),ROUND((SINGLE('Ground Base'!G$154)+GroundResidentialFee)*(1+GroundFuelSurcharge),2),ROUND((((1-GroundResDiscount31Up-GroundResIncentive)*'Grou"&amp;"nd Base'!G109)+GroundResidentialFee)*(1+GroundFuelSurcharge),2)))*(1+FedEx_Markup),2)"),68.22)</f>
        <v>68.22</v>
      </c>
      <c r="H114" s="275">
        <f>IFERROR(__xludf.DUMMYFUNCTION("ROUND((IF(SINGLE('Ground Base'!H$154)&gt;ROUND(((1-GroundResDiscount31Up-GroundResIncentive)*'Ground Base'!H109),2),ROUND((SINGLE('Ground Base'!H$154)+GroundResidentialFee)*(1+GroundFuelSurcharge),2),ROUND((((1-GroundResDiscount31Up-GroundResIncentive)*'Grou"&amp;"nd Base'!H109)+GroundResidentialFee)*(1+GroundFuelSurcharge),2)))*(1+FedEx_Markup),2)"),74.97)</f>
        <v>74.97</v>
      </c>
      <c r="I114" s="275">
        <f>ROUND((IF('Ground Base'!I$154&gt;ROUND(((1-GroundAKHIDiscount)*'Ground Base'!I109),2),ROUND(('Ground Base'!I$154+GroundResidentialFee)*(1+GroundFuelSurcharge),2),ROUND((((1-GroundAKHIDiscount)*'Ground Base'!I109)+GroundResidentialFee)*(1+GroundFuelSurcharge),2)))*(1+FedEx_Markup),2)</f>
        <v>439.16</v>
      </c>
      <c r="J114" s="275">
        <f>ROUND((IF('Ground Base'!J$154&gt;ROUND(((1-GroundAKHIDiscount)*'Ground Base'!J109),2),ROUND(('Ground Base'!J$154+GroundResidentialFee)*(1+GroundFuelSurcharge),2),ROUND((((1-GroundAKHIDiscount)*'Ground Base'!J109)+GroundResidentialFee)*(1+GroundFuelSurcharge),2)))*(1+FedEx_Markup),2)</f>
        <v>439.16</v>
      </c>
      <c r="K114" s="275">
        <f>ROUND((IF('Ground Base'!K$154&gt;ROUND(((1-GroundZone51Discount)*'Ground Base'!K109),2),ROUND(('Ground Base'!K$154+GroundResidentialFee)*(1+GroundFuelSurcharge),2),ROUND((((1-GroundZone51Discount)*'Ground Base'!K109)+GroundResidentialFee)*(1+GroundFuelSurcharge),2)))*(1+FedEx_Markup),2)</f>
        <v>104.89</v>
      </c>
      <c r="L114" s="275">
        <f>ROUND((IF('Ground Base'!L$154&gt;ROUND(((1-GroundZone54Discount)*'Ground Base'!L109),2),ROUND(('Ground Base'!L$154+GroundResidentialFee)*(1+GroundFuelSurcharge),2),ROUND((((1-GroundZone54Discount)*'Ground Base'!L109)+GroundResidentialFee)*(1+GroundFuelSurcharge),2)))*(1+FedEx_Markup),2)</f>
        <v>138.77</v>
      </c>
    </row>
    <row r="115" ht="12.75" customHeight="1">
      <c r="A115" s="274">
        <v>108.0</v>
      </c>
      <c r="B115" s="275">
        <f>IFERROR(__xludf.DUMMYFUNCTION("ROUND((IF(SINGLE('Ground Base'!B$154)&gt;ROUND(((1-GroundResDiscount31Up-GroundResIncentive)*'Ground Base'!B110),2),ROUND((SINGLE('Ground Base'!B$154)+GroundResidentialFee)*(1+GroundFuelSurcharge),2),ROUND((((1-GroundResDiscount31Up-GroundResIncentive)*'Grou"&amp;"nd Base'!B110)+GroundResidentialFee)*(1+GroundFuelSurcharge),2)))*(1+FedEx_Markup),2)"),46.86)</f>
        <v>46.86</v>
      </c>
      <c r="C115" s="275">
        <f>IFERROR(__xludf.DUMMYFUNCTION("ROUND((IF(SINGLE('Ground Base'!C$154)&gt;ROUND(((1-GroundResDiscount31Up-GroundResIncentive)*'Ground Base'!C110),2),ROUND((SINGLE('Ground Base'!C$154)+GroundResidentialFee)*(1+GroundFuelSurcharge),2),ROUND((((1-GroundResDiscount31Up-GroundResIncentive)*'Grou"&amp;"nd Base'!C110)+GroundResidentialFee)*(1+GroundFuelSurcharge),2)))*(1+FedEx_Markup),2)"),47.14)</f>
        <v>47.14</v>
      </c>
      <c r="D115" s="275">
        <f>IFERROR(__xludf.DUMMYFUNCTION("ROUND((IF(SINGLE('Ground Base'!D$154)&gt;ROUND(((1-GroundResDiscount31Up-GroundResIncentive)*'Ground Base'!D110),2),ROUND((SINGLE('Ground Base'!D$154)+GroundResidentialFee)*(1+GroundFuelSurcharge),2),ROUND((((1-GroundResDiscount31Up-GroundResIncentive)*'Grou"&amp;"nd Base'!D110)+GroundResidentialFee)*(1+GroundFuelSurcharge),2)))*(1+FedEx_Markup),2)"),50.81)</f>
        <v>50.81</v>
      </c>
      <c r="E115" s="275">
        <f>IFERROR(__xludf.DUMMYFUNCTION("ROUND((IF(SINGLE('Ground Base'!E$154)&gt;ROUND(((1-GroundResDiscount31Up-GroundResIncentive)*'Ground Base'!E110),2),ROUND((SINGLE('Ground Base'!E$154)+GroundResidentialFee)*(1+GroundFuelSurcharge),2),ROUND((((1-GroundResDiscount31Up-GroundResIncentive)*'Grou"&amp;"nd Base'!E110)+GroundResidentialFee)*(1+GroundFuelSurcharge),2)))*(1+FedEx_Markup),2)"),53.84)</f>
        <v>53.84</v>
      </c>
      <c r="F115" s="275">
        <f>IFERROR(__xludf.DUMMYFUNCTION("ROUND((IF(SINGLE('Ground Base'!F$154)&gt;ROUND(((1-GroundResDiscount31Up-GroundResIncentive)*'Ground Base'!F110),2),ROUND((SINGLE('Ground Base'!F$154)+GroundResidentialFee)*(1+GroundFuelSurcharge),2),ROUND((((1-GroundResDiscount31Up-GroundResIncentive)*'Grou"&amp;"nd Base'!F110)+GroundResidentialFee)*(1+GroundFuelSurcharge),2)))*(1+FedEx_Markup),2)"),62.18)</f>
        <v>62.18</v>
      </c>
      <c r="G115" s="275">
        <f>IFERROR(__xludf.DUMMYFUNCTION("ROUND((IF(SINGLE('Ground Base'!G$154)&gt;ROUND(((1-GroundResDiscount31Up-GroundResIncentive)*'Ground Base'!G110),2),ROUND((SINGLE('Ground Base'!G$154)+GroundResidentialFee)*(1+GroundFuelSurcharge),2),ROUND((((1-GroundResDiscount31Up-GroundResIncentive)*'Grou"&amp;"nd Base'!G110)+GroundResidentialFee)*(1+GroundFuelSurcharge),2)))*(1+FedEx_Markup),2)"),68.22)</f>
        <v>68.22</v>
      </c>
      <c r="H115" s="275">
        <f>IFERROR(__xludf.DUMMYFUNCTION("ROUND((IF(SINGLE('Ground Base'!H$154)&gt;ROUND(((1-GroundResDiscount31Up-GroundResIncentive)*'Ground Base'!H110),2),ROUND((SINGLE('Ground Base'!H$154)+GroundResidentialFee)*(1+GroundFuelSurcharge),2),ROUND((((1-GroundResDiscount31Up-GroundResIncentive)*'Grou"&amp;"nd Base'!H110)+GroundResidentialFee)*(1+GroundFuelSurcharge),2)))*(1+FedEx_Markup),2)"),74.98)</f>
        <v>74.98</v>
      </c>
      <c r="I115" s="275">
        <f>ROUND((IF('Ground Base'!I$154&gt;ROUND(((1-GroundAKHIDiscount)*'Ground Base'!I110),2),ROUND(('Ground Base'!I$154+GroundResidentialFee)*(1+GroundFuelSurcharge),2),ROUND((((1-GroundAKHIDiscount)*'Ground Base'!I110)+GroundResidentialFee)*(1+GroundFuelSurcharge),2)))*(1+FedEx_Markup),2)</f>
        <v>443.15</v>
      </c>
      <c r="J115" s="275">
        <f>ROUND((IF('Ground Base'!J$154&gt;ROUND(((1-GroundAKHIDiscount)*'Ground Base'!J110),2),ROUND(('Ground Base'!J$154+GroundResidentialFee)*(1+GroundFuelSurcharge),2),ROUND((((1-GroundAKHIDiscount)*'Ground Base'!J110)+GroundResidentialFee)*(1+GroundFuelSurcharge),2)))*(1+FedEx_Markup),2)</f>
        <v>443.15</v>
      </c>
      <c r="K115" s="275">
        <f>ROUND((IF('Ground Base'!K$154&gt;ROUND(((1-GroundZone51Discount)*'Ground Base'!K110),2),ROUND(('Ground Base'!K$154+GroundResidentialFee)*(1+GroundFuelSurcharge),2),ROUND((((1-GroundZone51Discount)*'Ground Base'!K110)+GroundResidentialFee)*(1+GroundFuelSurcharge),2)))*(1+FedEx_Markup),2)</f>
        <v>104.9</v>
      </c>
      <c r="L115" s="275">
        <f>ROUND((IF('Ground Base'!L$154&gt;ROUND(((1-GroundZone54Discount)*'Ground Base'!L110),2),ROUND(('Ground Base'!L$154+GroundResidentialFee)*(1+GroundFuelSurcharge),2),ROUND((((1-GroundZone54Discount)*'Ground Base'!L110)+GroundResidentialFee)*(1+GroundFuelSurcharge),2)))*(1+FedEx_Markup),2)</f>
        <v>138.78</v>
      </c>
    </row>
    <row r="116" ht="12.75" customHeight="1">
      <c r="A116" s="274">
        <v>109.0</v>
      </c>
      <c r="B116" s="275">
        <f>IFERROR(__xludf.DUMMYFUNCTION("ROUND((IF(SINGLE('Ground Base'!B$154)&gt;ROUND(((1-GroundResDiscount31Up-GroundResIncentive)*'Ground Base'!B111),2),ROUND((SINGLE('Ground Base'!B$154)+GroundResidentialFee)*(1+GroundFuelSurcharge),2),ROUND((((1-GroundResDiscount31Up-GroundResIncentive)*'Grou"&amp;"nd Base'!B111)+GroundResidentialFee)*(1+GroundFuelSurcharge),2)))*(1+FedEx_Markup),2)"),48.2)</f>
        <v>48.2</v>
      </c>
      <c r="C116" s="275">
        <f>IFERROR(__xludf.DUMMYFUNCTION("ROUND((IF(SINGLE('Ground Base'!C$154)&gt;ROUND(((1-GroundResDiscount31Up-GroundResIncentive)*'Ground Base'!C111),2),ROUND((SINGLE('Ground Base'!C$154)+GroundResidentialFee)*(1+GroundFuelSurcharge),2),ROUND((((1-GroundResDiscount31Up-GroundResIncentive)*'Grou"&amp;"nd Base'!C111)+GroundResidentialFee)*(1+GroundFuelSurcharge),2)))*(1+FedEx_Markup),2)"),48.21)</f>
        <v>48.21</v>
      </c>
      <c r="D116" s="275">
        <f>IFERROR(__xludf.DUMMYFUNCTION("ROUND((IF(SINGLE('Ground Base'!D$154)&gt;ROUND(((1-GroundResDiscount31Up-GroundResIncentive)*'Ground Base'!D111),2),ROUND((SINGLE('Ground Base'!D$154)+GroundResidentialFee)*(1+GroundFuelSurcharge),2),ROUND((((1-GroundResDiscount31Up-GroundResIncentive)*'Grou"&amp;"nd Base'!D111)+GroundResidentialFee)*(1+GroundFuelSurcharge),2)))*(1+FedEx_Markup),2)"),51.39)</f>
        <v>51.39</v>
      </c>
      <c r="E116" s="275">
        <f>IFERROR(__xludf.DUMMYFUNCTION("ROUND((IF(SINGLE('Ground Base'!E$154)&gt;ROUND(((1-GroundResDiscount31Up-GroundResIncentive)*'Ground Base'!E111),2),ROUND((SINGLE('Ground Base'!E$154)+GroundResidentialFee)*(1+GroundFuelSurcharge),2),ROUND((((1-GroundResDiscount31Up-GroundResIncentive)*'Grou"&amp;"nd Base'!E111)+GroundResidentialFee)*(1+GroundFuelSurcharge),2)))*(1+FedEx_Markup),2)"),54.82)</f>
        <v>54.82</v>
      </c>
      <c r="F116" s="275">
        <f>IFERROR(__xludf.DUMMYFUNCTION("ROUND((IF(SINGLE('Ground Base'!F$154)&gt;ROUND(((1-GroundResDiscount31Up-GroundResIncentive)*'Ground Base'!F111),2),ROUND((SINGLE('Ground Base'!F$154)+GroundResidentialFee)*(1+GroundFuelSurcharge),2),ROUND((((1-GroundResDiscount31Up-GroundResIncentive)*'Grou"&amp;"nd Base'!F111)+GroundResidentialFee)*(1+GroundFuelSurcharge),2)))*(1+FedEx_Markup),2)"),62.69)</f>
        <v>62.69</v>
      </c>
      <c r="G116" s="275">
        <f>IFERROR(__xludf.DUMMYFUNCTION("ROUND((IF(SINGLE('Ground Base'!G$154)&gt;ROUND(((1-GroundResDiscount31Up-GroundResIncentive)*'Ground Base'!G111),2),ROUND((SINGLE('Ground Base'!G$154)+GroundResidentialFee)*(1+GroundFuelSurcharge),2),ROUND((((1-GroundResDiscount31Up-GroundResIncentive)*'Grou"&amp;"nd Base'!G111)+GroundResidentialFee)*(1+GroundFuelSurcharge),2)))*(1+FedEx_Markup),2)"),69.39)</f>
        <v>69.39</v>
      </c>
      <c r="H116" s="275">
        <f>IFERROR(__xludf.DUMMYFUNCTION("ROUND((IF(SINGLE('Ground Base'!H$154)&gt;ROUND(((1-GroundResDiscount31Up-GroundResIncentive)*'Ground Base'!H111),2),ROUND((SINGLE('Ground Base'!H$154)+GroundResidentialFee)*(1+GroundFuelSurcharge),2),ROUND((((1-GroundResDiscount31Up-GroundResIncentive)*'Grou"&amp;"nd Base'!H111)+GroundResidentialFee)*(1+GroundFuelSurcharge),2)))*(1+FedEx_Markup),2)"),76.29)</f>
        <v>76.29</v>
      </c>
      <c r="I116" s="275">
        <f>ROUND((IF('Ground Base'!I$154&gt;ROUND(((1-GroundAKHIDiscount)*'Ground Base'!I111),2),ROUND(('Ground Base'!I$154+GroundResidentialFee)*(1+GroundFuelSurcharge),2),ROUND((((1-GroundAKHIDiscount)*'Ground Base'!I111)+GroundResidentialFee)*(1+GroundFuelSurcharge),2)))*(1+FedEx_Markup),2)</f>
        <v>446.91</v>
      </c>
      <c r="J116" s="275">
        <f>ROUND((IF('Ground Base'!J$154&gt;ROUND(((1-GroundAKHIDiscount)*'Ground Base'!J111),2),ROUND(('Ground Base'!J$154+GroundResidentialFee)*(1+GroundFuelSurcharge),2),ROUND((((1-GroundAKHIDiscount)*'Ground Base'!J111)+GroundResidentialFee)*(1+GroundFuelSurcharge),2)))*(1+FedEx_Markup),2)</f>
        <v>446.91</v>
      </c>
      <c r="K116" s="275">
        <f>ROUND((IF('Ground Base'!K$154&gt;ROUND(((1-GroundZone51Discount)*'Ground Base'!K111),2),ROUND(('Ground Base'!K$154+GroundResidentialFee)*(1+GroundFuelSurcharge),2),ROUND((((1-GroundZone51Discount)*'Ground Base'!K111)+GroundResidentialFee)*(1+GroundFuelSurcharge),2)))*(1+FedEx_Markup),2)</f>
        <v>104.91</v>
      </c>
      <c r="L116" s="275">
        <f>ROUND((IF('Ground Base'!L$154&gt;ROUND(((1-GroundZone54Discount)*'Ground Base'!L111),2),ROUND(('Ground Base'!L$154+GroundResidentialFee)*(1+GroundFuelSurcharge),2),ROUND((((1-GroundZone54Discount)*'Ground Base'!L111)+GroundResidentialFee)*(1+GroundFuelSurcharge),2)))*(1+FedEx_Markup),2)</f>
        <v>138.79</v>
      </c>
    </row>
    <row r="117" ht="12.75" customHeight="1">
      <c r="A117" s="274">
        <v>110.0</v>
      </c>
      <c r="B117" s="275">
        <f>IFERROR(__xludf.DUMMYFUNCTION("ROUND((IF(SINGLE('Ground Base'!B$154)&gt;ROUND(((1-GroundResDiscount31Up-GroundResIncentive)*'Ground Base'!B112),2),ROUND((SINGLE('Ground Base'!B$154)+GroundResidentialFee)*(1+GroundFuelSurcharge),2),ROUND((((1-GroundResDiscount31Up-GroundResIncentive)*'Grou"&amp;"nd Base'!B112)+GroundResidentialFee)*(1+GroundFuelSurcharge),2)))*(1+FedEx_Markup),2)"),48.98)</f>
        <v>48.98</v>
      </c>
      <c r="C117" s="275">
        <f>IFERROR(__xludf.DUMMYFUNCTION("ROUND((IF(SINGLE('Ground Base'!C$154)&gt;ROUND(((1-GroundResDiscount31Up-GroundResIncentive)*'Ground Base'!C112),2),ROUND((SINGLE('Ground Base'!C$154)+GroundResidentialFee)*(1+GroundFuelSurcharge),2),ROUND((((1-GroundResDiscount31Up-GroundResIncentive)*'Grou"&amp;"nd Base'!C112)+GroundResidentialFee)*(1+GroundFuelSurcharge),2)))*(1+FedEx_Markup),2)"),49.3)</f>
        <v>49.3</v>
      </c>
      <c r="D117" s="275">
        <f>IFERROR(__xludf.DUMMYFUNCTION("ROUND((IF(SINGLE('Ground Base'!D$154)&gt;ROUND(((1-GroundResDiscount31Up-GroundResIncentive)*'Ground Base'!D112),2),ROUND((SINGLE('Ground Base'!D$154)+GroundResidentialFee)*(1+GroundFuelSurcharge),2),ROUND((((1-GroundResDiscount31Up-GroundResIncentive)*'Grou"&amp;"nd Base'!D112)+GroundResidentialFee)*(1+GroundFuelSurcharge),2)))*(1+FedEx_Markup),2)"),52.43)</f>
        <v>52.43</v>
      </c>
      <c r="E117" s="275">
        <f>IFERROR(__xludf.DUMMYFUNCTION("ROUND((IF(SINGLE('Ground Base'!E$154)&gt;ROUND(((1-GroundResDiscount31Up-GroundResIncentive)*'Ground Base'!E112),2),ROUND((SINGLE('Ground Base'!E$154)+GroundResidentialFee)*(1+GroundFuelSurcharge),2),ROUND((((1-GroundResDiscount31Up-GroundResIncentive)*'Grou"&amp;"nd Base'!E112)+GroundResidentialFee)*(1+GroundFuelSurcharge),2)))*(1+FedEx_Markup),2)"),55.82)</f>
        <v>55.82</v>
      </c>
      <c r="F117" s="275">
        <f>IFERROR(__xludf.DUMMYFUNCTION("ROUND((IF(SINGLE('Ground Base'!F$154)&gt;ROUND(((1-GroundResDiscount31Up-GroundResIncentive)*'Ground Base'!F112),2),ROUND((SINGLE('Ground Base'!F$154)+GroundResidentialFee)*(1+GroundFuelSurcharge),2),ROUND((((1-GroundResDiscount31Up-GroundResIncentive)*'Grou"&amp;"nd Base'!F112)+GroundResidentialFee)*(1+GroundFuelSurcharge),2)))*(1+FedEx_Markup),2)"),64.35)</f>
        <v>64.35</v>
      </c>
      <c r="G117" s="275">
        <f>IFERROR(__xludf.DUMMYFUNCTION("ROUND((IF(SINGLE('Ground Base'!G$154)&gt;ROUND(((1-GroundResDiscount31Up-GroundResIncentive)*'Ground Base'!G112),2),ROUND((SINGLE('Ground Base'!G$154)+GroundResidentialFee)*(1+GroundFuelSurcharge),2),ROUND((((1-GroundResDiscount31Up-GroundResIncentive)*'Grou"&amp;"nd Base'!G112)+GroundResidentialFee)*(1+GroundFuelSurcharge),2)))*(1+FedEx_Markup),2)"),70.63)</f>
        <v>70.63</v>
      </c>
      <c r="H117" s="275">
        <f>IFERROR(__xludf.DUMMYFUNCTION("ROUND((IF(SINGLE('Ground Base'!H$154)&gt;ROUND(((1-GroundResDiscount31Up-GroundResIncentive)*'Ground Base'!H112),2),ROUND((SINGLE('Ground Base'!H$154)+GroundResidentialFee)*(1+GroundFuelSurcharge),2),ROUND((((1-GroundResDiscount31Up-GroundResIncentive)*'Grou"&amp;"nd Base'!H112)+GroundResidentialFee)*(1+GroundFuelSurcharge),2)))*(1+FedEx_Markup),2)"),77.65)</f>
        <v>77.65</v>
      </c>
      <c r="I117" s="275">
        <f>ROUND((IF('Ground Base'!I$154&gt;ROUND(((1-GroundAKHIDiscount)*'Ground Base'!I112),2),ROUND(('Ground Base'!I$154+GroundResidentialFee)*(1+GroundFuelSurcharge),2),ROUND((((1-GroundAKHIDiscount)*'Ground Base'!I112)+GroundResidentialFee)*(1+GroundFuelSurcharge),2)))*(1+FedEx_Markup),2)</f>
        <v>450.66</v>
      </c>
      <c r="J117" s="275">
        <f>ROUND((IF('Ground Base'!J$154&gt;ROUND(((1-GroundAKHIDiscount)*'Ground Base'!J112),2),ROUND(('Ground Base'!J$154+GroundResidentialFee)*(1+GroundFuelSurcharge),2),ROUND((((1-GroundAKHIDiscount)*'Ground Base'!J112)+GroundResidentialFee)*(1+GroundFuelSurcharge),2)))*(1+FedEx_Markup),2)</f>
        <v>450.66</v>
      </c>
      <c r="K117" s="275">
        <f>ROUND((IF('Ground Base'!K$154&gt;ROUND(((1-GroundZone51Discount)*'Ground Base'!K112),2),ROUND(('Ground Base'!K$154+GroundResidentialFee)*(1+GroundFuelSurcharge),2),ROUND((((1-GroundZone51Discount)*'Ground Base'!K112)+GroundResidentialFee)*(1+GroundFuelSurcharge),2)))*(1+FedEx_Markup),2)</f>
        <v>104.93</v>
      </c>
      <c r="L117" s="275">
        <f>ROUND((IF('Ground Base'!L$154&gt;ROUND(((1-GroundZone54Discount)*'Ground Base'!L112),2),ROUND(('Ground Base'!L$154+GroundResidentialFee)*(1+GroundFuelSurcharge),2),ROUND((((1-GroundZone54Discount)*'Ground Base'!L112)+GroundResidentialFee)*(1+GroundFuelSurcharge),2)))*(1+FedEx_Markup),2)</f>
        <v>138.81</v>
      </c>
    </row>
    <row r="118" ht="12.75" customHeight="1">
      <c r="A118" s="274">
        <v>111.0</v>
      </c>
      <c r="B118" s="275">
        <f>IFERROR(__xludf.DUMMYFUNCTION("ROUND((IF(SINGLE('Ground Base'!B$154)&gt;ROUND(((1-GroundResDiscount31Up-GroundResIncentive)*'Ground Base'!B113),2),ROUND((SINGLE('Ground Base'!B$154)+GroundResidentialFee)*(1+GroundFuelSurcharge),2),ROUND((((1-GroundResDiscount31Up-GroundResIncentive)*'Grou"&amp;"nd Base'!B113)+GroundResidentialFee)*(1+GroundFuelSurcharge),2)))*(1+FedEx_Markup),2)"),48.98)</f>
        <v>48.98</v>
      </c>
      <c r="C118" s="275">
        <f>IFERROR(__xludf.DUMMYFUNCTION("ROUND((IF(SINGLE('Ground Base'!C$154)&gt;ROUND(((1-GroundResDiscount31Up-GroundResIncentive)*'Ground Base'!C113),2),ROUND((SINGLE('Ground Base'!C$154)+GroundResidentialFee)*(1+GroundFuelSurcharge),2),ROUND((((1-GroundResDiscount31Up-GroundResIncentive)*'Grou"&amp;"nd Base'!C113)+GroundResidentialFee)*(1+GroundFuelSurcharge),2)))*(1+FedEx_Markup),2)"),49.37)</f>
        <v>49.37</v>
      </c>
      <c r="D118" s="275">
        <f>IFERROR(__xludf.DUMMYFUNCTION("ROUND((IF(SINGLE('Ground Base'!D$154)&gt;ROUND(((1-GroundResDiscount31Up-GroundResIncentive)*'Ground Base'!D113),2),ROUND((SINGLE('Ground Base'!D$154)+GroundResidentialFee)*(1+GroundFuelSurcharge),2),ROUND((((1-GroundResDiscount31Up-GroundResIncentive)*'Grou"&amp;"nd Base'!D113)+GroundResidentialFee)*(1+GroundFuelSurcharge),2)))*(1+FedEx_Markup),2)"),53.52)</f>
        <v>53.52</v>
      </c>
      <c r="E118" s="275">
        <f>IFERROR(__xludf.DUMMYFUNCTION("ROUND((IF(SINGLE('Ground Base'!E$154)&gt;ROUND(((1-GroundResDiscount31Up-GroundResIncentive)*'Ground Base'!E113),2),ROUND((SINGLE('Ground Base'!E$154)+GroundResidentialFee)*(1+GroundFuelSurcharge),2),ROUND((((1-GroundResDiscount31Up-GroundResIncentive)*'Grou"&amp;"nd Base'!E113)+GroundResidentialFee)*(1+GroundFuelSurcharge),2)))*(1+FedEx_Markup),2)"),56.34)</f>
        <v>56.34</v>
      </c>
      <c r="F118" s="275">
        <f>IFERROR(__xludf.DUMMYFUNCTION("ROUND((IF(SINGLE('Ground Base'!F$154)&gt;ROUND(((1-GroundResDiscount31Up-GroundResIncentive)*'Ground Base'!F113),2),ROUND((SINGLE('Ground Base'!F$154)+GroundResidentialFee)*(1+GroundFuelSurcharge),2),ROUND((((1-GroundResDiscount31Up-GroundResIncentive)*'Grou"&amp;"nd Base'!F113)+GroundResidentialFee)*(1+GroundFuelSurcharge),2)))*(1+FedEx_Markup),2)"),64.35)</f>
        <v>64.35</v>
      </c>
      <c r="G118" s="275">
        <f>IFERROR(__xludf.DUMMYFUNCTION("ROUND((IF(SINGLE('Ground Base'!G$154)&gt;ROUND(((1-GroundResDiscount31Up-GroundResIncentive)*'Ground Base'!G113),2),ROUND((SINGLE('Ground Base'!G$154)+GroundResidentialFee)*(1+GroundFuelSurcharge),2),ROUND((((1-GroundResDiscount31Up-GroundResIncentive)*'Grou"&amp;"nd Base'!G113)+GroundResidentialFee)*(1+GroundFuelSurcharge),2)))*(1+FedEx_Markup),2)"),71.12)</f>
        <v>71.12</v>
      </c>
      <c r="H118" s="275">
        <f>IFERROR(__xludf.DUMMYFUNCTION("ROUND((IF(SINGLE('Ground Base'!H$154)&gt;ROUND(((1-GroundResDiscount31Up-GroundResIncentive)*'Ground Base'!H113),2),ROUND((SINGLE('Ground Base'!H$154)+GroundResidentialFee)*(1+GroundFuelSurcharge),2),ROUND((((1-GroundResDiscount31Up-GroundResIncentive)*'Grou"&amp;"nd Base'!H113)+GroundResidentialFee)*(1+GroundFuelSurcharge),2)))*(1+FedEx_Markup),2)"),78.53)</f>
        <v>78.53</v>
      </c>
      <c r="I118" s="275">
        <f>ROUND((IF('Ground Base'!I$154&gt;ROUND(((1-GroundAKHIDiscount)*'Ground Base'!I113),2),ROUND(('Ground Base'!I$154+GroundResidentialFee)*(1+GroundFuelSurcharge),2),ROUND((((1-GroundAKHIDiscount)*'Ground Base'!I113)+GroundResidentialFee)*(1+GroundFuelSurcharge),2)))*(1+FedEx_Markup),2)</f>
        <v>455.77</v>
      </c>
      <c r="J118" s="275">
        <f>ROUND((IF('Ground Base'!J$154&gt;ROUND(((1-GroundAKHIDiscount)*'Ground Base'!J113),2),ROUND(('Ground Base'!J$154+GroundResidentialFee)*(1+GroundFuelSurcharge),2),ROUND((((1-GroundAKHIDiscount)*'Ground Base'!J113)+GroundResidentialFee)*(1+GroundFuelSurcharge),2)))*(1+FedEx_Markup),2)</f>
        <v>455.77</v>
      </c>
      <c r="K118" s="275">
        <f>ROUND((IF('Ground Base'!K$154&gt;ROUND(((1-GroundZone51Discount)*'Ground Base'!K113),2),ROUND(('Ground Base'!K$154+GroundResidentialFee)*(1+GroundFuelSurcharge),2),ROUND((((1-GroundZone51Discount)*'Ground Base'!K113)+GroundResidentialFee)*(1+GroundFuelSurcharge),2)))*(1+FedEx_Markup),2)</f>
        <v>107.96</v>
      </c>
      <c r="L118" s="275">
        <f>ROUND((IF('Ground Base'!L$154&gt;ROUND(((1-GroundZone54Discount)*'Ground Base'!L113),2),ROUND(('Ground Base'!L$154+GroundResidentialFee)*(1+GroundFuelSurcharge),2),ROUND((((1-GroundZone54Discount)*'Ground Base'!L113)+GroundResidentialFee)*(1+GroundFuelSurcharge),2)))*(1+FedEx_Markup),2)</f>
        <v>144.12</v>
      </c>
    </row>
    <row r="119" ht="12.75" customHeight="1">
      <c r="A119" s="274">
        <v>112.0</v>
      </c>
      <c r="B119" s="275">
        <f>IFERROR(__xludf.DUMMYFUNCTION("ROUND((IF(SINGLE('Ground Base'!B$154)&gt;ROUND(((1-GroundResDiscount31Up-GroundResIncentive)*'Ground Base'!B114),2),ROUND((SINGLE('Ground Base'!B$154)+GroundResidentialFee)*(1+GroundFuelSurcharge),2),ROUND((((1-GroundResDiscount31Up-GroundResIncentive)*'Grou"&amp;"nd Base'!B114)+GroundResidentialFee)*(1+GroundFuelSurcharge),2)))*(1+FedEx_Markup),2)"),49.53)</f>
        <v>49.53</v>
      </c>
      <c r="C119" s="275">
        <f>IFERROR(__xludf.DUMMYFUNCTION("ROUND((IF(SINGLE('Ground Base'!C$154)&gt;ROUND(((1-GroundResDiscount31Up-GroundResIncentive)*'Ground Base'!C114),2),ROUND((SINGLE('Ground Base'!C$154)+GroundResidentialFee)*(1+GroundFuelSurcharge),2),ROUND((((1-GroundResDiscount31Up-GroundResIncentive)*'Grou"&amp;"nd Base'!C114)+GroundResidentialFee)*(1+GroundFuelSurcharge),2)))*(1+FedEx_Markup),2)"),50.32)</f>
        <v>50.32</v>
      </c>
      <c r="D119" s="275">
        <f>IFERROR(__xludf.DUMMYFUNCTION("ROUND((IF(SINGLE('Ground Base'!D$154)&gt;ROUND(((1-GroundResDiscount31Up-GroundResIncentive)*'Ground Base'!D114),2),ROUND((SINGLE('Ground Base'!D$154)+GroundResidentialFee)*(1+GroundFuelSurcharge),2),ROUND((((1-GroundResDiscount31Up-GroundResIncentive)*'Grou"&amp;"nd Base'!D114)+GroundResidentialFee)*(1+GroundFuelSurcharge),2)))*(1+FedEx_Markup),2)"),53.52)</f>
        <v>53.52</v>
      </c>
      <c r="E119" s="275">
        <f>IFERROR(__xludf.DUMMYFUNCTION("ROUND((IF(SINGLE('Ground Base'!E$154)&gt;ROUND(((1-GroundResDiscount31Up-GroundResIncentive)*'Ground Base'!E114),2),ROUND((SINGLE('Ground Base'!E$154)+GroundResidentialFee)*(1+GroundFuelSurcharge),2),ROUND((((1-GroundResDiscount31Up-GroundResIncentive)*'Grou"&amp;"nd Base'!E114)+GroundResidentialFee)*(1+GroundFuelSurcharge),2)))*(1+FedEx_Markup),2)"),56.35)</f>
        <v>56.35</v>
      </c>
      <c r="F119" s="275">
        <f>IFERROR(__xludf.DUMMYFUNCTION("ROUND((IF(SINGLE('Ground Base'!F$154)&gt;ROUND(((1-GroundResDiscount31Up-GroundResIncentive)*'Ground Base'!F114),2),ROUND((SINGLE('Ground Base'!F$154)+GroundResidentialFee)*(1+GroundFuelSurcharge),2),ROUND((((1-GroundResDiscount31Up-GroundResIncentive)*'Grou"&amp;"nd Base'!F114)+GroundResidentialFee)*(1+GroundFuelSurcharge),2)))*(1+FedEx_Markup),2)"),64.85)</f>
        <v>64.85</v>
      </c>
      <c r="G119" s="275">
        <f>IFERROR(__xludf.DUMMYFUNCTION("ROUND((IF(SINGLE('Ground Base'!G$154)&gt;ROUND(((1-GroundResDiscount31Up-GroundResIncentive)*'Ground Base'!G114),2),ROUND((SINGLE('Ground Base'!G$154)+GroundResidentialFee)*(1+GroundFuelSurcharge),2),ROUND((((1-GroundResDiscount31Up-GroundResIncentive)*'Grou"&amp;"nd Base'!G114)+GroundResidentialFee)*(1+GroundFuelSurcharge),2)))*(1+FedEx_Markup),2)"),71.13)</f>
        <v>71.13</v>
      </c>
      <c r="H119" s="275">
        <f>IFERROR(__xludf.DUMMYFUNCTION("ROUND((IF(SINGLE('Ground Base'!H$154)&gt;ROUND(((1-GroundResDiscount31Up-GroundResIncentive)*'Ground Base'!H114),2),ROUND((SINGLE('Ground Base'!H$154)+GroundResidentialFee)*(1+GroundFuelSurcharge),2),ROUND((((1-GroundResDiscount31Up-GroundResIncentive)*'Grou"&amp;"nd Base'!H114)+GroundResidentialFee)*(1+GroundFuelSurcharge),2)))*(1+FedEx_Markup),2)"),78.55)</f>
        <v>78.55</v>
      </c>
      <c r="I119" s="275">
        <f>ROUND((IF('Ground Base'!I$154&gt;ROUND(((1-GroundAKHIDiscount)*'Ground Base'!I114),2),ROUND(('Ground Base'!I$154+GroundResidentialFee)*(1+GroundFuelSurcharge),2),ROUND((((1-GroundAKHIDiscount)*'Ground Base'!I114)+GroundResidentialFee)*(1+GroundFuelSurcharge),2)))*(1+FedEx_Markup),2)</f>
        <v>460.87</v>
      </c>
      <c r="J119" s="275">
        <f>ROUND((IF('Ground Base'!J$154&gt;ROUND(((1-GroundAKHIDiscount)*'Ground Base'!J114),2),ROUND(('Ground Base'!J$154+GroundResidentialFee)*(1+GroundFuelSurcharge),2),ROUND((((1-GroundAKHIDiscount)*'Ground Base'!J114)+GroundResidentialFee)*(1+GroundFuelSurcharge),2)))*(1+FedEx_Markup),2)</f>
        <v>460.87</v>
      </c>
      <c r="K119" s="275">
        <f>ROUND((IF('Ground Base'!K$154&gt;ROUND(((1-GroundZone51Discount)*'Ground Base'!K114),2),ROUND(('Ground Base'!K$154+GroundResidentialFee)*(1+GroundFuelSurcharge),2),ROUND((((1-GroundZone51Discount)*'Ground Base'!K114)+GroundResidentialFee)*(1+GroundFuelSurcharge),2)))*(1+FedEx_Markup),2)</f>
        <v>107.97</v>
      </c>
      <c r="L119" s="275">
        <f>ROUND((IF('Ground Base'!L$154&gt;ROUND(((1-GroundZone54Discount)*'Ground Base'!L114),2),ROUND(('Ground Base'!L$154+GroundResidentialFee)*(1+GroundFuelSurcharge),2),ROUND((((1-GroundZone54Discount)*'Ground Base'!L114)+GroundResidentialFee)*(1+GroundFuelSurcharge),2)))*(1+FedEx_Markup),2)</f>
        <v>144.13</v>
      </c>
    </row>
    <row r="120" ht="12.75" customHeight="1">
      <c r="A120" s="274">
        <v>113.0</v>
      </c>
      <c r="B120" s="275">
        <f>IFERROR(__xludf.DUMMYFUNCTION("ROUND((IF(SINGLE('Ground Base'!B$154)&gt;ROUND(((1-GroundResDiscount31Up-GroundResIncentive)*'Ground Base'!B115),2),ROUND((SINGLE('Ground Base'!B$154)+GroundResidentialFee)*(1+GroundFuelSurcharge),2),ROUND((((1-GroundResDiscount31Up-GroundResIncentive)*'Grou"&amp;"nd Base'!B115)+GroundResidentialFee)*(1+GroundFuelSurcharge),2)))*(1+FedEx_Markup),2)"),49.53)</f>
        <v>49.53</v>
      </c>
      <c r="C120" s="275">
        <f>IFERROR(__xludf.DUMMYFUNCTION("ROUND((IF(SINGLE('Ground Base'!C$154)&gt;ROUND(((1-GroundResDiscount31Up-GroundResIncentive)*'Ground Base'!C115),2),ROUND((SINGLE('Ground Base'!C$154)+GroundResidentialFee)*(1+GroundFuelSurcharge),2),ROUND((((1-GroundResDiscount31Up-GroundResIncentive)*'Grou"&amp;"nd Base'!C115)+GroundResidentialFee)*(1+GroundFuelSurcharge),2)))*(1+FedEx_Markup),2)"),50.34)</f>
        <v>50.34</v>
      </c>
      <c r="D120" s="275">
        <f>IFERROR(__xludf.DUMMYFUNCTION("ROUND((IF(SINGLE('Ground Base'!D$154)&gt;ROUND(((1-GroundResDiscount31Up-GroundResIncentive)*'Ground Base'!D115),2),ROUND((SINGLE('Ground Base'!D$154)+GroundResidentialFee)*(1+GroundFuelSurcharge),2),ROUND((((1-GroundResDiscount31Up-GroundResIncentive)*'Grou"&amp;"nd Base'!D115)+GroundResidentialFee)*(1+GroundFuelSurcharge),2)))*(1+FedEx_Markup),2)"),54.08)</f>
        <v>54.08</v>
      </c>
      <c r="E120" s="275">
        <f>IFERROR(__xludf.DUMMYFUNCTION("ROUND((IF(SINGLE('Ground Base'!E$154)&gt;ROUND(((1-GroundResDiscount31Up-GroundResIncentive)*'Ground Base'!E115),2),ROUND((SINGLE('Ground Base'!E$154)+GroundResidentialFee)*(1+GroundFuelSurcharge),2),ROUND((((1-GroundResDiscount31Up-GroundResIncentive)*'Grou"&amp;"nd Base'!E115)+GroundResidentialFee)*(1+GroundFuelSurcharge),2)))*(1+FedEx_Markup),2)"),56.84)</f>
        <v>56.84</v>
      </c>
      <c r="F120" s="275">
        <f>IFERROR(__xludf.DUMMYFUNCTION("ROUND((IF(SINGLE('Ground Base'!F$154)&gt;ROUND(((1-GroundResDiscount31Up-GroundResIncentive)*'Ground Base'!F115),2),ROUND((SINGLE('Ground Base'!F$154)+GroundResidentialFee)*(1+GroundFuelSurcharge),2),ROUND((((1-GroundResDiscount31Up-GroundResIncentive)*'Grou"&amp;"nd Base'!F115)+GroundResidentialFee)*(1+GroundFuelSurcharge),2)))*(1+FedEx_Markup),2)"),64.85)</f>
        <v>64.85</v>
      </c>
      <c r="G120" s="275">
        <f>IFERROR(__xludf.DUMMYFUNCTION("ROUND((IF(SINGLE('Ground Base'!G$154)&gt;ROUND(((1-GroundResDiscount31Up-GroundResIncentive)*'Ground Base'!G115),2),ROUND((SINGLE('Ground Base'!G$154)+GroundResidentialFee)*(1+GroundFuelSurcharge),2),ROUND((((1-GroundResDiscount31Up-GroundResIncentive)*'Grou"&amp;"nd Base'!G115)+GroundResidentialFee)*(1+GroundFuelSurcharge),2)))*(1+FedEx_Markup),2)"),71.13)</f>
        <v>71.13</v>
      </c>
      <c r="H120" s="275">
        <f>IFERROR(__xludf.DUMMYFUNCTION("ROUND((IF(SINGLE('Ground Base'!H$154)&gt;ROUND(((1-GroundResDiscount31Up-GroundResIncentive)*'Ground Base'!H115),2),ROUND((SINGLE('Ground Base'!H$154)+GroundResidentialFee)*(1+GroundFuelSurcharge),2),ROUND((((1-GroundResDiscount31Up-GroundResIncentive)*'Grou"&amp;"nd Base'!H115)+GroundResidentialFee)*(1+GroundFuelSurcharge),2)))*(1+FedEx_Markup),2)"),79.2)</f>
        <v>79.2</v>
      </c>
      <c r="I120" s="275">
        <f>ROUND((IF('Ground Base'!I$154&gt;ROUND(((1-GroundAKHIDiscount)*'Ground Base'!I115),2),ROUND(('Ground Base'!I$154+GroundResidentialFee)*(1+GroundFuelSurcharge),2),ROUND((((1-GroundAKHIDiscount)*'Ground Base'!I115)+GroundResidentialFee)*(1+GroundFuelSurcharge),2)))*(1+FedEx_Markup),2)</f>
        <v>464.84</v>
      </c>
      <c r="J120" s="275">
        <f>ROUND((IF('Ground Base'!J$154&gt;ROUND(((1-GroundAKHIDiscount)*'Ground Base'!J115),2),ROUND(('Ground Base'!J$154+GroundResidentialFee)*(1+GroundFuelSurcharge),2),ROUND((((1-GroundAKHIDiscount)*'Ground Base'!J115)+GroundResidentialFee)*(1+GroundFuelSurcharge),2)))*(1+FedEx_Markup),2)</f>
        <v>464.84</v>
      </c>
      <c r="K120" s="275">
        <f>ROUND((IF('Ground Base'!K$154&gt;ROUND(((1-GroundZone51Discount)*'Ground Base'!K115),2),ROUND(('Ground Base'!K$154+GroundResidentialFee)*(1+GroundFuelSurcharge),2),ROUND((((1-GroundZone51Discount)*'Ground Base'!K115)+GroundResidentialFee)*(1+GroundFuelSurcharge),2)))*(1+FedEx_Markup),2)</f>
        <v>107.99</v>
      </c>
      <c r="L120" s="275">
        <f>ROUND((IF('Ground Base'!L$154&gt;ROUND(((1-GroundZone54Discount)*'Ground Base'!L115),2),ROUND(('Ground Base'!L$154+GroundResidentialFee)*(1+GroundFuelSurcharge),2),ROUND((((1-GroundZone54Discount)*'Ground Base'!L115)+GroundResidentialFee)*(1+GroundFuelSurcharge),2)))*(1+FedEx_Markup),2)</f>
        <v>144.15</v>
      </c>
    </row>
    <row r="121" ht="12.75" customHeight="1">
      <c r="A121" s="274">
        <v>114.0</v>
      </c>
      <c r="B121" s="275">
        <f>IFERROR(__xludf.DUMMYFUNCTION("ROUND((IF(SINGLE('Ground Base'!B$154)&gt;ROUND(((1-GroundResDiscount31Up-GroundResIncentive)*'Ground Base'!B116),2),ROUND((SINGLE('Ground Base'!B$154)+GroundResidentialFee)*(1+GroundFuelSurcharge),2),ROUND((((1-GroundResDiscount31Up-GroundResIncentive)*'Grou"&amp;"nd Base'!B116)+GroundResidentialFee)*(1+GroundFuelSurcharge),2)))*(1+FedEx_Markup),2)"),50.03)</f>
        <v>50.03</v>
      </c>
      <c r="C121" s="275">
        <f>IFERROR(__xludf.DUMMYFUNCTION("ROUND((IF(SINGLE('Ground Base'!C$154)&gt;ROUND(((1-GroundResDiscount31Up-GroundResIncentive)*'Ground Base'!C116),2),ROUND((SINGLE('Ground Base'!C$154)+GroundResidentialFee)*(1+GroundFuelSurcharge),2),ROUND((((1-GroundResDiscount31Up-GroundResIncentive)*'Grou"&amp;"nd Base'!C116)+GroundResidentialFee)*(1+GroundFuelSurcharge),2)))*(1+FedEx_Markup),2)"),51.35)</f>
        <v>51.35</v>
      </c>
      <c r="D121" s="275">
        <f>IFERROR(__xludf.DUMMYFUNCTION("ROUND((IF(SINGLE('Ground Base'!D$154)&gt;ROUND(((1-GroundResDiscount31Up-GroundResIncentive)*'Ground Base'!D116),2),ROUND((SINGLE('Ground Base'!D$154)+GroundResidentialFee)*(1+GroundFuelSurcharge),2),ROUND((((1-GroundResDiscount31Up-GroundResIncentive)*'Grou"&amp;"nd Base'!D116)+GroundResidentialFee)*(1+GroundFuelSurcharge),2)))*(1+FedEx_Markup),2)"),55.15)</f>
        <v>55.15</v>
      </c>
      <c r="E121" s="275">
        <f>IFERROR(__xludf.DUMMYFUNCTION("ROUND((IF(SINGLE('Ground Base'!E$154)&gt;ROUND(((1-GroundResDiscount31Up-GroundResIncentive)*'Ground Base'!E116),2),ROUND((SINGLE('Ground Base'!E$154)+GroundResidentialFee)*(1+GroundFuelSurcharge),2),ROUND((((1-GroundResDiscount31Up-GroundResIncentive)*'Grou"&amp;"nd Base'!E116)+GroundResidentialFee)*(1+GroundFuelSurcharge),2)))*(1+FedEx_Markup),2)"),57.89)</f>
        <v>57.89</v>
      </c>
      <c r="F121" s="275">
        <f>IFERROR(__xludf.DUMMYFUNCTION("ROUND((IF(SINGLE('Ground Base'!F$154)&gt;ROUND(((1-GroundResDiscount31Up-GroundResIncentive)*'Ground Base'!F116),2),ROUND((SINGLE('Ground Base'!F$154)+GroundResidentialFee)*(1+GroundFuelSurcharge),2),ROUND((((1-GroundResDiscount31Up-GroundResIncentive)*'Grou"&amp;"nd Base'!F116)+GroundResidentialFee)*(1+GroundFuelSurcharge),2)))*(1+FedEx_Markup),2)"),66.49)</f>
        <v>66.49</v>
      </c>
      <c r="G121" s="275">
        <f>IFERROR(__xludf.DUMMYFUNCTION("ROUND((IF(SINGLE('Ground Base'!G$154)&gt;ROUND(((1-GroundResDiscount31Up-GroundResIncentive)*'Ground Base'!G116),2),ROUND((SINGLE('Ground Base'!G$154)+GroundResidentialFee)*(1+GroundFuelSurcharge),2),ROUND((((1-GroundResDiscount31Up-GroundResIncentive)*'Grou"&amp;"nd Base'!G116)+GroundResidentialFee)*(1+GroundFuelSurcharge),2)))*(1+FedEx_Markup),2)"),72.84)</f>
        <v>72.84</v>
      </c>
      <c r="H121" s="275">
        <f>IFERROR(__xludf.DUMMYFUNCTION("ROUND((IF(SINGLE('Ground Base'!H$154)&gt;ROUND(((1-GroundResDiscount31Up-GroundResIncentive)*'Ground Base'!H116),2),ROUND((SINGLE('Ground Base'!H$154)+GroundResidentialFee)*(1+GroundFuelSurcharge),2),ROUND((((1-GroundResDiscount31Up-GroundResIncentive)*'Grou"&amp;"nd Base'!H116)+GroundResidentialFee)*(1+GroundFuelSurcharge),2)))*(1+FedEx_Markup),2)"),80.41)</f>
        <v>80.41</v>
      </c>
      <c r="I121" s="275">
        <f>ROUND((IF('Ground Base'!I$154&gt;ROUND(((1-GroundAKHIDiscount)*'Ground Base'!I116),2),ROUND(('Ground Base'!I$154+GroundResidentialFee)*(1+GroundFuelSurcharge),2),ROUND((((1-GroundAKHIDiscount)*'Ground Base'!I116)+GroundResidentialFee)*(1+GroundFuelSurcharge),2)))*(1+FedEx_Markup),2)</f>
        <v>468.87</v>
      </c>
      <c r="J121" s="275">
        <f>ROUND((IF('Ground Base'!J$154&gt;ROUND(((1-GroundAKHIDiscount)*'Ground Base'!J116),2),ROUND(('Ground Base'!J$154+GroundResidentialFee)*(1+GroundFuelSurcharge),2),ROUND((((1-GroundAKHIDiscount)*'Ground Base'!J116)+GroundResidentialFee)*(1+GroundFuelSurcharge),2)))*(1+FedEx_Markup),2)</f>
        <v>468.87</v>
      </c>
      <c r="K121" s="275">
        <f>ROUND((IF('Ground Base'!K$154&gt;ROUND(((1-GroundZone51Discount)*'Ground Base'!K116),2),ROUND(('Ground Base'!K$154+GroundResidentialFee)*(1+GroundFuelSurcharge),2),ROUND((((1-GroundZone51Discount)*'Ground Base'!K116)+GroundResidentialFee)*(1+GroundFuelSurcharge),2)))*(1+FedEx_Markup),2)</f>
        <v>107.99</v>
      </c>
      <c r="L121" s="275">
        <f>ROUND((IF('Ground Base'!L$154&gt;ROUND(((1-GroundZone54Discount)*'Ground Base'!L116),2),ROUND(('Ground Base'!L$154+GroundResidentialFee)*(1+GroundFuelSurcharge),2),ROUND((((1-GroundZone54Discount)*'Ground Base'!L116)+GroundResidentialFee)*(1+GroundFuelSurcharge),2)))*(1+FedEx_Markup),2)</f>
        <v>144.15</v>
      </c>
    </row>
    <row r="122" ht="12.75" customHeight="1">
      <c r="A122" s="274">
        <v>115.0</v>
      </c>
      <c r="B122" s="275">
        <f>IFERROR(__xludf.DUMMYFUNCTION("ROUND((IF(SINGLE('Ground Base'!B$154)&gt;ROUND(((1-GroundResDiscount31Up-GroundResIncentive)*'Ground Base'!B117),2),ROUND((SINGLE('Ground Base'!B$154)+GroundResidentialFee)*(1+GroundFuelSurcharge),2),ROUND((((1-GroundResDiscount31Up-GroundResIncentive)*'Grou"&amp;"nd Base'!B117)+GroundResidentialFee)*(1+GroundFuelSurcharge),2)))*(1+FedEx_Markup),2)"),51.45)</f>
        <v>51.45</v>
      </c>
      <c r="C122" s="275">
        <f>IFERROR(__xludf.DUMMYFUNCTION("ROUND((IF(SINGLE('Ground Base'!C$154)&gt;ROUND(((1-GroundResDiscount31Up-GroundResIncentive)*'Ground Base'!C117),2),ROUND((SINGLE('Ground Base'!C$154)+GroundResidentialFee)*(1+GroundFuelSurcharge),2),ROUND((((1-GroundResDiscount31Up-GroundResIncentive)*'Grou"&amp;"nd Base'!C117)+GroundResidentialFee)*(1+GroundFuelSurcharge),2)))*(1+FedEx_Markup),2)"),52.08)</f>
        <v>52.08</v>
      </c>
      <c r="D122" s="275">
        <f>IFERROR(__xludf.DUMMYFUNCTION("ROUND((IF(SINGLE('Ground Base'!D$154)&gt;ROUND(((1-GroundResDiscount31Up-GroundResIncentive)*'Ground Base'!D117),2),ROUND((SINGLE('Ground Base'!D$154)+GroundResidentialFee)*(1+GroundFuelSurcharge),2),ROUND((((1-GroundResDiscount31Up-GroundResIncentive)*'Grou"&amp;"nd Base'!D117)+GroundResidentialFee)*(1+GroundFuelSurcharge),2)))*(1+FedEx_Markup),2)"),55.17)</f>
        <v>55.17</v>
      </c>
      <c r="E122" s="275">
        <f>IFERROR(__xludf.DUMMYFUNCTION("ROUND((IF(SINGLE('Ground Base'!E$154)&gt;ROUND(((1-GroundResDiscount31Up-GroundResIncentive)*'Ground Base'!E117),2),ROUND((SINGLE('Ground Base'!E$154)+GroundResidentialFee)*(1+GroundFuelSurcharge),2),ROUND((((1-GroundResDiscount31Up-GroundResIncentive)*'Grou"&amp;"nd Base'!E117)+GroundResidentialFee)*(1+GroundFuelSurcharge),2)))*(1+FedEx_Markup),2)"),58.56)</f>
        <v>58.56</v>
      </c>
      <c r="F122" s="275">
        <f>IFERROR(__xludf.DUMMYFUNCTION("ROUND((IF(SINGLE('Ground Base'!F$154)&gt;ROUND(((1-GroundResDiscount31Up-GroundResIncentive)*'Ground Base'!F117),2),ROUND((SINGLE('Ground Base'!F$154)+GroundResidentialFee)*(1+GroundFuelSurcharge),2),ROUND((((1-GroundResDiscount31Up-GroundResIncentive)*'Grou"&amp;"nd Base'!F117)+GroundResidentialFee)*(1+GroundFuelSurcharge),2)))*(1+FedEx_Markup),2)"),66.5)</f>
        <v>66.5</v>
      </c>
      <c r="G122" s="275">
        <f>IFERROR(__xludf.DUMMYFUNCTION("ROUND((IF(SINGLE('Ground Base'!G$154)&gt;ROUND(((1-GroundResDiscount31Up-GroundResIncentive)*'Ground Base'!G117),2),ROUND((SINGLE('Ground Base'!G$154)+GroundResidentialFee)*(1+GroundFuelSurcharge),2),ROUND((((1-GroundResDiscount31Up-GroundResIncentive)*'Grou"&amp;"nd Base'!G117)+GroundResidentialFee)*(1+GroundFuelSurcharge),2)))*(1+FedEx_Markup),2)"),73.51)</f>
        <v>73.51</v>
      </c>
      <c r="H122" s="275">
        <f>IFERROR(__xludf.DUMMYFUNCTION("ROUND((IF(SINGLE('Ground Base'!H$154)&gt;ROUND(((1-GroundResDiscount31Up-GroundResIncentive)*'Ground Base'!H117),2),ROUND((SINGLE('Ground Base'!H$154)+GroundResidentialFee)*(1+GroundFuelSurcharge),2),ROUND((((1-GroundResDiscount31Up-GroundResIncentive)*'Grou"&amp;"nd Base'!H117)+GroundResidentialFee)*(1+GroundFuelSurcharge),2)))*(1+FedEx_Markup),2)"),80.44)</f>
        <v>80.44</v>
      </c>
      <c r="I122" s="275">
        <f>ROUND((IF('Ground Base'!I$154&gt;ROUND(((1-GroundAKHIDiscount)*'Ground Base'!I117),2),ROUND(('Ground Base'!I$154+GroundResidentialFee)*(1+GroundFuelSurcharge),2),ROUND((((1-GroundAKHIDiscount)*'Ground Base'!I117)+GroundResidentialFee)*(1+GroundFuelSurcharge),2)))*(1+FedEx_Markup),2)</f>
        <v>472.83</v>
      </c>
      <c r="J122" s="275">
        <f>ROUND((IF('Ground Base'!J$154&gt;ROUND(((1-GroundAKHIDiscount)*'Ground Base'!J117),2),ROUND(('Ground Base'!J$154+GroundResidentialFee)*(1+GroundFuelSurcharge),2),ROUND((((1-GroundAKHIDiscount)*'Ground Base'!J117)+GroundResidentialFee)*(1+GroundFuelSurcharge),2)))*(1+FedEx_Markup),2)</f>
        <v>472.83</v>
      </c>
      <c r="K122" s="275">
        <f>ROUND((IF('Ground Base'!K$154&gt;ROUND(((1-GroundZone51Discount)*'Ground Base'!K117),2),ROUND(('Ground Base'!K$154+GroundResidentialFee)*(1+GroundFuelSurcharge),2),ROUND((((1-GroundZone51Discount)*'Ground Base'!K117)+GroundResidentialFee)*(1+GroundFuelSurcharge),2)))*(1+FedEx_Markup),2)</f>
        <v>108.01</v>
      </c>
      <c r="L122" s="275">
        <f>ROUND((IF('Ground Base'!L$154&gt;ROUND(((1-GroundZone54Discount)*'Ground Base'!L117),2),ROUND(('Ground Base'!L$154+GroundResidentialFee)*(1+GroundFuelSurcharge),2),ROUND((((1-GroundZone54Discount)*'Ground Base'!L117)+GroundResidentialFee)*(1+GroundFuelSurcharge),2)))*(1+FedEx_Markup),2)</f>
        <v>144.16</v>
      </c>
    </row>
    <row r="123" ht="12.75" customHeight="1">
      <c r="A123" s="274">
        <v>116.0</v>
      </c>
      <c r="B123" s="275">
        <f>IFERROR(__xludf.DUMMYFUNCTION("ROUND((IF(SINGLE('Ground Base'!B$154)&gt;ROUND(((1-GroundResDiscount31Up-GroundResIncentive)*'Ground Base'!B118),2),ROUND((SINGLE('Ground Base'!B$154)+GroundResidentialFee)*(1+GroundFuelSurcharge),2),ROUND((((1-GroundResDiscount31Up-GroundResIncentive)*'Grou"&amp;"nd Base'!B118)+GroundResidentialFee)*(1+GroundFuelSurcharge),2)))*(1+FedEx_Markup),2)"),51.46)</f>
        <v>51.46</v>
      </c>
      <c r="C123" s="275">
        <f>IFERROR(__xludf.DUMMYFUNCTION("ROUND((IF(SINGLE('Ground Base'!C$154)&gt;ROUND(((1-GroundResDiscount31Up-GroundResIncentive)*'Ground Base'!C118),2),ROUND((SINGLE('Ground Base'!C$154)+GroundResidentialFee)*(1+GroundFuelSurcharge),2),ROUND((((1-GroundResDiscount31Up-GroundResIncentive)*'Grou"&amp;"nd Base'!C118)+GroundResidentialFee)*(1+GroundFuelSurcharge),2)))*(1+FedEx_Markup),2)"),52.08)</f>
        <v>52.08</v>
      </c>
      <c r="D123" s="275">
        <f>IFERROR(__xludf.DUMMYFUNCTION("ROUND((IF(SINGLE('Ground Base'!D$154)&gt;ROUND(((1-GroundResDiscount31Up-GroundResIncentive)*'Ground Base'!D118),2),ROUND((SINGLE('Ground Base'!D$154)+GroundResidentialFee)*(1+GroundFuelSurcharge),2),ROUND((((1-GroundResDiscount31Up-GroundResIncentive)*'Grou"&amp;"nd Base'!D118)+GroundResidentialFee)*(1+GroundFuelSurcharge),2)))*(1+FedEx_Markup),2)"),55.81)</f>
        <v>55.81</v>
      </c>
      <c r="E123" s="275">
        <f>IFERROR(__xludf.DUMMYFUNCTION("ROUND((IF(SINGLE('Ground Base'!E$154)&gt;ROUND(((1-GroundResDiscount31Up-GroundResIncentive)*'Ground Base'!E118),2),ROUND((SINGLE('Ground Base'!E$154)+GroundResidentialFee)*(1+GroundFuelSurcharge),2),ROUND((((1-GroundResDiscount31Up-GroundResIncentive)*'Grou"&amp;"nd Base'!E118)+GroundResidentialFee)*(1+GroundFuelSurcharge),2)))*(1+FedEx_Markup),2)"),58.57)</f>
        <v>58.57</v>
      </c>
      <c r="F123" s="275">
        <f>IFERROR(__xludf.DUMMYFUNCTION("ROUND((IF(SINGLE('Ground Base'!F$154)&gt;ROUND(((1-GroundResDiscount31Up-GroundResIncentive)*'Ground Base'!F118),2),ROUND((SINGLE('Ground Base'!F$154)+GroundResidentialFee)*(1+GroundFuelSurcharge),2),ROUND((((1-GroundResDiscount31Up-GroundResIncentive)*'Grou"&amp;"nd Base'!F118)+GroundResidentialFee)*(1+GroundFuelSurcharge),2)))*(1+FedEx_Markup),2)"),67.44)</f>
        <v>67.44</v>
      </c>
      <c r="G123" s="275">
        <f>IFERROR(__xludf.DUMMYFUNCTION("ROUND((IF(SINGLE('Ground Base'!G$154)&gt;ROUND(((1-GroundResDiscount31Up-GroundResIncentive)*'Ground Base'!G118),2),ROUND((SINGLE('Ground Base'!G$154)+GroundResidentialFee)*(1+GroundFuelSurcharge),2),ROUND((((1-GroundResDiscount31Up-GroundResIncentive)*'Grou"&amp;"nd Base'!G118)+GroundResidentialFee)*(1+GroundFuelSurcharge),2)))*(1+FedEx_Markup),2)"),74.39)</f>
        <v>74.39</v>
      </c>
      <c r="H123" s="275">
        <f>IFERROR(__xludf.DUMMYFUNCTION("ROUND((IF(SINGLE('Ground Base'!H$154)&gt;ROUND(((1-GroundResDiscount31Up-GroundResIncentive)*'Ground Base'!H118),2),ROUND((SINGLE('Ground Base'!H$154)+GroundResidentialFee)*(1+GroundFuelSurcharge),2),ROUND((((1-GroundResDiscount31Up-GroundResIncentive)*'Grou"&amp;"nd Base'!H118)+GroundResidentialFee)*(1+GroundFuelSurcharge),2)))*(1+FedEx_Markup),2)"),81.65)</f>
        <v>81.65</v>
      </c>
      <c r="I123" s="275">
        <f>ROUND((IF('Ground Base'!I$154&gt;ROUND(((1-GroundAKHIDiscount)*'Ground Base'!I118),2),ROUND(('Ground Base'!I$154+GroundResidentialFee)*(1+GroundFuelSurcharge),2),ROUND((((1-GroundAKHIDiscount)*'Ground Base'!I118)+GroundResidentialFee)*(1+GroundFuelSurcharge),2)))*(1+FedEx_Markup),2)</f>
        <v>475.78</v>
      </c>
      <c r="J123" s="275">
        <f>ROUND((IF('Ground Base'!J$154&gt;ROUND(((1-GroundAKHIDiscount)*'Ground Base'!J118),2),ROUND(('Ground Base'!J$154+GroundResidentialFee)*(1+GroundFuelSurcharge),2),ROUND((((1-GroundAKHIDiscount)*'Ground Base'!J118)+GroundResidentialFee)*(1+GroundFuelSurcharge),2)))*(1+FedEx_Markup),2)</f>
        <v>475.78</v>
      </c>
      <c r="K123" s="275">
        <f>ROUND((IF('Ground Base'!K$154&gt;ROUND(((1-GroundZone51Discount)*'Ground Base'!K118),2),ROUND(('Ground Base'!K$154+GroundResidentialFee)*(1+GroundFuelSurcharge),2),ROUND((((1-GroundZone51Discount)*'Ground Base'!K118)+GroundResidentialFee)*(1+GroundFuelSurcharge),2)))*(1+FedEx_Markup),2)</f>
        <v>110.76</v>
      </c>
      <c r="L123" s="275">
        <f>ROUND((IF('Ground Base'!L$154&gt;ROUND(((1-GroundZone54Discount)*'Ground Base'!L118),2),ROUND(('Ground Base'!L$154+GroundResidentialFee)*(1+GroundFuelSurcharge),2),ROUND((((1-GroundZone54Discount)*'Ground Base'!L118)+GroundResidentialFee)*(1+GroundFuelSurcharge),2)))*(1+FedEx_Markup),2)</f>
        <v>149.48</v>
      </c>
    </row>
    <row r="124" ht="12.75" customHeight="1">
      <c r="A124" s="274">
        <v>117.0</v>
      </c>
      <c r="B124" s="275">
        <f>IFERROR(__xludf.DUMMYFUNCTION("ROUND((IF(SINGLE('Ground Base'!B$154)&gt;ROUND(((1-GroundResDiscount31Up-GroundResIncentive)*'Ground Base'!B119),2),ROUND((SINGLE('Ground Base'!B$154)+GroundResidentialFee)*(1+GroundFuelSurcharge),2),ROUND((((1-GroundResDiscount31Up-GroundResIncentive)*'Grou"&amp;"nd Base'!B119)+GroundResidentialFee)*(1+GroundFuelSurcharge),2)))*(1+FedEx_Markup),2)"),51.51)</f>
        <v>51.51</v>
      </c>
      <c r="C124" s="275">
        <f>IFERROR(__xludf.DUMMYFUNCTION("ROUND((IF(SINGLE('Ground Base'!C$154)&gt;ROUND(((1-GroundResDiscount31Up-GroundResIncentive)*'Ground Base'!C119),2),ROUND((SINGLE('Ground Base'!C$154)+GroundResidentialFee)*(1+GroundFuelSurcharge),2),ROUND((((1-GroundResDiscount31Up-GroundResIncentive)*'Grou"&amp;"nd Base'!C119)+GroundResidentialFee)*(1+GroundFuelSurcharge),2)))*(1+FedEx_Markup),2)"),52.56)</f>
        <v>52.56</v>
      </c>
      <c r="D124" s="275">
        <f>IFERROR(__xludf.DUMMYFUNCTION("ROUND((IF(SINGLE('Ground Base'!D$154)&gt;ROUND(((1-GroundResDiscount31Up-GroundResIncentive)*'Ground Base'!D119),2),ROUND((SINGLE('Ground Base'!D$154)+GroundResidentialFee)*(1+GroundFuelSurcharge),2),ROUND((((1-GroundResDiscount31Up-GroundResIncentive)*'Grou"&amp;"nd Base'!D119)+GroundResidentialFee)*(1+GroundFuelSurcharge),2)))*(1+FedEx_Markup),2)"),56.32)</f>
        <v>56.32</v>
      </c>
      <c r="E124" s="275">
        <f>IFERROR(__xludf.DUMMYFUNCTION("ROUND((IF(SINGLE('Ground Base'!E$154)&gt;ROUND(((1-GroundResDiscount31Up-GroundResIncentive)*'Ground Base'!E119),2),ROUND((SINGLE('Ground Base'!E$154)+GroundResidentialFee)*(1+GroundFuelSurcharge),2),ROUND((((1-GroundResDiscount31Up-GroundResIncentive)*'Grou"&amp;"nd Base'!E119)+GroundResidentialFee)*(1+GroundFuelSurcharge),2)))*(1+FedEx_Markup),2)"),59.32)</f>
        <v>59.32</v>
      </c>
      <c r="F124" s="275">
        <f>IFERROR(__xludf.DUMMYFUNCTION("ROUND((IF(SINGLE('Ground Base'!F$154)&gt;ROUND(((1-GroundResDiscount31Up-GroundResIncentive)*'Ground Base'!F119),2),ROUND((SINGLE('Ground Base'!F$154)+GroundResidentialFee)*(1+GroundFuelSurcharge),2),ROUND((((1-GroundResDiscount31Up-GroundResIncentive)*'Grou"&amp;"nd Base'!F119)+GroundResidentialFee)*(1+GroundFuelSurcharge),2)))*(1+FedEx_Markup),2)"),67.45)</f>
        <v>67.45</v>
      </c>
      <c r="G124" s="275">
        <f>IFERROR(__xludf.DUMMYFUNCTION("ROUND((IF(SINGLE('Ground Base'!G$154)&gt;ROUND(((1-GroundResDiscount31Up-GroundResIncentive)*'Ground Base'!G119),2),ROUND((SINGLE('Ground Base'!G$154)+GroundResidentialFee)*(1+GroundFuelSurcharge),2),ROUND((((1-GroundResDiscount31Up-GroundResIncentive)*'Grou"&amp;"nd Base'!G119)+GroundResidentialFee)*(1+GroundFuelSurcharge),2)))*(1+FedEx_Markup),2)"),74.39)</f>
        <v>74.39</v>
      </c>
      <c r="H124" s="275">
        <f>IFERROR(__xludf.DUMMYFUNCTION("ROUND((IF(SINGLE('Ground Base'!H$154)&gt;ROUND(((1-GroundResDiscount31Up-GroundResIncentive)*'Ground Base'!H119),2),ROUND((SINGLE('Ground Base'!H$154)+GroundResidentialFee)*(1+GroundFuelSurcharge),2),ROUND((((1-GroundResDiscount31Up-GroundResIncentive)*'Grou"&amp;"nd Base'!H119)+GroundResidentialFee)*(1+GroundFuelSurcharge),2)))*(1+FedEx_Markup),2)"),82.16)</f>
        <v>82.16</v>
      </c>
      <c r="I124" s="275">
        <f>ROUND((IF('Ground Base'!I$154&gt;ROUND(((1-GroundAKHIDiscount)*'Ground Base'!I119),2),ROUND(('Ground Base'!I$154+GroundResidentialFee)*(1+GroundFuelSurcharge),2),ROUND((((1-GroundAKHIDiscount)*'Ground Base'!I119)+GroundResidentialFee)*(1+GroundFuelSurcharge),2)))*(1+FedEx_Markup),2)</f>
        <v>479.53</v>
      </c>
      <c r="J124" s="275">
        <f>ROUND((IF('Ground Base'!J$154&gt;ROUND(((1-GroundAKHIDiscount)*'Ground Base'!J119),2),ROUND(('Ground Base'!J$154+GroundResidentialFee)*(1+GroundFuelSurcharge),2),ROUND((((1-GroundAKHIDiscount)*'Ground Base'!J119)+GroundResidentialFee)*(1+GroundFuelSurcharge),2)))*(1+FedEx_Markup),2)</f>
        <v>479.53</v>
      </c>
      <c r="K124" s="275">
        <f>ROUND((IF('Ground Base'!K$154&gt;ROUND(((1-GroundZone51Discount)*'Ground Base'!K119),2),ROUND(('Ground Base'!K$154+GroundResidentialFee)*(1+GroundFuelSurcharge),2),ROUND((((1-GroundZone51Discount)*'Ground Base'!K119)+GroundResidentialFee)*(1+GroundFuelSurcharge),2)))*(1+FedEx_Markup),2)</f>
        <v>110.77</v>
      </c>
      <c r="L124" s="275">
        <f>ROUND((IF('Ground Base'!L$154&gt;ROUND(((1-GroundZone54Discount)*'Ground Base'!L119),2),ROUND(('Ground Base'!L$154+GroundResidentialFee)*(1+GroundFuelSurcharge),2),ROUND((((1-GroundZone54Discount)*'Ground Base'!L119)+GroundResidentialFee)*(1+GroundFuelSurcharge),2)))*(1+FedEx_Markup),2)</f>
        <v>149.49</v>
      </c>
    </row>
    <row r="125" ht="12.75" customHeight="1">
      <c r="A125" s="274">
        <v>118.0</v>
      </c>
      <c r="B125" s="275">
        <f>IFERROR(__xludf.DUMMYFUNCTION("ROUND((IF(SINGLE('Ground Base'!B$154)&gt;ROUND(((1-GroundResDiscount31Up-GroundResIncentive)*'Ground Base'!B120),2),ROUND((SINGLE('Ground Base'!B$154)+GroundResidentialFee)*(1+GroundFuelSurcharge),2),ROUND((((1-GroundResDiscount31Up-GroundResIncentive)*'Grou"&amp;"nd Base'!B120)+GroundResidentialFee)*(1+GroundFuelSurcharge),2)))*(1+FedEx_Markup),2)"),52.04)</f>
        <v>52.04</v>
      </c>
      <c r="C125" s="275">
        <f>IFERROR(__xludf.DUMMYFUNCTION("ROUND((IF(SINGLE('Ground Base'!C$154)&gt;ROUND(((1-GroundResDiscount31Up-GroundResIncentive)*'Ground Base'!C120),2),ROUND((SINGLE('Ground Base'!C$154)+GroundResidentialFee)*(1+GroundFuelSurcharge),2),ROUND((((1-GroundResDiscount31Up-GroundResIncentive)*'Grou"&amp;"nd Base'!C120)+GroundResidentialFee)*(1+GroundFuelSurcharge),2)))*(1+FedEx_Markup),2)"),53.14)</f>
        <v>53.14</v>
      </c>
      <c r="D125" s="275">
        <f>IFERROR(__xludf.DUMMYFUNCTION("ROUND((IF(SINGLE('Ground Base'!D$154)&gt;ROUND(((1-GroundResDiscount31Up-GroundResIncentive)*'Ground Base'!D120),2),ROUND((SINGLE('Ground Base'!D$154)+GroundResidentialFee)*(1+GroundFuelSurcharge),2),ROUND((((1-GroundResDiscount31Up-GroundResIncentive)*'Grou"&amp;"nd Base'!D120)+GroundResidentialFee)*(1+GroundFuelSurcharge),2)))*(1+FedEx_Markup),2)"),56.37)</f>
        <v>56.37</v>
      </c>
      <c r="E125" s="275">
        <f>IFERROR(__xludf.DUMMYFUNCTION("ROUND((IF(SINGLE('Ground Base'!E$154)&gt;ROUND(((1-GroundResDiscount31Up-GroundResIncentive)*'Ground Base'!E120),2),ROUND((SINGLE('Ground Base'!E$154)+GroundResidentialFee)*(1+GroundFuelSurcharge),2),ROUND((((1-GroundResDiscount31Up-GroundResIncentive)*'Grou"&amp;"nd Base'!E120)+GroundResidentialFee)*(1+GroundFuelSurcharge),2)))*(1+FedEx_Markup),2)"),59.48)</f>
        <v>59.48</v>
      </c>
      <c r="F125" s="275">
        <f>IFERROR(__xludf.DUMMYFUNCTION("ROUND((IF(SINGLE('Ground Base'!F$154)&gt;ROUND(((1-GroundResDiscount31Up-GroundResIncentive)*'Ground Base'!F120),2),ROUND((SINGLE('Ground Base'!F$154)+GroundResidentialFee)*(1+GroundFuelSurcharge),2),ROUND((((1-GroundResDiscount31Up-GroundResIncentive)*'Grou"&amp;"nd Base'!F120)+GroundResidentialFee)*(1+GroundFuelSurcharge),2)))*(1+FedEx_Markup),2)"),67.92)</f>
        <v>67.92</v>
      </c>
      <c r="G125" s="275">
        <f>IFERROR(__xludf.DUMMYFUNCTION("ROUND((IF(SINGLE('Ground Base'!G$154)&gt;ROUND(((1-GroundResDiscount31Up-GroundResIncentive)*'Ground Base'!G120),2),ROUND((SINGLE('Ground Base'!G$154)+GroundResidentialFee)*(1+GroundFuelSurcharge),2),ROUND((((1-GroundResDiscount31Up-GroundResIncentive)*'Grou"&amp;"nd Base'!G120)+GroundResidentialFee)*(1+GroundFuelSurcharge),2)))*(1+FedEx_Markup),2)"),74.41)</f>
        <v>74.41</v>
      </c>
      <c r="H125" s="275">
        <f>IFERROR(__xludf.DUMMYFUNCTION("ROUND((IF(SINGLE('Ground Base'!H$154)&gt;ROUND(((1-GroundResDiscount31Up-GroundResIncentive)*'Ground Base'!H120),2),ROUND((SINGLE('Ground Base'!H$154)+GroundResidentialFee)*(1+GroundFuelSurcharge),2),ROUND((((1-GroundResDiscount31Up-GroundResIncentive)*'Grou"&amp;"nd Base'!H120)+GroundResidentialFee)*(1+GroundFuelSurcharge),2)))*(1+FedEx_Markup),2)"),83.52)</f>
        <v>83.52</v>
      </c>
      <c r="I125" s="275">
        <f>ROUND((IF('Ground Base'!I$154&gt;ROUND(((1-GroundAKHIDiscount)*'Ground Base'!I120),2),ROUND(('Ground Base'!I$154+GroundResidentialFee)*(1+GroundFuelSurcharge),2),ROUND((((1-GroundAKHIDiscount)*'Ground Base'!I120)+GroundResidentialFee)*(1+GroundFuelSurcharge),2)))*(1+FedEx_Markup),2)</f>
        <v>483.3</v>
      </c>
      <c r="J125" s="275">
        <f>ROUND((IF('Ground Base'!J$154&gt;ROUND(((1-GroundAKHIDiscount)*'Ground Base'!J120),2),ROUND(('Ground Base'!J$154+GroundResidentialFee)*(1+GroundFuelSurcharge),2),ROUND((((1-GroundAKHIDiscount)*'Ground Base'!J120)+GroundResidentialFee)*(1+GroundFuelSurcharge),2)))*(1+FedEx_Markup),2)</f>
        <v>483.3</v>
      </c>
      <c r="K125" s="275">
        <f>ROUND((IF('Ground Base'!K$154&gt;ROUND(((1-GroundZone51Discount)*'Ground Base'!K120),2),ROUND(('Ground Base'!K$154+GroundResidentialFee)*(1+GroundFuelSurcharge),2),ROUND((((1-GroundZone51Discount)*'Ground Base'!K120)+GroundResidentialFee)*(1+GroundFuelSurcharge),2)))*(1+FedEx_Markup),2)</f>
        <v>110.78</v>
      </c>
      <c r="L125" s="275">
        <f>ROUND((IF('Ground Base'!L$154&gt;ROUND(((1-GroundZone54Discount)*'Ground Base'!L120),2),ROUND(('Ground Base'!L$154+GroundResidentialFee)*(1+GroundFuelSurcharge),2),ROUND((((1-GroundZone54Discount)*'Ground Base'!L120)+GroundResidentialFee)*(1+GroundFuelSurcharge),2)))*(1+FedEx_Markup),2)</f>
        <v>149.5</v>
      </c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ht="12.75" customHeight="1">
      <c r="A126" s="274">
        <v>119.0</v>
      </c>
      <c r="B126" s="275">
        <f>IFERROR(__xludf.DUMMYFUNCTION("ROUND((IF(SINGLE('Ground Base'!B$154)&gt;ROUND(((1-GroundResDiscount31Up-GroundResIncentive)*'Ground Base'!B121),2),ROUND((SINGLE('Ground Base'!B$154)+GroundResidentialFee)*(1+GroundFuelSurcharge),2),ROUND((((1-GroundResDiscount31Up-GroundResIncentive)*'Grou"&amp;"nd Base'!B121)+GroundResidentialFee)*(1+GroundFuelSurcharge),2)))*(1+FedEx_Markup),2)"),53.5)</f>
        <v>53.5</v>
      </c>
      <c r="C126" s="275">
        <f>IFERROR(__xludf.DUMMYFUNCTION("ROUND((IF(SINGLE('Ground Base'!C$154)&gt;ROUND(((1-GroundResDiscount31Up-GroundResIncentive)*'Ground Base'!C121),2),ROUND((SINGLE('Ground Base'!C$154)+GroundResidentialFee)*(1+GroundFuelSurcharge),2),ROUND((((1-GroundResDiscount31Up-GroundResIncentive)*'Grou"&amp;"nd Base'!C121)+GroundResidentialFee)*(1+GroundFuelSurcharge),2)))*(1+FedEx_Markup),2)"),54.18)</f>
        <v>54.18</v>
      </c>
      <c r="D126" s="275">
        <f>IFERROR(__xludf.DUMMYFUNCTION("ROUND((IF(SINGLE('Ground Base'!D$154)&gt;ROUND(((1-GroundResDiscount31Up-GroundResIncentive)*'Ground Base'!D121),2),ROUND((SINGLE('Ground Base'!D$154)+GroundResidentialFee)*(1+GroundFuelSurcharge),2),ROUND((((1-GroundResDiscount31Up-GroundResIncentive)*'Grou"&amp;"nd Base'!D121)+GroundResidentialFee)*(1+GroundFuelSurcharge),2)))*(1+FedEx_Markup),2)"),57.96)</f>
        <v>57.96</v>
      </c>
      <c r="E126" s="275">
        <f>IFERROR(__xludf.DUMMYFUNCTION("ROUND((IF(SINGLE('Ground Base'!E$154)&gt;ROUND(((1-GroundResDiscount31Up-GroundResIncentive)*'Ground Base'!E121),2),ROUND((SINGLE('Ground Base'!E$154)+GroundResidentialFee)*(1+GroundFuelSurcharge),2),ROUND((((1-GroundResDiscount31Up-GroundResIncentive)*'Grou"&amp;"nd Base'!E121)+GroundResidentialFee)*(1+GroundFuelSurcharge),2)))*(1+FedEx_Markup),2)"),60.34)</f>
        <v>60.34</v>
      </c>
      <c r="F126" s="275">
        <f>IFERROR(__xludf.DUMMYFUNCTION("ROUND((IF(SINGLE('Ground Base'!F$154)&gt;ROUND(((1-GroundResDiscount31Up-GroundResIncentive)*'Ground Base'!F121),2),ROUND((SINGLE('Ground Base'!F$154)+GroundResidentialFee)*(1+GroundFuelSurcharge),2),ROUND((((1-GroundResDiscount31Up-GroundResIncentive)*'Grou"&amp;"nd Base'!F121)+GroundResidentialFee)*(1+GroundFuelSurcharge),2)))*(1+FedEx_Markup),2)"),67.92)</f>
        <v>67.92</v>
      </c>
      <c r="G126" s="275">
        <f>IFERROR(__xludf.DUMMYFUNCTION("ROUND((IF(SINGLE('Ground Base'!G$154)&gt;ROUND(((1-GroundResDiscount31Up-GroundResIncentive)*'Ground Base'!G121),2),ROUND((SINGLE('Ground Base'!G$154)+GroundResidentialFee)*(1+GroundFuelSurcharge),2),ROUND((((1-GroundResDiscount31Up-GroundResIncentive)*'Grou"&amp;"nd Base'!G121)+GroundResidentialFee)*(1+GroundFuelSurcharge),2)))*(1+FedEx_Markup),2)"),74.97)</f>
        <v>74.97</v>
      </c>
      <c r="H126" s="275">
        <f>IFERROR(__xludf.DUMMYFUNCTION("ROUND((IF(SINGLE('Ground Base'!H$154)&gt;ROUND(((1-GroundResDiscount31Up-GroundResIncentive)*'Ground Base'!H121),2),ROUND((SINGLE('Ground Base'!H$154)+GroundResidentialFee)*(1+GroundFuelSurcharge),2),ROUND((((1-GroundResDiscount31Up-GroundResIncentive)*'Grou"&amp;"nd Base'!H121)+GroundResidentialFee)*(1+GroundFuelSurcharge),2)))*(1+FedEx_Markup),2)"),83.52)</f>
        <v>83.52</v>
      </c>
      <c r="I126" s="275">
        <f>ROUND((IF('Ground Base'!I$154&gt;ROUND(((1-GroundAKHIDiscount)*'Ground Base'!I121),2),ROUND(('Ground Base'!I$154+GroundResidentialFee)*(1+GroundFuelSurcharge),2),ROUND((((1-GroundAKHIDiscount)*'Ground Base'!I121)+GroundResidentialFee)*(1+GroundFuelSurcharge),2)))*(1+FedEx_Markup),2)</f>
        <v>490.26</v>
      </c>
      <c r="J126" s="275">
        <f>ROUND((IF('Ground Base'!J$154&gt;ROUND(((1-GroundAKHIDiscount)*'Ground Base'!J121),2),ROUND(('Ground Base'!J$154+GroundResidentialFee)*(1+GroundFuelSurcharge),2),ROUND((((1-GroundAKHIDiscount)*'Ground Base'!J121)+GroundResidentialFee)*(1+GroundFuelSurcharge),2)))*(1+FedEx_Markup),2)</f>
        <v>490.26</v>
      </c>
      <c r="K126" s="275">
        <f>ROUND((IF('Ground Base'!K$154&gt;ROUND(((1-GroundZone51Discount)*'Ground Base'!K121),2),ROUND(('Ground Base'!K$154+GroundResidentialFee)*(1+GroundFuelSurcharge),2),ROUND((((1-GroundZone51Discount)*'Ground Base'!K121)+GroundResidentialFee)*(1+GroundFuelSurcharge),2)))*(1+FedEx_Markup),2)</f>
        <v>110.79</v>
      </c>
      <c r="L126" s="275">
        <f>ROUND((IF('Ground Base'!L$154&gt;ROUND(((1-GroundZone54Discount)*'Ground Base'!L121),2),ROUND(('Ground Base'!L$154+GroundResidentialFee)*(1+GroundFuelSurcharge),2),ROUND((((1-GroundZone54Discount)*'Ground Base'!L121)+GroundResidentialFee)*(1+GroundFuelSurcharge),2)))*(1+FedEx_Markup),2)</f>
        <v>149.5</v>
      </c>
    </row>
    <row r="127" ht="12.75" customHeight="1">
      <c r="A127" s="274">
        <v>120.0</v>
      </c>
      <c r="B127" s="275">
        <f>IFERROR(__xludf.DUMMYFUNCTION("ROUND((IF(SINGLE('Ground Base'!B$154)&gt;ROUND(((1-GroundResDiscount31Up-GroundResIncentive)*'Ground Base'!B122),2),ROUND((SINGLE('Ground Base'!B$154)+GroundResidentialFee)*(1+GroundFuelSurcharge),2),ROUND((((1-GroundResDiscount31Up-GroundResIncentive)*'Grou"&amp;"nd Base'!B122)+GroundResidentialFee)*(1+GroundFuelSurcharge),2)))*(1+FedEx_Markup),2)"),54.87)</f>
        <v>54.87</v>
      </c>
      <c r="C127" s="275">
        <f>IFERROR(__xludf.DUMMYFUNCTION("ROUND((IF(SINGLE('Ground Base'!C$154)&gt;ROUND(((1-GroundResDiscount31Up-GroundResIncentive)*'Ground Base'!C122),2),ROUND((SINGLE('Ground Base'!C$154)+GroundResidentialFee)*(1+GroundFuelSurcharge),2),ROUND((((1-GroundResDiscount31Up-GroundResIncentive)*'Grou"&amp;"nd Base'!C122)+GroundResidentialFee)*(1+GroundFuelSurcharge),2)))*(1+FedEx_Markup),2)"),54.91)</f>
        <v>54.91</v>
      </c>
      <c r="D127" s="275">
        <f>IFERROR(__xludf.DUMMYFUNCTION("ROUND((IF(SINGLE('Ground Base'!D$154)&gt;ROUND(((1-GroundResDiscount31Up-GroundResIncentive)*'Ground Base'!D122),2),ROUND((SINGLE('Ground Base'!D$154)+GroundResidentialFee)*(1+GroundFuelSurcharge),2),ROUND((((1-GroundResDiscount31Up-GroundResIncentive)*'Grou"&amp;"nd Base'!D122)+GroundResidentialFee)*(1+GroundFuelSurcharge),2)))*(1+FedEx_Markup),2)"),58.04)</f>
        <v>58.04</v>
      </c>
      <c r="E127" s="275">
        <f>IFERROR(__xludf.DUMMYFUNCTION("ROUND((IF(SINGLE('Ground Base'!E$154)&gt;ROUND(((1-GroundResDiscount31Up-GroundResIncentive)*'Ground Base'!E122),2),ROUND((SINGLE('Ground Base'!E$154)+GroundResidentialFee)*(1+GroundFuelSurcharge),2),ROUND((((1-GroundResDiscount31Up-GroundResIncentive)*'Grou"&amp;"nd Base'!E122)+GroundResidentialFee)*(1+GroundFuelSurcharge),2)))*(1+FedEx_Markup),2)"),60.73)</f>
        <v>60.73</v>
      </c>
      <c r="F127" s="275">
        <f>IFERROR(__xludf.DUMMYFUNCTION("ROUND((IF(SINGLE('Ground Base'!F$154)&gt;ROUND(((1-GroundResDiscount31Up-GroundResIncentive)*'Ground Base'!F122),2),ROUND((SINGLE('Ground Base'!F$154)+GroundResidentialFee)*(1+GroundFuelSurcharge),2),ROUND((((1-GroundResDiscount31Up-GroundResIncentive)*'Grou"&amp;"nd Base'!F122)+GroundResidentialFee)*(1+GroundFuelSurcharge),2)))*(1+FedEx_Markup),2)"),69.06)</f>
        <v>69.06</v>
      </c>
      <c r="G127" s="275">
        <f>IFERROR(__xludf.DUMMYFUNCTION("ROUND((IF(SINGLE('Ground Base'!G$154)&gt;ROUND(((1-GroundResDiscount31Up-GroundResIncentive)*'Ground Base'!G122),2),ROUND((SINGLE('Ground Base'!G$154)+GroundResidentialFee)*(1+GroundFuelSurcharge),2),ROUND((((1-GroundResDiscount31Up-GroundResIncentive)*'Grou"&amp;"nd Base'!G122)+GroundResidentialFee)*(1+GroundFuelSurcharge),2)))*(1+FedEx_Markup),2)"),75.91)</f>
        <v>75.91</v>
      </c>
      <c r="H127" s="275">
        <f>IFERROR(__xludf.DUMMYFUNCTION("ROUND((IF(SINGLE('Ground Base'!H$154)&gt;ROUND(((1-GroundResDiscount31Up-GroundResIncentive)*'Ground Base'!H122),2),ROUND((SINGLE('Ground Base'!H$154)+GroundResidentialFee)*(1+GroundFuelSurcharge),2),ROUND((((1-GroundResDiscount31Up-GroundResIncentive)*'Grou"&amp;"nd Base'!H122)+GroundResidentialFee)*(1+GroundFuelSurcharge),2)))*(1+FedEx_Markup),2)"),83.54)</f>
        <v>83.54</v>
      </c>
      <c r="I127" s="275">
        <f>ROUND((IF('Ground Base'!I$154&gt;ROUND(((1-GroundAKHIDiscount)*'Ground Base'!I122),2),ROUND(('Ground Base'!I$154+GroundResidentialFee)*(1+GroundFuelSurcharge),2),ROUND((((1-GroundAKHIDiscount)*'Ground Base'!I122)+GroundResidentialFee)*(1+GroundFuelSurcharge),2)))*(1+FedEx_Markup),2)</f>
        <v>494.25</v>
      </c>
      <c r="J127" s="275">
        <f>ROUND((IF('Ground Base'!J$154&gt;ROUND(((1-GroundAKHIDiscount)*'Ground Base'!J122),2),ROUND(('Ground Base'!J$154+GroundResidentialFee)*(1+GroundFuelSurcharge),2),ROUND((((1-GroundAKHIDiscount)*'Ground Base'!J122)+GroundResidentialFee)*(1+GroundFuelSurcharge),2)))*(1+FedEx_Markup),2)</f>
        <v>494.25</v>
      </c>
      <c r="K127" s="275">
        <f>ROUND((IF('Ground Base'!K$154&gt;ROUND(((1-GroundZone51Discount)*'Ground Base'!K122),2),ROUND(('Ground Base'!K$154+GroundResidentialFee)*(1+GroundFuelSurcharge),2),ROUND((((1-GroundZone51Discount)*'Ground Base'!K122)+GroundResidentialFee)*(1+GroundFuelSurcharge),2)))*(1+FedEx_Markup),2)</f>
        <v>110.79</v>
      </c>
      <c r="L127" s="275">
        <f>ROUND((IF('Ground Base'!L$154&gt;ROUND(((1-GroundZone54Discount)*'Ground Base'!L122),2),ROUND(('Ground Base'!L$154+GroundResidentialFee)*(1+GroundFuelSurcharge),2),ROUND((((1-GroundZone54Discount)*'Ground Base'!L122)+GroundResidentialFee)*(1+GroundFuelSurcharge),2)))*(1+FedEx_Markup),2)</f>
        <v>149.51</v>
      </c>
    </row>
    <row r="128" ht="12.75" customHeight="1">
      <c r="A128" s="274">
        <v>121.0</v>
      </c>
      <c r="B128" s="275">
        <f>IFERROR(__xludf.DUMMYFUNCTION("ROUND((IF(SINGLE('Ground Base'!B$154)&gt;ROUND(((1-GroundResDiscount31Up-GroundResIncentive)*'Ground Base'!B123),2),ROUND((SINGLE('Ground Base'!B$154)+GroundResidentialFee)*(1+GroundFuelSurcharge),2),ROUND((((1-GroundResDiscount31Up-GroundResIncentive)*'Grou"&amp;"nd Base'!B123)+GroundResidentialFee)*(1+GroundFuelSurcharge),2)))*(1+FedEx_Markup),2)"),54.88)</f>
        <v>54.88</v>
      </c>
      <c r="C128" s="275">
        <f>IFERROR(__xludf.DUMMYFUNCTION("ROUND((IF(SINGLE('Ground Base'!C$154)&gt;ROUND(((1-GroundResDiscount31Up-GroundResIncentive)*'Ground Base'!C123),2),ROUND((SINGLE('Ground Base'!C$154)+GroundResidentialFee)*(1+GroundFuelSurcharge),2),ROUND((((1-GroundResDiscount31Up-GroundResIncentive)*'Grou"&amp;"nd Base'!C123)+GroundResidentialFee)*(1+GroundFuelSurcharge),2)))*(1+FedEx_Markup),2)"),54.92)</f>
        <v>54.92</v>
      </c>
      <c r="D128" s="275">
        <f>IFERROR(__xludf.DUMMYFUNCTION("ROUND((IF(SINGLE('Ground Base'!D$154)&gt;ROUND(((1-GroundResDiscount31Up-GroundResIncentive)*'Ground Base'!D123),2),ROUND((SINGLE('Ground Base'!D$154)+GroundResidentialFee)*(1+GroundFuelSurcharge),2),ROUND((((1-GroundResDiscount31Up-GroundResIncentive)*'Grou"&amp;"nd Base'!D123)+GroundResidentialFee)*(1+GroundFuelSurcharge),2)))*(1+FedEx_Markup),2)"),58.04)</f>
        <v>58.04</v>
      </c>
      <c r="E128" s="275">
        <f>IFERROR(__xludf.DUMMYFUNCTION("ROUND((IF(SINGLE('Ground Base'!E$154)&gt;ROUND(((1-GroundResDiscount31Up-GroundResIncentive)*'Ground Base'!E123),2),ROUND((SINGLE('Ground Base'!E$154)+GroundResidentialFee)*(1+GroundFuelSurcharge),2),ROUND((((1-GroundResDiscount31Up-GroundResIncentive)*'Grou"&amp;"nd Base'!E123)+GroundResidentialFee)*(1+GroundFuelSurcharge),2)))*(1+FedEx_Markup),2)"),60.74)</f>
        <v>60.74</v>
      </c>
      <c r="F128" s="275">
        <f>IFERROR(__xludf.DUMMYFUNCTION("ROUND((IF(SINGLE('Ground Base'!F$154)&gt;ROUND(((1-GroundResDiscount31Up-GroundResIncentive)*'Ground Base'!F123),2),ROUND((SINGLE('Ground Base'!F$154)+GroundResidentialFee)*(1+GroundFuelSurcharge),2),ROUND((((1-GroundResDiscount31Up-GroundResIncentive)*'Grou"&amp;"nd Base'!F123)+GroundResidentialFee)*(1+GroundFuelSurcharge),2)))*(1+FedEx_Markup),2)"),69.48)</f>
        <v>69.48</v>
      </c>
      <c r="G128" s="275">
        <f>IFERROR(__xludf.DUMMYFUNCTION("ROUND((IF(SINGLE('Ground Base'!G$154)&gt;ROUND(((1-GroundResDiscount31Up-GroundResIncentive)*'Ground Base'!G123),2),ROUND((SINGLE('Ground Base'!G$154)+GroundResidentialFee)*(1+GroundFuelSurcharge),2),ROUND((((1-GroundResDiscount31Up-GroundResIncentive)*'Grou"&amp;"nd Base'!G123)+GroundResidentialFee)*(1+GroundFuelSurcharge),2)))*(1+FedEx_Markup),2)"),75.92)</f>
        <v>75.92</v>
      </c>
      <c r="H128" s="275">
        <f>IFERROR(__xludf.DUMMYFUNCTION("ROUND((IF(SINGLE('Ground Base'!H$154)&gt;ROUND(((1-GroundResDiscount31Up-GroundResIncentive)*'Ground Base'!H123),2),ROUND((SINGLE('Ground Base'!H$154)+GroundResidentialFee)*(1+GroundFuelSurcharge),2),ROUND((((1-GroundResDiscount31Up-GroundResIncentive)*'Grou"&amp;"nd Base'!H123)+GroundResidentialFee)*(1+GroundFuelSurcharge),2)))*(1+FedEx_Markup),2)"),83.54)</f>
        <v>83.54</v>
      </c>
      <c r="I128" s="275">
        <f>ROUND((IF('Ground Base'!I$154&gt;ROUND(((1-GroundAKHIDiscount)*'Ground Base'!I123),2),ROUND(('Ground Base'!I$154+GroundResidentialFee)*(1+GroundFuelSurcharge),2),ROUND((((1-GroundAKHIDiscount)*'Ground Base'!I123)+GroundResidentialFee)*(1+GroundFuelSurcharge),2)))*(1+FedEx_Markup),2)</f>
        <v>497.54</v>
      </c>
      <c r="J128" s="275">
        <f>ROUND((IF('Ground Base'!J$154&gt;ROUND(((1-GroundAKHIDiscount)*'Ground Base'!J123),2),ROUND(('Ground Base'!J$154+GroundResidentialFee)*(1+GroundFuelSurcharge),2),ROUND((((1-GroundAKHIDiscount)*'Ground Base'!J123)+GroundResidentialFee)*(1+GroundFuelSurcharge),2)))*(1+FedEx_Markup),2)</f>
        <v>497.54</v>
      </c>
      <c r="K128" s="275">
        <f>ROUND((IF('Ground Base'!K$154&gt;ROUND(((1-GroundZone51Discount)*'Ground Base'!K123),2),ROUND(('Ground Base'!K$154+GroundResidentialFee)*(1+GroundFuelSurcharge),2),ROUND((((1-GroundZone51Discount)*'Ground Base'!K123)+GroundResidentialFee)*(1+GroundFuelSurcharge),2)))*(1+FedEx_Markup),2)</f>
        <v>113.29</v>
      </c>
      <c r="L128" s="275">
        <f>ROUND((IF('Ground Base'!L$154&gt;ROUND(((1-GroundZone54Discount)*'Ground Base'!L123),2),ROUND(('Ground Base'!L$154+GroundResidentialFee)*(1+GroundFuelSurcharge),2),ROUND((((1-GroundZone54Discount)*'Ground Base'!L123)+GroundResidentialFee)*(1+GroundFuelSurcharge),2)))*(1+FedEx_Markup),2)</f>
        <v>154.81</v>
      </c>
    </row>
    <row r="129" ht="12.75" customHeight="1">
      <c r="A129" s="274">
        <v>122.0</v>
      </c>
      <c r="B129" s="275">
        <f>IFERROR(__xludf.DUMMYFUNCTION("ROUND((IF(SINGLE('Ground Base'!B$154)&gt;ROUND(((1-GroundResDiscount31Up-GroundResIncentive)*'Ground Base'!B124),2),ROUND((SINGLE('Ground Base'!B$154)+GroundResidentialFee)*(1+GroundFuelSurcharge),2),ROUND((((1-GroundResDiscount31Up-GroundResIncentive)*'Grou"&amp;"nd Base'!B124)+GroundResidentialFee)*(1+GroundFuelSurcharge),2)))*(1+FedEx_Markup),2)"),54.88)</f>
        <v>54.88</v>
      </c>
      <c r="C129" s="275">
        <f>IFERROR(__xludf.DUMMYFUNCTION("ROUND((IF(SINGLE('Ground Base'!C$154)&gt;ROUND(((1-GroundResDiscount31Up-GroundResIncentive)*'Ground Base'!C124),2),ROUND((SINGLE('Ground Base'!C$154)+GroundResidentialFee)*(1+GroundFuelSurcharge),2),ROUND((((1-GroundResDiscount31Up-GroundResIncentive)*'Grou"&amp;"nd Base'!C124)+GroundResidentialFee)*(1+GroundFuelSurcharge),2)))*(1+FedEx_Markup),2)"),55.92)</f>
        <v>55.92</v>
      </c>
      <c r="D129" s="275">
        <f>IFERROR(__xludf.DUMMYFUNCTION("ROUND((IF(SINGLE('Ground Base'!D$154)&gt;ROUND(((1-GroundResDiscount31Up-GroundResIncentive)*'Ground Base'!D124),2),ROUND((SINGLE('Ground Base'!D$154)+GroundResidentialFee)*(1+GroundFuelSurcharge),2),ROUND((((1-GroundResDiscount31Up-GroundResIncentive)*'Grou"&amp;"nd Base'!D124)+GroundResidentialFee)*(1+GroundFuelSurcharge),2)))*(1+FedEx_Markup),2)"),58.58)</f>
        <v>58.58</v>
      </c>
      <c r="E129" s="275">
        <f>IFERROR(__xludf.DUMMYFUNCTION("ROUND((IF(SINGLE('Ground Base'!E$154)&gt;ROUND(((1-GroundResDiscount31Up-GroundResIncentive)*'Ground Base'!E124),2),ROUND((SINGLE('Ground Base'!E$154)+GroundResidentialFee)*(1+GroundFuelSurcharge),2),ROUND((((1-GroundResDiscount31Up-GroundResIncentive)*'Grou"&amp;"nd Base'!E124)+GroundResidentialFee)*(1+GroundFuelSurcharge),2)))*(1+FedEx_Markup),2)"),61.26)</f>
        <v>61.26</v>
      </c>
      <c r="F129" s="275">
        <f>IFERROR(__xludf.DUMMYFUNCTION("ROUND((IF(SINGLE('Ground Base'!F$154)&gt;ROUND(((1-GroundResDiscount31Up-GroundResIncentive)*'Ground Base'!F124),2),ROUND((SINGLE('Ground Base'!F$154)+GroundResidentialFee)*(1+GroundFuelSurcharge),2),ROUND((((1-GroundResDiscount31Up-GroundResIncentive)*'Grou"&amp;"nd Base'!F124)+GroundResidentialFee)*(1+GroundFuelSurcharge),2)))*(1+FedEx_Markup),2)"),70.0)</f>
        <v>70</v>
      </c>
      <c r="G129" s="275">
        <f>IFERROR(__xludf.DUMMYFUNCTION("ROUND((IF(SINGLE('Ground Base'!G$154)&gt;ROUND(((1-GroundResDiscount31Up-GroundResIncentive)*'Ground Base'!G124),2),ROUND((SINGLE('Ground Base'!G$154)+GroundResidentialFee)*(1+GroundFuelSurcharge),2),ROUND((((1-GroundResDiscount31Up-GroundResIncentive)*'Grou"&amp;"nd Base'!G124)+GroundResidentialFee)*(1+GroundFuelSurcharge),2)))*(1+FedEx_Markup),2)"),77.07)</f>
        <v>77.07</v>
      </c>
      <c r="H129" s="275">
        <f>IFERROR(__xludf.DUMMYFUNCTION("ROUND((IF(SINGLE('Ground Base'!H$154)&gt;ROUND(((1-GroundResDiscount31Up-GroundResIncentive)*'Ground Base'!H124),2),ROUND((SINGLE('Ground Base'!H$154)+GroundResidentialFee)*(1+GroundFuelSurcharge),2),ROUND((((1-GroundResDiscount31Up-GroundResIncentive)*'Grou"&amp;"nd Base'!H124)+GroundResidentialFee)*(1+GroundFuelSurcharge),2)))*(1+FedEx_Markup),2)"),84.95)</f>
        <v>84.95</v>
      </c>
      <c r="I129" s="275">
        <f>ROUND((IF('Ground Base'!I$154&gt;ROUND(((1-GroundAKHIDiscount)*'Ground Base'!I124),2),ROUND(('Ground Base'!I$154+GroundResidentialFee)*(1+GroundFuelSurcharge),2),ROUND((((1-GroundAKHIDiscount)*'Ground Base'!I124)+GroundResidentialFee)*(1+GroundFuelSurcharge),2)))*(1+FedEx_Markup),2)</f>
        <v>506.41</v>
      </c>
      <c r="J129" s="275">
        <f>ROUND((IF('Ground Base'!J$154&gt;ROUND(((1-GroundAKHIDiscount)*'Ground Base'!J124),2),ROUND(('Ground Base'!J$154+GroundResidentialFee)*(1+GroundFuelSurcharge),2),ROUND((((1-GroundAKHIDiscount)*'Ground Base'!J124)+GroundResidentialFee)*(1+GroundFuelSurcharge),2)))*(1+FedEx_Markup),2)</f>
        <v>506.41</v>
      </c>
      <c r="K129" s="275">
        <f>ROUND((IF('Ground Base'!K$154&gt;ROUND(((1-GroundZone51Discount)*'Ground Base'!K124),2),ROUND(('Ground Base'!K$154+GroundResidentialFee)*(1+GroundFuelSurcharge),2),ROUND((((1-GroundZone51Discount)*'Ground Base'!K124)+GroundResidentialFee)*(1+GroundFuelSurcharge),2)))*(1+FedEx_Markup),2)</f>
        <v>113.29</v>
      </c>
      <c r="L129" s="275">
        <f>ROUND((IF('Ground Base'!L$154&gt;ROUND(((1-GroundZone54Discount)*'Ground Base'!L124),2),ROUND(('Ground Base'!L$154+GroundResidentialFee)*(1+GroundFuelSurcharge),2),ROUND((((1-GroundZone54Discount)*'Ground Base'!L124)+GroundResidentialFee)*(1+GroundFuelSurcharge),2)))*(1+FedEx_Markup),2)</f>
        <v>154.82</v>
      </c>
    </row>
    <row r="130" ht="12.75" customHeight="1">
      <c r="A130" s="274">
        <v>123.0</v>
      </c>
      <c r="B130" s="275">
        <f>IFERROR(__xludf.DUMMYFUNCTION("ROUND((IF(SINGLE('Ground Base'!B$154)&gt;ROUND(((1-GroundResDiscount31Up-GroundResIncentive)*'Ground Base'!B125),2),ROUND((SINGLE('Ground Base'!B$154)+GroundResidentialFee)*(1+GroundFuelSurcharge),2),ROUND((((1-GroundResDiscount31Up-GroundResIncentive)*'Grou"&amp;"nd Base'!B125)+GroundResidentialFee)*(1+GroundFuelSurcharge),2)))*(1+FedEx_Markup),2)"),55.35)</f>
        <v>55.35</v>
      </c>
      <c r="C130" s="275">
        <f>IFERROR(__xludf.DUMMYFUNCTION("ROUND((IF(SINGLE('Ground Base'!C$154)&gt;ROUND(((1-GroundResDiscount31Up-GroundResIncentive)*'Ground Base'!C125),2),ROUND((SINGLE('Ground Base'!C$154)+GroundResidentialFee)*(1+GroundFuelSurcharge),2),ROUND((((1-GroundResDiscount31Up-GroundResIncentive)*'Grou"&amp;"nd Base'!C125)+GroundResidentialFee)*(1+GroundFuelSurcharge),2)))*(1+FedEx_Markup),2)"),55.97)</f>
        <v>55.97</v>
      </c>
      <c r="D130" s="275">
        <f>IFERROR(__xludf.DUMMYFUNCTION("ROUND((IF(SINGLE('Ground Base'!D$154)&gt;ROUND(((1-GroundResDiscount31Up-GroundResIncentive)*'Ground Base'!D125),2),ROUND((SINGLE('Ground Base'!D$154)+GroundResidentialFee)*(1+GroundFuelSurcharge),2),ROUND((((1-GroundResDiscount31Up-GroundResIncentive)*'Grou"&amp;"nd Base'!D125)+GroundResidentialFee)*(1+GroundFuelSurcharge),2)))*(1+FedEx_Markup),2)"),60.26)</f>
        <v>60.26</v>
      </c>
      <c r="E130" s="275">
        <f>IFERROR(__xludf.DUMMYFUNCTION("ROUND((IF(SINGLE('Ground Base'!E$154)&gt;ROUND(((1-GroundResDiscount31Up-GroundResIncentive)*'Ground Base'!E125),2),ROUND((SINGLE('Ground Base'!E$154)+GroundResidentialFee)*(1+GroundFuelSurcharge),2),ROUND((((1-GroundResDiscount31Up-GroundResIncentive)*'Grou"&amp;"nd Base'!E125)+GroundResidentialFee)*(1+GroundFuelSurcharge),2)))*(1+FedEx_Markup),2)"),62.86)</f>
        <v>62.86</v>
      </c>
      <c r="F130" s="275">
        <f>IFERROR(__xludf.DUMMYFUNCTION("ROUND((IF(SINGLE('Ground Base'!F$154)&gt;ROUND(((1-GroundResDiscount31Up-GroundResIncentive)*'Ground Base'!F125),2),ROUND((SINGLE('Ground Base'!F$154)+GroundResidentialFee)*(1+GroundFuelSurcharge),2),ROUND((((1-GroundResDiscount31Up-GroundResIncentive)*'Grou"&amp;"nd Base'!F125)+GroundResidentialFee)*(1+GroundFuelSurcharge),2)))*(1+FedEx_Markup),2)"),70.53)</f>
        <v>70.53</v>
      </c>
      <c r="G130" s="275">
        <f>IFERROR(__xludf.DUMMYFUNCTION("ROUND((IF(SINGLE('Ground Base'!G$154)&gt;ROUND(((1-GroundResDiscount31Up-GroundResIncentive)*'Ground Base'!G125),2),ROUND((SINGLE('Ground Base'!G$154)+GroundResidentialFee)*(1+GroundFuelSurcharge),2),ROUND((((1-GroundResDiscount31Up-GroundResIncentive)*'Grou"&amp;"nd Base'!G125)+GroundResidentialFee)*(1+GroundFuelSurcharge),2)))*(1+FedEx_Markup),2)"),78.44)</f>
        <v>78.44</v>
      </c>
      <c r="H130" s="275">
        <f>IFERROR(__xludf.DUMMYFUNCTION("ROUND((IF(SINGLE('Ground Base'!H$154)&gt;ROUND(((1-GroundResDiscount31Up-GroundResIncentive)*'Ground Base'!H125),2),ROUND((SINGLE('Ground Base'!H$154)+GroundResidentialFee)*(1+GroundFuelSurcharge),2),ROUND((((1-GroundResDiscount31Up-GroundResIncentive)*'Grou"&amp;"nd Base'!H125)+GroundResidentialFee)*(1+GroundFuelSurcharge),2)))*(1+FedEx_Markup),2)"),86.08)</f>
        <v>86.08</v>
      </c>
      <c r="I130" s="275">
        <f>ROUND((IF('Ground Base'!I$154&gt;ROUND(((1-GroundAKHIDiscount)*'Ground Base'!I125),2),ROUND(('Ground Base'!I$154+GroundResidentialFee)*(1+GroundFuelSurcharge),2),ROUND((((1-GroundAKHIDiscount)*'Ground Base'!I125)+GroundResidentialFee)*(1+GroundFuelSurcharge),2)))*(1+FedEx_Markup),2)</f>
        <v>506.43</v>
      </c>
      <c r="J130" s="275">
        <f>ROUND((IF('Ground Base'!J$154&gt;ROUND(((1-GroundAKHIDiscount)*'Ground Base'!J125),2),ROUND(('Ground Base'!J$154+GroundResidentialFee)*(1+GroundFuelSurcharge),2),ROUND((((1-GroundAKHIDiscount)*'Ground Base'!J125)+GroundResidentialFee)*(1+GroundFuelSurcharge),2)))*(1+FedEx_Markup),2)</f>
        <v>506.43</v>
      </c>
      <c r="K130" s="275">
        <f>ROUND((IF('Ground Base'!K$154&gt;ROUND(((1-GroundZone51Discount)*'Ground Base'!K125),2),ROUND(('Ground Base'!K$154+GroundResidentialFee)*(1+GroundFuelSurcharge),2),ROUND((((1-GroundZone51Discount)*'Ground Base'!K125)+GroundResidentialFee)*(1+GroundFuelSurcharge),2)))*(1+FedEx_Markup),2)</f>
        <v>113.3</v>
      </c>
      <c r="L130" s="275">
        <f>ROUND((IF('Ground Base'!L$154&gt;ROUND(((1-GroundZone54Discount)*'Ground Base'!L125),2),ROUND(('Ground Base'!L$154+GroundResidentialFee)*(1+GroundFuelSurcharge),2),ROUND((((1-GroundZone54Discount)*'Ground Base'!L125)+GroundResidentialFee)*(1+GroundFuelSurcharge),2)))*(1+FedEx_Markup),2)</f>
        <v>154.82</v>
      </c>
    </row>
    <row r="131" ht="12.75" customHeight="1">
      <c r="A131" s="274">
        <v>124.0</v>
      </c>
      <c r="B131" s="275">
        <f>IFERROR(__xludf.DUMMYFUNCTION("ROUND((IF(SINGLE('Ground Base'!B$154)&gt;ROUND(((1-GroundResDiscount31Up-GroundResIncentive)*'Ground Base'!B126),2),ROUND((SINGLE('Ground Base'!B$154)+GroundResidentialFee)*(1+GroundFuelSurcharge),2),ROUND((((1-GroundResDiscount31Up-GroundResIncentive)*'Grou"&amp;"nd Base'!B126)+GroundResidentialFee)*(1+GroundFuelSurcharge),2)))*(1+FedEx_Markup),2)"),55.36)</f>
        <v>55.36</v>
      </c>
      <c r="C131" s="275">
        <f>IFERROR(__xludf.DUMMYFUNCTION("ROUND((IF(SINGLE('Ground Base'!C$154)&gt;ROUND(((1-GroundResDiscount31Up-GroundResIncentive)*'Ground Base'!C126),2),ROUND((SINGLE('Ground Base'!C$154)+GroundResidentialFee)*(1+GroundFuelSurcharge),2),ROUND((((1-GroundResDiscount31Up-GroundResIncentive)*'Grou"&amp;"nd Base'!C126)+GroundResidentialFee)*(1+GroundFuelSurcharge),2)))*(1+FedEx_Markup),2)"),56.5)</f>
        <v>56.5</v>
      </c>
      <c r="D131" s="275">
        <f>IFERROR(__xludf.DUMMYFUNCTION("ROUND((IF(SINGLE('Ground Base'!D$154)&gt;ROUND(((1-GroundResDiscount31Up-GroundResIncentive)*'Ground Base'!D126),2),ROUND((SINGLE('Ground Base'!D$154)+GroundResidentialFee)*(1+GroundFuelSurcharge),2),ROUND((((1-GroundResDiscount31Up-GroundResIncentive)*'Grou"&amp;"nd Base'!D126)+GroundResidentialFee)*(1+GroundFuelSurcharge),2)))*(1+FedEx_Markup),2)"),60.86)</f>
        <v>60.86</v>
      </c>
      <c r="E131" s="275">
        <f>IFERROR(__xludf.DUMMYFUNCTION("ROUND((IF(SINGLE('Ground Base'!E$154)&gt;ROUND(((1-GroundResDiscount31Up-GroundResIncentive)*'Ground Base'!E126),2),ROUND((SINGLE('Ground Base'!E$154)+GroundResidentialFee)*(1+GroundFuelSurcharge),2),ROUND((((1-GroundResDiscount31Up-GroundResIncentive)*'Grou"&amp;"nd Base'!E126)+GroundResidentialFee)*(1+GroundFuelSurcharge),2)))*(1+FedEx_Markup),2)"),62.86)</f>
        <v>62.86</v>
      </c>
      <c r="F131" s="275">
        <f>IFERROR(__xludf.DUMMYFUNCTION("ROUND((IF(SINGLE('Ground Base'!F$154)&gt;ROUND(((1-GroundResDiscount31Up-GroundResIncentive)*'Ground Base'!F126),2),ROUND((SINGLE('Ground Base'!F$154)+GroundResidentialFee)*(1+GroundFuelSurcharge),2),ROUND((((1-GroundResDiscount31Up-GroundResIncentive)*'Grou"&amp;"nd Base'!F126)+GroundResidentialFee)*(1+GroundFuelSurcharge),2)))*(1+FedEx_Markup),2)"),70.97)</f>
        <v>70.97</v>
      </c>
      <c r="G131" s="275">
        <f>IFERROR(__xludf.DUMMYFUNCTION("ROUND((IF(SINGLE('Ground Base'!G$154)&gt;ROUND(((1-GroundResDiscount31Up-GroundResIncentive)*'Ground Base'!G126),2),ROUND((SINGLE('Ground Base'!G$154)+GroundResidentialFee)*(1+GroundFuelSurcharge),2),ROUND((((1-GroundResDiscount31Up-GroundResIncentive)*'Grou"&amp;"nd Base'!G126)+GroundResidentialFee)*(1+GroundFuelSurcharge),2)))*(1+FedEx_Markup),2)"),78.44)</f>
        <v>78.44</v>
      </c>
      <c r="H131" s="275">
        <f>IFERROR(__xludf.DUMMYFUNCTION("ROUND((IF(SINGLE('Ground Base'!H$154)&gt;ROUND(((1-GroundResDiscount31Up-GroundResIncentive)*'Ground Base'!H126),2),ROUND((SINGLE('Ground Base'!H$154)+GroundResidentialFee)*(1+GroundFuelSurcharge),2),ROUND((((1-GroundResDiscount31Up-GroundResIncentive)*'Grou"&amp;"nd Base'!H126)+GroundResidentialFee)*(1+GroundFuelSurcharge),2)))*(1+FedEx_Markup),2)"),86.08)</f>
        <v>86.08</v>
      </c>
      <c r="I131" s="275">
        <f>ROUND((IF('Ground Base'!I$154&gt;ROUND(((1-GroundAKHIDiscount)*'Ground Base'!I126),2),ROUND(('Ground Base'!I$154+GroundResidentialFee)*(1+GroundFuelSurcharge),2),ROUND((((1-GroundAKHIDiscount)*'Ground Base'!I126)+GroundResidentialFee)*(1+GroundFuelSurcharge),2)))*(1+FedEx_Markup),2)</f>
        <v>510.16</v>
      </c>
      <c r="J131" s="275">
        <f>ROUND((IF('Ground Base'!J$154&gt;ROUND(((1-GroundAKHIDiscount)*'Ground Base'!J126),2),ROUND(('Ground Base'!J$154+GroundResidentialFee)*(1+GroundFuelSurcharge),2),ROUND((((1-GroundAKHIDiscount)*'Ground Base'!J126)+GroundResidentialFee)*(1+GroundFuelSurcharge),2)))*(1+FedEx_Markup),2)</f>
        <v>510.16</v>
      </c>
      <c r="K131" s="275">
        <f>ROUND((IF('Ground Base'!K$154&gt;ROUND(((1-GroundZone51Discount)*'Ground Base'!K126),2),ROUND(('Ground Base'!K$154+GroundResidentialFee)*(1+GroundFuelSurcharge),2),ROUND((((1-GroundZone51Discount)*'Ground Base'!K126)+GroundResidentialFee)*(1+GroundFuelSurcharge),2)))*(1+FedEx_Markup),2)</f>
        <v>113.31</v>
      </c>
      <c r="L131" s="275">
        <f>ROUND((IF('Ground Base'!L$154&gt;ROUND(((1-GroundZone54Discount)*'Ground Base'!L126),2),ROUND(('Ground Base'!L$154+GroundResidentialFee)*(1+GroundFuelSurcharge),2),ROUND((((1-GroundZone54Discount)*'Ground Base'!L126)+GroundResidentialFee)*(1+GroundFuelSurcharge),2)))*(1+FedEx_Markup),2)</f>
        <v>154.86</v>
      </c>
    </row>
    <row r="132" ht="12.75" customHeight="1">
      <c r="A132" s="274">
        <v>125.0</v>
      </c>
      <c r="B132" s="275">
        <f>IFERROR(__xludf.DUMMYFUNCTION("ROUND((IF(SINGLE('Ground Base'!B$154)&gt;ROUND(((1-GroundResDiscount31Up-GroundResIncentive)*'Ground Base'!B127),2),ROUND((SINGLE('Ground Base'!B$154)+GroundResidentialFee)*(1+GroundFuelSurcharge),2),ROUND((((1-GroundResDiscount31Up-GroundResIncentive)*'Grou"&amp;"nd Base'!B127)+GroundResidentialFee)*(1+GroundFuelSurcharge),2)))*(1+FedEx_Markup),2)"),55.86)</f>
        <v>55.86</v>
      </c>
      <c r="C132" s="275">
        <f>IFERROR(__xludf.DUMMYFUNCTION("ROUND((IF(SINGLE('Ground Base'!C$154)&gt;ROUND(((1-GroundResDiscount31Up-GroundResIncentive)*'Ground Base'!C127),2),ROUND((SINGLE('Ground Base'!C$154)+GroundResidentialFee)*(1+GroundFuelSurcharge),2),ROUND((((1-GroundResDiscount31Up-GroundResIncentive)*'Grou"&amp;"nd Base'!C127)+GroundResidentialFee)*(1+GroundFuelSurcharge),2)))*(1+FedEx_Markup),2)"),56.5)</f>
        <v>56.5</v>
      </c>
      <c r="D132" s="275">
        <f>IFERROR(__xludf.DUMMYFUNCTION("ROUND((IF(SINGLE('Ground Base'!D$154)&gt;ROUND(((1-GroundResDiscount31Up-GroundResIncentive)*'Ground Base'!D127),2),ROUND((SINGLE('Ground Base'!D$154)+GroundResidentialFee)*(1+GroundFuelSurcharge),2),ROUND((((1-GroundResDiscount31Up-GroundResIncentive)*'Grou"&amp;"nd Base'!D127)+GroundResidentialFee)*(1+GroundFuelSurcharge),2)))*(1+FedEx_Markup),2)"),60.86)</f>
        <v>60.86</v>
      </c>
      <c r="E132" s="275">
        <f>IFERROR(__xludf.DUMMYFUNCTION("ROUND((IF(SINGLE('Ground Base'!E$154)&gt;ROUND(((1-GroundResDiscount31Up-GroundResIncentive)*'Ground Base'!E127),2),ROUND((SINGLE('Ground Base'!E$154)+GroundResidentialFee)*(1+GroundFuelSurcharge),2),ROUND((((1-GroundResDiscount31Up-GroundResIncentive)*'Grou"&amp;"nd Base'!E127)+GroundResidentialFee)*(1+GroundFuelSurcharge),2)))*(1+FedEx_Markup),2)"),62.87)</f>
        <v>62.87</v>
      </c>
      <c r="F132" s="275">
        <f>IFERROR(__xludf.DUMMYFUNCTION("ROUND((IF(SINGLE('Ground Base'!F$154)&gt;ROUND(((1-GroundResDiscount31Up-GroundResIncentive)*'Ground Base'!F127),2),ROUND((SINGLE('Ground Base'!F$154)+GroundResidentialFee)*(1+GroundFuelSurcharge),2),ROUND((((1-GroundResDiscount31Up-GroundResIncentive)*'Grou"&amp;"nd Base'!F127)+GroundResidentialFee)*(1+GroundFuelSurcharge),2)))*(1+FedEx_Markup),2)"),70.98)</f>
        <v>70.98</v>
      </c>
      <c r="G132" s="275">
        <f>IFERROR(__xludf.DUMMYFUNCTION("ROUND((IF(SINGLE('Ground Base'!G$154)&gt;ROUND(((1-GroundResDiscount31Up-GroundResIncentive)*'Ground Base'!G127),2),ROUND((SINGLE('Ground Base'!G$154)+GroundResidentialFee)*(1+GroundFuelSurcharge),2),ROUND((((1-GroundResDiscount31Up-GroundResIncentive)*'Grou"&amp;"nd Base'!G127)+GroundResidentialFee)*(1+GroundFuelSurcharge),2)))*(1+FedEx_Markup),2)"),78.45)</f>
        <v>78.45</v>
      </c>
      <c r="H132" s="275">
        <f>IFERROR(__xludf.DUMMYFUNCTION("ROUND((IF(SINGLE('Ground Base'!H$154)&gt;ROUND(((1-GroundResDiscount31Up-GroundResIncentive)*'Ground Base'!H127),2),ROUND((SINGLE('Ground Base'!H$154)+GroundResidentialFee)*(1+GroundFuelSurcharge),2),ROUND((((1-GroundResDiscount31Up-GroundResIncentive)*'Grou"&amp;"nd Base'!H127)+GroundResidentialFee)*(1+GroundFuelSurcharge),2)))*(1+FedEx_Markup),2)"),86.09)</f>
        <v>86.09</v>
      </c>
      <c r="I132" s="275">
        <f>ROUND((IF('Ground Base'!I$154&gt;ROUND(((1-GroundAKHIDiscount)*'Ground Base'!I127),2),ROUND(('Ground Base'!I$154+GroundResidentialFee)*(1+GroundFuelSurcharge),2),ROUND((((1-GroundAKHIDiscount)*'Ground Base'!I127)+GroundResidentialFee)*(1+GroundFuelSurcharge),2)))*(1+FedEx_Markup),2)</f>
        <v>514.41</v>
      </c>
      <c r="J132" s="275">
        <f>ROUND((IF('Ground Base'!J$154&gt;ROUND(((1-GroundAKHIDiscount)*'Ground Base'!J127),2),ROUND(('Ground Base'!J$154+GroundResidentialFee)*(1+GroundFuelSurcharge),2),ROUND((((1-GroundAKHIDiscount)*'Ground Base'!J127)+GroundResidentialFee)*(1+GroundFuelSurcharge),2)))*(1+FedEx_Markup),2)</f>
        <v>514.41</v>
      </c>
      <c r="K132" s="275">
        <f>ROUND((IF('Ground Base'!K$154&gt;ROUND(((1-GroundZone51Discount)*'Ground Base'!K127),2),ROUND(('Ground Base'!K$154+GroundResidentialFee)*(1+GroundFuelSurcharge),2),ROUND((((1-GroundZone51Discount)*'Ground Base'!K127)+GroundResidentialFee)*(1+GroundFuelSurcharge),2)))*(1+FedEx_Markup),2)</f>
        <v>113.31</v>
      </c>
      <c r="L132" s="275">
        <f>ROUND((IF('Ground Base'!L$154&gt;ROUND(((1-GroundZone54Discount)*'Ground Base'!L127),2),ROUND(('Ground Base'!L$154+GroundResidentialFee)*(1+GroundFuelSurcharge),2),ROUND((((1-GroundZone54Discount)*'Ground Base'!L127)+GroundResidentialFee)*(1+GroundFuelSurcharge),2)))*(1+FedEx_Markup),2)</f>
        <v>154.86</v>
      </c>
    </row>
    <row r="133" ht="12.75" customHeight="1">
      <c r="A133" s="274">
        <v>126.0</v>
      </c>
      <c r="B133" s="275">
        <f>IFERROR(__xludf.DUMMYFUNCTION("ROUND((IF(SINGLE('Ground Base'!B$154)&gt;ROUND(((1-GroundResDiscount31Up-GroundResIncentive)*'Ground Base'!B128),2),ROUND((SINGLE('Ground Base'!B$154)+GroundResidentialFee)*(1+GroundFuelSurcharge),2),ROUND((((1-GroundResDiscount31Up-GroundResIncentive)*'Grou"&amp;"nd Base'!B128)+GroundResidentialFee)*(1+GroundFuelSurcharge),2)))*(1+FedEx_Markup),2)"),56.93)</f>
        <v>56.93</v>
      </c>
      <c r="C133" s="275">
        <f>IFERROR(__xludf.DUMMYFUNCTION("ROUND((IF(SINGLE('Ground Base'!C$154)&gt;ROUND(((1-GroundResDiscount31Up-GroundResIncentive)*'Ground Base'!C128),2),ROUND((SINGLE('Ground Base'!C$154)+GroundResidentialFee)*(1+GroundFuelSurcharge),2),ROUND((((1-GroundResDiscount31Up-GroundResIncentive)*'Grou"&amp;"nd Base'!C128)+GroundResidentialFee)*(1+GroundFuelSurcharge),2)))*(1+FedEx_Markup),2)"),57.03)</f>
        <v>57.03</v>
      </c>
      <c r="D133" s="275">
        <f>IFERROR(__xludf.DUMMYFUNCTION("ROUND((IF(SINGLE('Ground Base'!D$154)&gt;ROUND(((1-GroundResDiscount31Up-GroundResIncentive)*'Ground Base'!D128),2),ROUND((SINGLE('Ground Base'!D$154)+GroundResidentialFee)*(1+GroundFuelSurcharge),2),ROUND((((1-GroundResDiscount31Up-GroundResIncentive)*'Grou"&amp;"nd Base'!D128)+GroundResidentialFee)*(1+GroundFuelSurcharge),2)))*(1+FedEx_Markup),2)"),61.46)</f>
        <v>61.46</v>
      </c>
      <c r="E133" s="275">
        <f>IFERROR(__xludf.DUMMYFUNCTION("ROUND((IF(SINGLE('Ground Base'!E$154)&gt;ROUND(((1-GroundResDiscount31Up-GroundResIncentive)*'Ground Base'!E128),2),ROUND((SINGLE('Ground Base'!E$154)+GroundResidentialFee)*(1+GroundFuelSurcharge),2),ROUND((((1-GroundResDiscount31Up-GroundResIncentive)*'Grou"&amp;"nd Base'!E128)+GroundResidentialFee)*(1+GroundFuelSurcharge),2)))*(1+FedEx_Markup),2)"),62.87)</f>
        <v>62.87</v>
      </c>
      <c r="F133" s="275">
        <f>IFERROR(__xludf.DUMMYFUNCTION("ROUND((IF(SINGLE('Ground Base'!F$154)&gt;ROUND(((1-GroundResDiscount31Up-GroundResIncentive)*'Ground Base'!F128),2),ROUND((SINGLE('Ground Base'!F$154)+GroundResidentialFee)*(1+GroundFuelSurcharge),2),ROUND((((1-GroundResDiscount31Up-GroundResIncentive)*'Grou"&amp;"nd Base'!F128)+GroundResidentialFee)*(1+GroundFuelSurcharge),2)))*(1+FedEx_Markup),2)"),71.38)</f>
        <v>71.38</v>
      </c>
      <c r="G133" s="275">
        <f>IFERROR(__xludf.DUMMYFUNCTION("ROUND((IF(SINGLE('Ground Base'!G$154)&gt;ROUND(((1-GroundResDiscount31Up-GroundResIncentive)*'Ground Base'!G128),2),ROUND((SINGLE('Ground Base'!G$154)+GroundResidentialFee)*(1+GroundFuelSurcharge),2),ROUND((((1-GroundResDiscount31Up-GroundResIncentive)*'Grou"&amp;"nd Base'!G128)+GroundResidentialFee)*(1+GroundFuelSurcharge),2)))*(1+FedEx_Markup),2)"),78.45)</f>
        <v>78.45</v>
      </c>
      <c r="H133" s="275">
        <f>IFERROR(__xludf.DUMMYFUNCTION("ROUND((IF(SINGLE('Ground Base'!H$154)&gt;ROUND(((1-GroundResDiscount31Up-GroundResIncentive)*'Ground Base'!H128),2),ROUND((SINGLE('Ground Base'!H$154)+GroundResidentialFee)*(1+GroundFuelSurcharge),2),ROUND((((1-GroundResDiscount31Up-GroundResIncentive)*'Grou"&amp;"nd Base'!H128)+GroundResidentialFee)*(1+GroundFuelSurcharge),2)))*(1+FedEx_Markup),2)"),89.02)</f>
        <v>89.02</v>
      </c>
      <c r="I133" s="275">
        <f>ROUND((IF('Ground Base'!I$154&gt;ROUND(((1-GroundAKHIDiscount)*'Ground Base'!I128),2),ROUND(('Ground Base'!I$154+GroundResidentialFee)*(1+GroundFuelSurcharge),2),ROUND((((1-GroundAKHIDiscount)*'Ground Base'!I128)+GroundResidentialFee)*(1+GroundFuelSurcharge),2)))*(1+FedEx_Markup),2)</f>
        <v>517.58</v>
      </c>
      <c r="J133" s="275">
        <f>ROUND((IF('Ground Base'!J$154&gt;ROUND(((1-GroundAKHIDiscount)*'Ground Base'!J128),2),ROUND(('Ground Base'!J$154+GroundResidentialFee)*(1+GroundFuelSurcharge),2),ROUND((((1-GroundAKHIDiscount)*'Ground Base'!J128)+GroundResidentialFee)*(1+GroundFuelSurcharge),2)))*(1+FedEx_Markup),2)</f>
        <v>517.58</v>
      </c>
      <c r="K133" s="275">
        <f>ROUND((IF('Ground Base'!K$154&gt;ROUND(((1-GroundZone51Discount)*'Ground Base'!K128),2),ROUND(('Ground Base'!K$154+GroundResidentialFee)*(1+GroundFuelSurcharge),2),ROUND((((1-GroundZone51Discount)*'Ground Base'!K128)+GroundResidentialFee)*(1+GroundFuelSurcharge),2)))*(1+FedEx_Markup),2)</f>
        <v>115.54</v>
      </c>
      <c r="L133" s="275">
        <f>ROUND((IF('Ground Base'!L$154&gt;ROUND(((1-GroundZone54Discount)*'Ground Base'!L128),2),ROUND(('Ground Base'!L$154+GroundResidentialFee)*(1+GroundFuelSurcharge),2),ROUND((((1-GroundZone54Discount)*'Ground Base'!L128)+GroundResidentialFee)*(1+GroundFuelSurcharge),2)))*(1+FedEx_Markup),2)</f>
        <v>160.22</v>
      </c>
    </row>
    <row r="134" ht="12.75" customHeight="1">
      <c r="A134" s="274">
        <v>127.0</v>
      </c>
      <c r="B134" s="275">
        <f>IFERROR(__xludf.DUMMYFUNCTION("ROUND((IF(SINGLE('Ground Base'!B$154)&gt;ROUND(((1-GroundResDiscount31Up-GroundResIncentive)*'Ground Base'!B129),2),ROUND((SINGLE('Ground Base'!B$154)+GroundResidentialFee)*(1+GroundFuelSurcharge),2),ROUND((((1-GroundResDiscount31Up-GroundResIncentive)*'Grou"&amp;"nd Base'!B129)+GroundResidentialFee)*(1+GroundFuelSurcharge),2)))*(1+FedEx_Markup),2)"),56.93)</f>
        <v>56.93</v>
      </c>
      <c r="C134" s="275">
        <f>IFERROR(__xludf.DUMMYFUNCTION("ROUND((IF(SINGLE('Ground Base'!C$154)&gt;ROUND(((1-GroundResDiscount31Up-GroundResIncentive)*'Ground Base'!C129),2),ROUND((SINGLE('Ground Base'!C$154)+GroundResidentialFee)*(1+GroundFuelSurcharge),2),ROUND((((1-GroundResDiscount31Up-GroundResIncentive)*'Grou"&amp;"nd Base'!C129)+GroundResidentialFee)*(1+GroundFuelSurcharge),2)))*(1+FedEx_Markup),2)"),57.97)</f>
        <v>57.97</v>
      </c>
      <c r="D134" s="275">
        <f>IFERROR(__xludf.DUMMYFUNCTION("ROUND((IF(SINGLE('Ground Base'!D$154)&gt;ROUND(((1-GroundResDiscount31Up-GroundResIncentive)*'Ground Base'!D129),2),ROUND((SINGLE('Ground Base'!D$154)+GroundResidentialFee)*(1+GroundFuelSurcharge),2),ROUND((((1-GroundResDiscount31Up-GroundResIncentive)*'Grou"&amp;"nd Base'!D129)+GroundResidentialFee)*(1+GroundFuelSurcharge),2)))*(1+FedEx_Markup),2)"),62.59)</f>
        <v>62.59</v>
      </c>
      <c r="E134" s="275">
        <f>IFERROR(__xludf.DUMMYFUNCTION("ROUND((IF(SINGLE('Ground Base'!E$154)&gt;ROUND(((1-GroundResDiscount31Up-GroundResIncentive)*'Ground Base'!E129),2),ROUND((SINGLE('Ground Base'!E$154)+GroundResidentialFee)*(1+GroundFuelSurcharge),2),ROUND((((1-GroundResDiscount31Up-GroundResIncentive)*'Grou"&amp;"nd Base'!E129)+GroundResidentialFee)*(1+GroundFuelSurcharge),2)))*(1+FedEx_Markup),2)"),64.24)</f>
        <v>64.24</v>
      </c>
      <c r="F134" s="275">
        <f>IFERROR(__xludf.DUMMYFUNCTION("ROUND((IF(SINGLE('Ground Base'!F$154)&gt;ROUND(((1-GroundResDiscount31Up-GroundResIncentive)*'Ground Base'!F129),2),ROUND((SINGLE('Ground Base'!F$154)+GroundResidentialFee)*(1+GroundFuelSurcharge),2),ROUND((((1-GroundResDiscount31Up-GroundResIncentive)*'Grou"&amp;"nd Base'!F129)+GroundResidentialFee)*(1+GroundFuelSurcharge),2)))*(1+FedEx_Markup),2)"),72.94)</f>
        <v>72.94</v>
      </c>
      <c r="G134" s="275">
        <f>IFERROR(__xludf.DUMMYFUNCTION("ROUND((IF(SINGLE('Ground Base'!G$154)&gt;ROUND(((1-GroundResDiscount31Up-GroundResIncentive)*'Ground Base'!G129),2),ROUND((SINGLE('Ground Base'!G$154)+GroundResidentialFee)*(1+GroundFuelSurcharge),2),ROUND((((1-GroundResDiscount31Up-GroundResIncentive)*'Grou"&amp;"nd Base'!G129)+GroundResidentialFee)*(1+GroundFuelSurcharge),2)))*(1+FedEx_Markup),2)"),79.82)</f>
        <v>79.82</v>
      </c>
      <c r="H134" s="275">
        <f>IFERROR(__xludf.DUMMYFUNCTION("ROUND((IF(SINGLE('Ground Base'!H$154)&gt;ROUND(((1-GroundResDiscount31Up-GroundResIncentive)*'Ground Base'!H129),2),ROUND((SINGLE('Ground Base'!H$154)+GroundResidentialFee)*(1+GroundFuelSurcharge),2),ROUND((((1-GroundResDiscount31Up-GroundResIncentive)*'Grou"&amp;"nd Base'!H129)+GroundResidentialFee)*(1+GroundFuelSurcharge),2)))*(1+FedEx_Markup),2)"),89.02)</f>
        <v>89.02</v>
      </c>
      <c r="I134" s="275">
        <f>ROUND((IF('Ground Base'!I$154&gt;ROUND(((1-GroundAKHIDiscount)*'Ground Base'!I129),2),ROUND(('Ground Base'!I$154+GroundResidentialFee)*(1+GroundFuelSurcharge),2),ROUND((((1-GroundAKHIDiscount)*'Ground Base'!I129)+GroundResidentialFee)*(1+GroundFuelSurcharge),2)))*(1+FedEx_Markup),2)</f>
        <v>521.76</v>
      </c>
      <c r="J134" s="275">
        <f>ROUND((IF('Ground Base'!J$154&gt;ROUND(((1-GroundAKHIDiscount)*'Ground Base'!J129),2),ROUND(('Ground Base'!J$154+GroundResidentialFee)*(1+GroundFuelSurcharge),2),ROUND((((1-GroundAKHIDiscount)*'Ground Base'!J129)+GroundResidentialFee)*(1+GroundFuelSurcharge),2)))*(1+FedEx_Markup),2)</f>
        <v>521.76</v>
      </c>
      <c r="K134" s="275">
        <f>ROUND((IF('Ground Base'!K$154&gt;ROUND(((1-GroundZone51Discount)*'Ground Base'!K129),2),ROUND(('Ground Base'!K$154+GroundResidentialFee)*(1+GroundFuelSurcharge),2),ROUND((((1-GroundZone51Discount)*'Ground Base'!K129)+GroundResidentialFee)*(1+GroundFuelSurcharge),2)))*(1+FedEx_Markup),2)</f>
        <v>115.55</v>
      </c>
      <c r="L134" s="275">
        <f>ROUND((IF('Ground Base'!L$154&gt;ROUND(((1-GroundZone54Discount)*'Ground Base'!L129),2),ROUND(('Ground Base'!L$154+GroundResidentialFee)*(1+GroundFuelSurcharge),2),ROUND((((1-GroundZone54Discount)*'Ground Base'!L129)+GroundResidentialFee)*(1+GroundFuelSurcharge),2)))*(1+FedEx_Markup),2)</f>
        <v>160.25</v>
      </c>
    </row>
    <row r="135" ht="12.75" customHeight="1">
      <c r="A135" s="274">
        <v>128.0</v>
      </c>
      <c r="B135" s="275">
        <f>IFERROR(__xludf.DUMMYFUNCTION("ROUND((IF(SINGLE('Ground Base'!B$154)&gt;ROUND(((1-GroundResDiscount31Up-GroundResIncentive)*'Ground Base'!B130),2),ROUND((SINGLE('Ground Base'!B$154)+GroundResidentialFee)*(1+GroundFuelSurcharge),2),ROUND((((1-GroundResDiscount31Up-GroundResIncentive)*'Grou"&amp;"nd Base'!B130)+GroundResidentialFee)*(1+GroundFuelSurcharge),2)))*(1+FedEx_Markup),2)"),57.43)</f>
        <v>57.43</v>
      </c>
      <c r="C135" s="275">
        <f>IFERROR(__xludf.DUMMYFUNCTION("ROUND((IF(SINGLE('Ground Base'!C$154)&gt;ROUND(((1-GroundResDiscount31Up-GroundResIncentive)*'Ground Base'!C130),2),ROUND((SINGLE('Ground Base'!C$154)+GroundResidentialFee)*(1+GroundFuelSurcharge),2),ROUND((((1-GroundResDiscount31Up-GroundResIncentive)*'Grou"&amp;"nd Base'!C130)+GroundResidentialFee)*(1+GroundFuelSurcharge),2)))*(1+FedEx_Markup),2)"),57.97)</f>
        <v>57.97</v>
      </c>
      <c r="D135" s="275">
        <f>IFERROR(__xludf.DUMMYFUNCTION("ROUND((IF(SINGLE('Ground Base'!D$154)&gt;ROUND(((1-GroundResDiscount31Up-GroundResIncentive)*'Ground Base'!D130),2),ROUND((SINGLE('Ground Base'!D$154)+GroundResidentialFee)*(1+GroundFuelSurcharge),2),ROUND((((1-GroundResDiscount31Up-GroundResIncentive)*'Grou"&amp;"nd Base'!D130)+GroundResidentialFee)*(1+GroundFuelSurcharge),2)))*(1+FedEx_Markup),2)"),62.59)</f>
        <v>62.59</v>
      </c>
      <c r="E135" s="275">
        <f>IFERROR(__xludf.DUMMYFUNCTION("ROUND((IF(SINGLE('Ground Base'!E$154)&gt;ROUND(((1-GroundResDiscount31Up-GroundResIncentive)*'Ground Base'!E130),2),ROUND((SINGLE('Ground Base'!E$154)+GroundResidentialFee)*(1+GroundFuelSurcharge),2),ROUND((((1-GroundResDiscount31Up-GroundResIncentive)*'Grou"&amp;"nd Base'!E130)+GroundResidentialFee)*(1+GroundFuelSurcharge),2)))*(1+FedEx_Markup),2)"),64.25)</f>
        <v>64.25</v>
      </c>
      <c r="F135" s="275">
        <f>IFERROR(__xludf.DUMMYFUNCTION("ROUND((IF(SINGLE('Ground Base'!F$154)&gt;ROUND(((1-GroundResDiscount31Up-GroundResIncentive)*'Ground Base'!F130),2),ROUND((SINGLE('Ground Base'!F$154)+GroundResidentialFee)*(1+GroundFuelSurcharge),2),ROUND((((1-GroundResDiscount31Up-GroundResIncentive)*'Grou"&amp;"nd Base'!F130)+GroundResidentialFee)*(1+GroundFuelSurcharge),2)))*(1+FedEx_Markup),2)"),72.94)</f>
        <v>72.94</v>
      </c>
      <c r="G135" s="275">
        <f>IFERROR(__xludf.DUMMYFUNCTION("ROUND((IF(SINGLE('Ground Base'!G$154)&gt;ROUND(((1-GroundResDiscount31Up-GroundResIncentive)*'Ground Base'!G130),2),ROUND((SINGLE('Ground Base'!G$154)+GroundResidentialFee)*(1+GroundFuelSurcharge),2),ROUND((((1-GroundResDiscount31Up-GroundResIncentive)*'Grou"&amp;"nd Base'!G130)+GroundResidentialFee)*(1+GroundFuelSurcharge),2)))*(1+FedEx_Markup),2)"),79.82)</f>
        <v>79.82</v>
      </c>
      <c r="H135" s="275">
        <f>IFERROR(__xludf.DUMMYFUNCTION("ROUND((IF(SINGLE('Ground Base'!H$154)&gt;ROUND(((1-GroundResDiscount31Up-GroundResIncentive)*'Ground Base'!H130),2),ROUND((SINGLE('Ground Base'!H$154)+GroundResidentialFee)*(1+GroundFuelSurcharge),2),ROUND((((1-GroundResDiscount31Up-GroundResIncentive)*'Grou"&amp;"nd Base'!H130)+GroundResidentialFee)*(1+GroundFuelSurcharge),2)))*(1+FedEx_Markup),2)"),89.49)</f>
        <v>89.49</v>
      </c>
      <c r="I135" s="275">
        <f>ROUND((IF('Ground Base'!I$154&gt;ROUND(((1-GroundAKHIDiscount)*'Ground Base'!I130),2),ROUND(('Ground Base'!I$154+GroundResidentialFee)*(1+GroundFuelSurcharge),2),ROUND((((1-GroundAKHIDiscount)*'Ground Base'!I130)+GroundResidentialFee)*(1+GroundFuelSurcharge),2)))*(1+FedEx_Markup),2)</f>
        <v>525.98</v>
      </c>
      <c r="J135" s="275">
        <f>ROUND((IF('Ground Base'!J$154&gt;ROUND(((1-GroundAKHIDiscount)*'Ground Base'!J130),2),ROUND(('Ground Base'!J$154+GroundResidentialFee)*(1+GroundFuelSurcharge),2),ROUND((((1-GroundAKHIDiscount)*'Ground Base'!J130)+GroundResidentialFee)*(1+GroundFuelSurcharge),2)))*(1+FedEx_Markup),2)</f>
        <v>525.98</v>
      </c>
      <c r="K135" s="275">
        <f>ROUND((IF('Ground Base'!K$154&gt;ROUND(((1-GroundZone51Discount)*'Ground Base'!K130),2),ROUND(('Ground Base'!K$154+GroundResidentialFee)*(1+GroundFuelSurcharge),2),ROUND((((1-GroundZone51Discount)*'Ground Base'!K130)+GroundResidentialFee)*(1+GroundFuelSurcharge),2)))*(1+FedEx_Markup),2)</f>
        <v>115.56</v>
      </c>
      <c r="L135" s="275">
        <f>ROUND((IF('Ground Base'!L$154&gt;ROUND(((1-GroundZone54Discount)*'Ground Base'!L130),2),ROUND(('Ground Base'!L$154+GroundResidentialFee)*(1+GroundFuelSurcharge),2),ROUND((((1-GroundZone54Discount)*'Ground Base'!L130)+GroundResidentialFee)*(1+GroundFuelSurcharge),2)))*(1+FedEx_Markup),2)</f>
        <v>160.25</v>
      </c>
    </row>
    <row r="136" ht="12.75" customHeight="1">
      <c r="A136" s="274">
        <v>129.0</v>
      </c>
      <c r="B136" s="275">
        <f>IFERROR(__xludf.DUMMYFUNCTION("ROUND((IF(SINGLE('Ground Base'!B$154)&gt;ROUND(((1-GroundResDiscount31Up-GroundResIncentive)*'Ground Base'!B131),2),ROUND((SINGLE('Ground Base'!B$154)+GroundResidentialFee)*(1+GroundFuelSurcharge),2),ROUND((((1-GroundResDiscount31Up-GroundResIncentive)*'Grou"&amp;"nd Base'!B131)+GroundResidentialFee)*(1+GroundFuelSurcharge),2)))*(1+FedEx_Markup),2)"),58.47)</f>
        <v>58.47</v>
      </c>
      <c r="C136" s="275">
        <f>IFERROR(__xludf.DUMMYFUNCTION("ROUND((IF(SINGLE('Ground Base'!C$154)&gt;ROUND(((1-GroundResDiscount31Up-GroundResIncentive)*'Ground Base'!C131),2),ROUND((SINGLE('Ground Base'!C$154)+GroundResidentialFee)*(1+GroundFuelSurcharge),2),ROUND((((1-GroundResDiscount31Up-GroundResIncentive)*'Grou"&amp;"nd Base'!C131)+GroundResidentialFee)*(1+GroundFuelSurcharge),2)))*(1+FedEx_Markup),2)"),58.68)</f>
        <v>58.68</v>
      </c>
      <c r="D136" s="275">
        <f>IFERROR(__xludf.DUMMYFUNCTION("ROUND((IF(SINGLE('Ground Base'!D$154)&gt;ROUND(((1-GroundResDiscount31Up-GroundResIncentive)*'Ground Base'!D131),2),ROUND((SINGLE('Ground Base'!D$154)+GroundResidentialFee)*(1+GroundFuelSurcharge),2),ROUND((((1-GroundResDiscount31Up-GroundResIncentive)*'Grou"&amp;"nd Base'!D131)+GroundResidentialFee)*(1+GroundFuelSurcharge),2)))*(1+FedEx_Markup),2)"),62.62)</f>
        <v>62.62</v>
      </c>
      <c r="E136" s="275">
        <f>IFERROR(__xludf.DUMMYFUNCTION("ROUND((IF(SINGLE('Ground Base'!E$154)&gt;ROUND(((1-GroundResDiscount31Up-GroundResIncentive)*'Ground Base'!E131),2),ROUND((SINGLE('Ground Base'!E$154)+GroundResidentialFee)*(1+GroundFuelSurcharge),2),ROUND((((1-GroundResDiscount31Up-GroundResIncentive)*'Grou"&amp;"nd Base'!E131)+GroundResidentialFee)*(1+GroundFuelSurcharge),2)))*(1+FedEx_Markup),2)"),64.66)</f>
        <v>64.66</v>
      </c>
      <c r="F136" s="275">
        <f>IFERROR(__xludf.DUMMYFUNCTION("ROUND((IF(SINGLE('Ground Base'!F$154)&gt;ROUND(((1-GroundResDiscount31Up-GroundResIncentive)*'Ground Base'!F131),2),ROUND((SINGLE('Ground Base'!F$154)+GroundResidentialFee)*(1+GroundFuelSurcharge),2),ROUND((((1-GroundResDiscount31Up-GroundResIncentive)*'Grou"&amp;"nd Base'!F131)+GroundResidentialFee)*(1+GroundFuelSurcharge),2)))*(1+FedEx_Markup),2)"),72.96)</f>
        <v>72.96</v>
      </c>
      <c r="G136" s="275">
        <f>IFERROR(__xludf.DUMMYFUNCTION("ROUND((IF(SINGLE('Ground Base'!G$154)&gt;ROUND(((1-GroundResDiscount31Up-GroundResIncentive)*'Ground Base'!G131),2),ROUND((SINGLE('Ground Base'!G$154)+GroundResidentialFee)*(1+GroundFuelSurcharge),2),ROUND((((1-GroundResDiscount31Up-GroundResIncentive)*'Grou"&amp;"nd Base'!G131)+GroundResidentialFee)*(1+GroundFuelSurcharge),2)))*(1+FedEx_Markup),2)"),79.83)</f>
        <v>79.83</v>
      </c>
      <c r="H136" s="275">
        <f>IFERROR(__xludf.DUMMYFUNCTION("ROUND((IF(SINGLE('Ground Base'!H$154)&gt;ROUND(((1-GroundResDiscount31Up-GroundResIncentive)*'Ground Base'!H131),2),ROUND((SINGLE('Ground Base'!H$154)+GroundResidentialFee)*(1+GroundFuelSurcharge),2),ROUND((((1-GroundResDiscount31Up-GroundResIncentive)*'Grou"&amp;"nd Base'!H131)+GroundResidentialFee)*(1+GroundFuelSurcharge),2)))*(1+FedEx_Markup),2)"),90.32)</f>
        <v>90.32</v>
      </c>
      <c r="I136" s="275">
        <f>ROUND((IF('Ground Base'!I$154&gt;ROUND(((1-GroundAKHIDiscount)*'Ground Base'!I131),2),ROUND(('Ground Base'!I$154+GroundResidentialFee)*(1+GroundFuelSurcharge),2),ROUND((((1-GroundAKHIDiscount)*'Ground Base'!I131)+GroundResidentialFee)*(1+GroundFuelSurcharge),2)))*(1+FedEx_Markup),2)</f>
        <v>530.2</v>
      </c>
      <c r="J136" s="275">
        <f>ROUND((IF('Ground Base'!J$154&gt;ROUND(((1-GroundAKHIDiscount)*'Ground Base'!J131),2),ROUND(('Ground Base'!J$154+GroundResidentialFee)*(1+GroundFuelSurcharge),2),ROUND((((1-GroundAKHIDiscount)*'Ground Base'!J131)+GroundResidentialFee)*(1+GroundFuelSurcharge),2)))*(1+FedEx_Markup),2)</f>
        <v>530.2</v>
      </c>
      <c r="K136" s="275">
        <f>ROUND((IF('Ground Base'!K$154&gt;ROUND(((1-GroundZone51Discount)*'Ground Base'!K131),2),ROUND(('Ground Base'!K$154+GroundResidentialFee)*(1+GroundFuelSurcharge),2),ROUND((((1-GroundZone51Discount)*'Ground Base'!K131)+GroundResidentialFee)*(1+GroundFuelSurcharge),2)))*(1+FedEx_Markup),2)</f>
        <v>115.56</v>
      </c>
      <c r="L136" s="275">
        <f>ROUND((IF('Ground Base'!L$154&gt;ROUND(((1-GroundZone54Discount)*'Ground Base'!L131),2),ROUND(('Ground Base'!L$154+GroundResidentialFee)*(1+GroundFuelSurcharge),2),ROUND((((1-GroundZone54Discount)*'Ground Base'!L131)+GroundResidentialFee)*(1+GroundFuelSurcharge),2)))*(1+FedEx_Markup),2)</f>
        <v>160.26</v>
      </c>
    </row>
    <row r="137" ht="12.75" customHeight="1">
      <c r="A137" s="274">
        <v>130.0</v>
      </c>
      <c r="B137" s="275">
        <f>IFERROR(__xludf.DUMMYFUNCTION("ROUND((IF(SINGLE('Ground Base'!B$154)&gt;ROUND(((1-GroundResDiscount31Up-GroundResIncentive)*'Ground Base'!B132),2),ROUND((SINGLE('Ground Base'!B$154)+GroundResidentialFee)*(1+GroundFuelSurcharge),2),ROUND((((1-GroundResDiscount31Up-GroundResIncentive)*'Grou"&amp;"nd Base'!B132)+GroundResidentialFee)*(1+GroundFuelSurcharge),2)))*(1+FedEx_Markup),2)"),58.68)</f>
        <v>58.68</v>
      </c>
      <c r="C137" s="275">
        <f>IFERROR(__xludf.DUMMYFUNCTION("ROUND((IF(SINGLE('Ground Base'!C$154)&gt;ROUND(((1-GroundResDiscount31Up-GroundResIncentive)*'Ground Base'!C132),2),ROUND((SINGLE('Ground Base'!C$154)+GroundResidentialFee)*(1+GroundFuelSurcharge),2),ROUND((((1-GroundResDiscount31Up-GroundResIncentive)*'Grou"&amp;"nd Base'!C132)+GroundResidentialFee)*(1+GroundFuelSurcharge),2)))*(1+FedEx_Markup),2)"),58.7)</f>
        <v>58.7</v>
      </c>
      <c r="D137" s="275">
        <f>IFERROR(__xludf.DUMMYFUNCTION("ROUND((IF(SINGLE('Ground Base'!D$154)&gt;ROUND(((1-GroundResDiscount31Up-GroundResIncentive)*'Ground Base'!D132),2),ROUND((SINGLE('Ground Base'!D$154)+GroundResidentialFee)*(1+GroundFuelSurcharge),2),ROUND((((1-GroundResDiscount31Up-GroundResIncentive)*'Grou"&amp;"nd Base'!D132)+GroundResidentialFee)*(1+GroundFuelSurcharge),2)))*(1+FedEx_Markup),2)"),63.16)</f>
        <v>63.16</v>
      </c>
      <c r="E137" s="275">
        <f>IFERROR(__xludf.DUMMYFUNCTION("ROUND((IF(SINGLE('Ground Base'!E$154)&gt;ROUND(((1-GroundResDiscount31Up-GroundResIncentive)*'Ground Base'!E132),2),ROUND((SINGLE('Ground Base'!E$154)+GroundResidentialFee)*(1+GroundFuelSurcharge),2),ROUND((((1-GroundResDiscount31Up-GroundResIncentive)*'Grou"&amp;"nd Base'!E132)+GroundResidentialFee)*(1+GroundFuelSurcharge),2)))*(1+FedEx_Markup),2)"),64.68)</f>
        <v>64.68</v>
      </c>
      <c r="F137" s="275">
        <f>IFERROR(__xludf.DUMMYFUNCTION("ROUND((IF(SINGLE('Ground Base'!F$154)&gt;ROUND(((1-GroundResDiscount31Up-GroundResIncentive)*'Ground Base'!F132),2),ROUND((SINGLE('Ground Base'!F$154)+GroundResidentialFee)*(1+GroundFuelSurcharge),2),ROUND((((1-GroundResDiscount31Up-GroundResIncentive)*'Grou"&amp;"nd Base'!F132)+GroundResidentialFee)*(1+GroundFuelSurcharge),2)))*(1+FedEx_Markup),2)"),73.46)</f>
        <v>73.46</v>
      </c>
      <c r="G137" s="275">
        <f>IFERROR(__xludf.DUMMYFUNCTION("ROUND((IF(SINGLE('Ground Base'!G$154)&gt;ROUND(((1-GroundResDiscount31Up-GroundResIncentive)*'Ground Base'!G132),2),ROUND((SINGLE('Ground Base'!G$154)+GroundResidentialFee)*(1+GroundFuelSurcharge),2),ROUND((((1-GroundResDiscount31Up-GroundResIncentive)*'Grou"&amp;"nd Base'!G132)+GroundResidentialFee)*(1+GroundFuelSurcharge),2)))*(1+FedEx_Markup),2)"),80.83)</f>
        <v>80.83</v>
      </c>
      <c r="H137" s="275">
        <f>IFERROR(__xludf.DUMMYFUNCTION("ROUND((IF(SINGLE('Ground Base'!H$154)&gt;ROUND(((1-GroundResDiscount31Up-GroundResIncentive)*'Ground Base'!H132),2),ROUND((SINGLE('Ground Base'!H$154)+GroundResidentialFee)*(1+GroundFuelSurcharge),2),ROUND((((1-GroundResDiscount31Up-GroundResIncentive)*'Grou"&amp;"nd Base'!H132)+GroundResidentialFee)*(1+GroundFuelSurcharge),2)))*(1+FedEx_Markup),2)"),92.32)</f>
        <v>92.32</v>
      </c>
      <c r="I137" s="275">
        <f>ROUND((IF('Ground Base'!I$154&gt;ROUND(((1-GroundAKHIDiscount)*'Ground Base'!I132),2),ROUND(('Ground Base'!I$154+GroundResidentialFee)*(1+GroundFuelSurcharge),2),ROUND((((1-GroundAKHIDiscount)*'Ground Base'!I132)+GroundResidentialFee)*(1+GroundFuelSurcharge),2)))*(1+FedEx_Markup),2)</f>
        <v>544.65</v>
      </c>
      <c r="J137" s="275">
        <f>ROUND((IF('Ground Base'!J$154&gt;ROUND(((1-GroundAKHIDiscount)*'Ground Base'!J132),2),ROUND(('Ground Base'!J$154+GroundResidentialFee)*(1+GroundFuelSurcharge),2),ROUND((((1-GroundAKHIDiscount)*'Ground Base'!J132)+GroundResidentialFee)*(1+GroundFuelSurcharge),2)))*(1+FedEx_Markup),2)</f>
        <v>544.65</v>
      </c>
      <c r="K137" s="275">
        <f>ROUND((IF('Ground Base'!K$154&gt;ROUND(((1-GroundZone51Discount)*'Ground Base'!K132),2),ROUND(('Ground Base'!K$154+GroundResidentialFee)*(1+GroundFuelSurcharge),2),ROUND((((1-GroundZone51Discount)*'Ground Base'!K132)+GroundResidentialFee)*(1+GroundFuelSurcharge),2)))*(1+FedEx_Markup),2)</f>
        <v>115.59</v>
      </c>
      <c r="L137" s="275">
        <f>ROUND((IF('Ground Base'!L$154&gt;ROUND(((1-GroundZone54Discount)*'Ground Base'!L132),2),ROUND(('Ground Base'!L$154+GroundResidentialFee)*(1+GroundFuelSurcharge),2),ROUND((((1-GroundZone54Discount)*'Ground Base'!L132)+GroundResidentialFee)*(1+GroundFuelSurcharge),2)))*(1+FedEx_Markup),2)</f>
        <v>160.28</v>
      </c>
    </row>
    <row r="138" ht="12.75" customHeight="1">
      <c r="A138" s="274">
        <v>131.0</v>
      </c>
      <c r="B138" s="275">
        <f>IFERROR(__xludf.DUMMYFUNCTION("ROUND((IF(SINGLE('Ground Base'!B$154)&gt;ROUND(((1-GroundResDiscount31Up-GroundResIncentive)*'Ground Base'!B133),2),ROUND((SINGLE('Ground Base'!B$154)+GroundResidentialFee)*(1+GroundFuelSurcharge),2),ROUND((((1-GroundResDiscount31Up-GroundResIncentive)*'Grou"&amp;"nd Base'!B133)+GroundResidentialFee)*(1+GroundFuelSurcharge),2)))*(1+FedEx_Markup),2)"),59.0)</f>
        <v>59</v>
      </c>
      <c r="C138" s="275">
        <f>IFERROR(__xludf.DUMMYFUNCTION("ROUND((IF(SINGLE('Ground Base'!C$154)&gt;ROUND(((1-GroundResDiscount31Up-GroundResIncentive)*'Ground Base'!C133),2),ROUND((SINGLE('Ground Base'!C$154)+GroundResidentialFee)*(1+GroundFuelSurcharge),2),ROUND((((1-GroundResDiscount31Up-GroundResIncentive)*'Grou"&amp;"nd Base'!C133)+GroundResidentialFee)*(1+GroundFuelSurcharge),2)))*(1+FedEx_Markup),2)"),59.57)</f>
        <v>59.57</v>
      </c>
      <c r="D138" s="275">
        <f>IFERROR(__xludf.DUMMYFUNCTION("ROUND((IF(SINGLE('Ground Base'!D$154)&gt;ROUND(((1-GroundResDiscount31Up-GroundResIncentive)*'Ground Base'!D133),2),ROUND((SINGLE('Ground Base'!D$154)+GroundResidentialFee)*(1+GroundFuelSurcharge),2),ROUND((((1-GroundResDiscount31Up-GroundResIncentive)*'Grou"&amp;"nd Base'!D133)+GroundResidentialFee)*(1+GroundFuelSurcharge),2)))*(1+FedEx_Markup),2)"),64.31)</f>
        <v>64.31</v>
      </c>
      <c r="E138" s="275">
        <f>IFERROR(__xludf.DUMMYFUNCTION("ROUND((IF(SINGLE('Ground Base'!E$154)&gt;ROUND(((1-GroundResDiscount31Up-GroundResIncentive)*'Ground Base'!E133),2),ROUND((SINGLE('Ground Base'!E$154)+GroundResidentialFee)*(1+GroundFuelSurcharge),2),ROUND((((1-GroundResDiscount31Up-GroundResIncentive)*'Grou"&amp;"nd Base'!E133)+GroundResidentialFee)*(1+GroundFuelSurcharge),2)))*(1+FedEx_Markup),2)"),65.69)</f>
        <v>65.69</v>
      </c>
      <c r="F138" s="275">
        <f>IFERROR(__xludf.DUMMYFUNCTION("ROUND((IF(SINGLE('Ground Base'!F$154)&gt;ROUND(((1-GroundResDiscount31Up-GroundResIncentive)*'Ground Base'!F133),2),ROUND((SINGLE('Ground Base'!F$154)+GroundResidentialFee)*(1+GroundFuelSurcharge),2),ROUND((((1-GroundResDiscount31Up-GroundResIncentive)*'Grou"&amp;"nd Base'!F133)+GroundResidentialFee)*(1+GroundFuelSurcharge),2)))*(1+FedEx_Markup),2)"),74.5)</f>
        <v>74.5</v>
      </c>
      <c r="G138" s="275">
        <f>IFERROR(__xludf.DUMMYFUNCTION("ROUND((IF(SINGLE('Ground Base'!G$154)&gt;ROUND(((1-GroundResDiscount31Up-GroundResIncentive)*'Ground Base'!G133),2),ROUND((SINGLE('Ground Base'!G$154)+GroundResidentialFee)*(1+GroundFuelSurcharge),2),ROUND((((1-GroundResDiscount31Up-GroundResIncentive)*'Grou"&amp;"nd Base'!G133)+GroundResidentialFee)*(1+GroundFuelSurcharge),2)))*(1+FedEx_Markup),2)"),81.57)</f>
        <v>81.57</v>
      </c>
      <c r="H138" s="275">
        <f>IFERROR(__xludf.DUMMYFUNCTION("ROUND((IF(SINGLE('Ground Base'!H$154)&gt;ROUND(((1-GroundResDiscount31Up-GroundResIncentive)*'Ground Base'!H133),2),ROUND((SINGLE('Ground Base'!H$154)+GroundResidentialFee)*(1+GroundFuelSurcharge),2),ROUND((((1-GroundResDiscount31Up-GroundResIncentive)*'Grou"&amp;"nd Base'!H133)+GroundResidentialFee)*(1+GroundFuelSurcharge),2)))*(1+FedEx_Markup),2)"),92.74)</f>
        <v>92.74</v>
      </c>
      <c r="I138" s="275">
        <f>ROUND((IF('Ground Base'!I$154&gt;ROUND(((1-GroundAKHIDiscount)*'Ground Base'!I133),2),ROUND(('Ground Base'!I$154+GroundResidentialFee)*(1+GroundFuelSurcharge),2),ROUND((((1-GroundAKHIDiscount)*'Ground Base'!I133)+GroundResidentialFee)*(1+GroundFuelSurcharge),2)))*(1+FedEx_Markup),2)</f>
        <v>544.66</v>
      </c>
      <c r="J138" s="275">
        <f>ROUND((IF('Ground Base'!J$154&gt;ROUND(((1-GroundAKHIDiscount)*'Ground Base'!J133),2),ROUND(('Ground Base'!J$154+GroundResidentialFee)*(1+GroundFuelSurcharge),2),ROUND((((1-GroundAKHIDiscount)*'Ground Base'!J133)+GroundResidentialFee)*(1+GroundFuelSurcharge),2)))*(1+FedEx_Markup),2)</f>
        <v>544.66</v>
      </c>
      <c r="K138" s="275">
        <f>ROUND((IF('Ground Base'!K$154&gt;ROUND(((1-GroundZone51Discount)*'Ground Base'!K133),2),ROUND(('Ground Base'!K$154+GroundResidentialFee)*(1+GroundFuelSurcharge),2),ROUND((((1-GroundZone51Discount)*'Ground Base'!K133)+GroundResidentialFee)*(1+GroundFuelSurcharge),2)))*(1+FedEx_Markup),2)</f>
        <v>118</v>
      </c>
      <c r="L138" s="275">
        <f>ROUND((IF('Ground Base'!L$154&gt;ROUND(((1-GroundZone54Discount)*'Ground Base'!L133),2),ROUND(('Ground Base'!L$154+GroundResidentialFee)*(1+GroundFuelSurcharge),2),ROUND((((1-GroundZone54Discount)*'Ground Base'!L133)+GroundResidentialFee)*(1+GroundFuelSurcharge),2)))*(1+FedEx_Markup),2)</f>
        <v>164.52</v>
      </c>
    </row>
    <row r="139" ht="12.75" customHeight="1">
      <c r="A139" s="274">
        <v>132.0</v>
      </c>
      <c r="B139" s="275">
        <f>IFERROR(__xludf.DUMMYFUNCTION("ROUND((IF(SINGLE('Ground Base'!B$154)&gt;ROUND(((1-GroundResDiscount31Up-GroundResIncentive)*'Ground Base'!B134),2),ROUND((SINGLE('Ground Base'!B$154)+GroundResidentialFee)*(1+GroundFuelSurcharge),2),ROUND((((1-GroundResDiscount31Up-GroundResIncentive)*'Grou"&amp;"nd Base'!B134)+GroundResidentialFee)*(1+GroundFuelSurcharge),2)))*(1+FedEx_Markup),2)"),59.59)</f>
        <v>59.59</v>
      </c>
      <c r="C139" s="275">
        <f>IFERROR(__xludf.DUMMYFUNCTION("ROUND((IF(SINGLE('Ground Base'!C$154)&gt;ROUND(((1-GroundResDiscount31Up-GroundResIncentive)*'Ground Base'!C134),2),ROUND((SINGLE('Ground Base'!C$154)+GroundResidentialFee)*(1+GroundFuelSurcharge),2),ROUND((((1-GroundResDiscount31Up-GroundResIncentive)*'Grou"&amp;"nd Base'!C134)+GroundResidentialFee)*(1+GroundFuelSurcharge),2)))*(1+FedEx_Markup),2)"),59.59)</f>
        <v>59.59</v>
      </c>
      <c r="D139" s="275">
        <f>IFERROR(__xludf.DUMMYFUNCTION("ROUND((IF(SINGLE('Ground Base'!D$154)&gt;ROUND(((1-GroundResDiscount31Up-GroundResIncentive)*'Ground Base'!D134),2),ROUND((SINGLE('Ground Base'!D$154)+GroundResidentialFee)*(1+GroundFuelSurcharge),2),ROUND((((1-GroundResDiscount31Up-GroundResIncentive)*'Grou"&amp;"nd Base'!D134)+GroundResidentialFee)*(1+GroundFuelSurcharge),2)))*(1+FedEx_Markup),2)"),64.31)</f>
        <v>64.31</v>
      </c>
      <c r="E139" s="275">
        <f>IFERROR(__xludf.DUMMYFUNCTION("ROUND((IF(SINGLE('Ground Base'!E$154)&gt;ROUND(((1-GroundResDiscount31Up-GroundResIncentive)*'Ground Base'!E134),2),ROUND((SINGLE('Ground Base'!E$154)+GroundResidentialFee)*(1+GroundFuelSurcharge),2),ROUND((((1-GroundResDiscount31Up-GroundResIncentive)*'Grou"&amp;"nd Base'!E134)+GroundResidentialFee)*(1+GroundFuelSurcharge),2)))*(1+FedEx_Markup),2)"),66.1)</f>
        <v>66.1</v>
      </c>
      <c r="F139" s="275">
        <f>IFERROR(__xludf.DUMMYFUNCTION("ROUND((IF(SINGLE('Ground Base'!F$154)&gt;ROUND(((1-GroundResDiscount31Up-GroundResIncentive)*'Ground Base'!F134),2),ROUND((SINGLE('Ground Base'!F$154)+GroundResidentialFee)*(1+GroundFuelSurcharge),2),ROUND((((1-GroundResDiscount31Up-GroundResIncentive)*'Grou"&amp;"nd Base'!F134)+GroundResidentialFee)*(1+GroundFuelSurcharge),2)))*(1+FedEx_Markup),2)"),74.51)</f>
        <v>74.51</v>
      </c>
      <c r="G139" s="275">
        <f>IFERROR(__xludf.DUMMYFUNCTION("ROUND((IF(SINGLE('Ground Base'!G$154)&gt;ROUND(((1-GroundResDiscount31Up-GroundResIncentive)*'Ground Base'!G134),2),ROUND((SINGLE('Ground Base'!G$154)+GroundResidentialFee)*(1+GroundFuelSurcharge),2),ROUND((((1-GroundResDiscount31Up-GroundResIncentive)*'Grou"&amp;"nd Base'!G134)+GroundResidentialFee)*(1+GroundFuelSurcharge),2)))*(1+FedEx_Markup),2)"),81.58)</f>
        <v>81.58</v>
      </c>
      <c r="H139" s="275">
        <f>IFERROR(__xludf.DUMMYFUNCTION("ROUND((IF(SINGLE('Ground Base'!H$154)&gt;ROUND(((1-GroundResDiscount31Up-GroundResIncentive)*'Ground Base'!H134),2),ROUND((SINGLE('Ground Base'!H$154)+GroundResidentialFee)*(1+GroundFuelSurcharge),2),ROUND((((1-GroundResDiscount31Up-GroundResIncentive)*'Grou"&amp;"nd Base'!H134)+GroundResidentialFee)*(1+GroundFuelSurcharge),2)))*(1+FedEx_Markup),2)"),92.75)</f>
        <v>92.75</v>
      </c>
      <c r="I139" s="275">
        <f>ROUND((IF('Ground Base'!I$154&gt;ROUND(((1-GroundAKHIDiscount)*'Ground Base'!I134),2),ROUND(('Ground Base'!I$154+GroundResidentialFee)*(1+GroundFuelSurcharge),2),ROUND((((1-GroundAKHIDiscount)*'Ground Base'!I134)+GroundResidentialFee)*(1+GroundFuelSurcharge),2)))*(1+FedEx_Markup),2)</f>
        <v>549.53</v>
      </c>
      <c r="J139" s="275">
        <f>ROUND((IF('Ground Base'!J$154&gt;ROUND(((1-GroundAKHIDiscount)*'Ground Base'!J134),2),ROUND(('Ground Base'!J$154+GroundResidentialFee)*(1+GroundFuelSurcharge),2),ROUND((((1-GroundAKHIDiscount)*'Ground Base'!J134)+GroundResidentialFee)*(1+GroundFuelSurcharge),2)))*(1+FedEx_Markup),2)</f>
        <v>549.53</v>
      </c>
      <c r="K139" s="275">
        <f>ROUND((IF('Ground Base'!K$154&gt;ROUND(((1-GroundZone51Discount)*'Ground Base'!K134),2),ROUND(('Ground Base'!K$154+GroundResidentialFee)*(1+GroundFuelSurcharge),2),ROUND((((1-GroundZone51Discount)*'Ground Base'!K134)+GroundResidentialFee)*(1+GroundFuelSurcharge),2)))*(1+FedEx_Markup),2)</f>
        <v>118</v>
      </c>
      <c r="L139" s="275">
        <f>ROUND((IF('Ground Base'!L$154&gt;ROUND(((1-GroundZone54Discount)*'Ground Base'!L134),2),ROUND(('Ground Base'!L$154+GroundResidentialFee)*(1+GroundFuelSurcharge),2),ROUND((((1-GroundZone54Discount)*'Ground Base'!L134)+GroundResidentialFee)*(1+GroundFuelSurcharge),2)))*(1+FedEx_Markup),2)</f>
        <v>164.53</v>
      </c>
    </row>
    <row r="140" ht="12.75" customHeight="1">
      <c r="A140" s="274">
        <v>133.0</v>
      </c>
      <c r="B140" s="275">
        <f>IFERROR(__xludf.DUMMYFUNCTION("ROUND((IF(SINGLE('Ground Base'!B$154)&gt;ROUND(((1-GroundResDiscount31Up-GroundResIncentive)*'Ground Base'!B135),2),ROUND((SINGLE('Ground Base'!B$154)+GroundResidentialFee)*(1+GroundFuelSurcharge),2),ROUND((((1-GroundResDiscount31Up-GroundResIncentive)*'Grou"&amp;"nd Base'!B135)+GroundResidentialFee)*(1+GroundFuelSurcharge),2)))*(1+FedEx_Markup),2)"),60.06)</f>
        <v>60.06</v>
      </c>
      <c r="C140" s="275">
        <f>IFERROR(__xludf.DUMMYFUNCTION("ROUND((IF(SINGLE('Ground Base'!C$154)&gt;ROUND(((1-GroundResDiscount31Up-GroundResIncentive)*'Ground Base'!C135),2),ROUND((SINGLE('Ground Base'!C$154)+GroundResidentialFee)*(1+GroundFuelSurcharge),2),ROUND((((1-GroundResDiscount31Up-GroundResIncentive)*'Grou"&amp;"nd Base'!C135)+GroundResidentialFee)*(1+GroundFuelSurcharge),2)))*(1+FedEx_Markup),2)"),60.23)</f>
        <v>60.23</v>
      </c>
      <c r="D140" s="275">
        <f>IFERROR(__xludf.DUMMYFUNCTION("ROUND((IF(SINGLE('Ground Base'!D$154)&gt;ROUND(((1-GroundResDiscount31Up-GroundResIncentive)*'Ground Base'!D135),2),ROUND((SINGLE('Ground Base'!D$154)+GroundResidentialFee)*(1+GroundFuelSurcharge),2),ROUND((((1-GroundResDiscount31Up-GroundResIncentive)*'Grou"&amp;"nd Base'!D135)+GroundResidentialFee)*(1+GroundFuelSurcharge),2)))*(1+FedEx_Markup),2)"),64.32)</f>
        <v>64.32</v>
      </c>
      <c r="E140" s="275">
        <f>IFERROR(__xludf.DUMMYFUNCTION("ROUND((IF(SINGLE('Ground Base'!E$154)&gt;ROUND(((1-GroundResDiscount31Up-GroundResIncentive)*'Ground Base'!E135),2),ROUND((SINGLE('Ground Base'!E$154)+GroundResidentialFee)*(1+GroundFuelSurcharge),2),ROUND((((1-GroundResDiscount31Up-GroundResIncentive)*'Grou"&amp;"nd Base'!E135)+GroundResidentialFee)*(1+GroundFuelSurcharge),2)))*(1+FedEx_Markup),2)"),66.1)</f>
        <v>66.1</v>
      </c>
      <c r="F140" s="275">
        <f>IFERROR(__xludf.DUMMYFUNCTION("ROUND((IF(SINGLE('Ground Base'!F$154)&gt;ROUND(((1-GroundResDiscount31Up-GroundResIncentive)*'Ground Base'!F135),2),ROUND((SINGLE('Ground Base'!F$154)+GroundResidentialFee)*(1+GroundFuelSurcharge),2),ROUND((((1-GroundResDiscount31Up-GroundResIncentive)*'Grou"&amp;"nd Base'!F135)+GroundResidentialFee)*(1+GroundFuelSurcharge),2)))*(1+FedEx_Markup),2)"),74.88)</f>
        <v>74.88</v>
      </c>
      <c r="G140" s="275">
        <f>IFERROR(__xludf.DUMMYFUNCTION("ROUND((IF(SINGLE('Ground Base'!G$154)&gt;ROUND(((1-GroundResDiscount31Up-GroundResIncentive)*'Ground Base'!G135),2),ROUND((SINGLE('Ground Base'!G$154)+GroundResidentialFee)*(1+GroundFuelSurcharge),2),ROUND((((1-GroundResDiscount31Up-GroundResIncentive)*'Grou"&amp;"nd Base'!G135)+GroundResidentialFee)*(1+GroundFuelSurcharge),2)))*(1+FedEx_Markup),2)"),81.58)</f>
        <v>81.58</v>
      </c>
      <c r="H140" s="275">
        <f>IFERROR(__xludf.DUMMYFUNCTION("ROUND((IF(SINGLE('Ground Base'!H$154)&gt;ROUND(((1-GroundResDiscount31Up-GroundResIncentive)*'Ground Base'!H135),2),ROUND((SINGLE('Ground Base'!H$154)+GroundResidentialFee)*(1+GroundFuelSurcharge),2),ROUND((((1-GroundResDiscount31Up-GroundResIncentive)*'Grou"&amp;"nd Base'!H135)+GroundResidentialFee)*(1+GroundFuelSurcharge),2)))*(1+FedEx_Markup),2)"),92.75)</f>
        <v>92.75</v>
      </c>
      <c r="I140" s="275">
        <f>ROUND((IF('Ground Base'!I$154&gt;ROUND(((1-GroundAKHIDiscount)*'Ground Base'!I135),2),ROUND(('Ground Base'!I$154+GroundResidentialFee)*(1+GroundFuelSurcharge),2),ROUND((((1-GroundAKHIDiscount)*'Ground Base'!I135)+GroundResidentialFee)*(1+GroundFuelSurcharge),2)))*(1+FedEx_Markup),2)</f>
        <v>552.82</v>
      </c>
      <c r="J140" s="275">
        <f>ROUND((IF('Ground Base'!J$154&gt;ROUND(((1-GroundAKHIDiscount)*'Ground Base'!J135),2),ROUND(('Ground Base'!J$154+GroundResidentialFee)*(1+GroundFuelSurcharge),2),ROUND((((1-GroundAKHIDiscount)*'Ground Base'!J135)+GroundResidentialFee)*(1+GroundFuelSurcharge),2)))*(1+FedEx_Markup),2)</f>
        <v>552.82</v>
      </c>
      <c r="K140" s="275">
        <f>ROUND((IF('Ground Base'!K$154&gt;ROUND(((1-GroundZone51Discount)*'Ground Base'!K135),2),ROUND(('Ground Base'!K$154+GroundResidentialFee)*(1+GroundFuelSurcharge),2),ROUND((((1-GroundZone51Discount)*'Ground Base'!K135)+GroundResidentialFee)*(1+GroundFuelSurcharge),2)))*(1+FedEx_Markup),2)</f>
        <v>118.01</v>
      </c>
      <c r="L140" s="275">
        <f>ROUND((IF('Ground Base'!L$154&gt;ROUND(((1-GroundZone54Discount)*'Ground Base'!L135),2),ROUND(('Ground Base'!L$154+GroundResidentialFee)*(1+GroundFuelSurcharge),2),ROUND((((1-GroundZone54Discount)*'Ground Base'!L135)+GroundResidentialFee)*(1+GroundFuelSurcharge),2)))*(1+FedEx_Markup),2)</f>
        <v>164.54</v>
      </c>
    </row>
    <row r="141" ht="12.75" customHeight="1">
      <c r="A141" s="274">
        <v>134.0</v>
      </c>
      <c r="B141" s="275">
        <f>IFERROR(__xludf.DUMMYFUNCTION("ROUND((IF(SINGLE('Ground Base'!B$154)&gt;ROUND(((1-GroundResDiscount31Up-GroundResIncentive)*'Ground Base'!B136),2),ROUND((SINGLE('Ground Base'!B$154)+GroundResidentialFee)*(1+GroundFuelSurcharge),2),ROUND((((1-GroundResDiscount31Up-GroundResIncentive)*'Grou"&amp;"nd Base'!B136)+GroundResidentialFee)*(1+GroundFuelSurcharge),2)))*(1+FedEx_Markup),2)"),61.13)</f>
        <v>61.13</v>
      </c>
      <c r="C141" s="275">
        <f>IFERROR(__xludf.DUMMYFUNCTION("ROUND((IF(SINGLE('Ground Base'!C$154)&gt;ROUND(((1-GroundResDiscount31Up-GroundResIncentive)*'Ground Base'!C136),2),ROUND((SINGLE('Ground Base'!C$154)+GroundResidentialFee)*(1+GroundFuelSurcharge),2),ROUND((((1-GroundResDiscount31Up-GroundResIncentive)*'Grou"&amp;"nd Base'!C136)+GroundResidentialFee)*(1+GroundFuelSurcharge),2)))*(1+FedEx_Markup),2)"),61.2)</f>
        <v>61.2</v>
      </c>
      <c r="D141" s="275">
        <f>IFERROR(__xludf.DUMMYFUNCTION("ROUND((IF(SINGLE('Ground Base'!D$154)&gt;ROUND(((1-GroundResDiscount31Up-GroundResIncentive)*'Ground Base'!D136),2),ROUND((SINGLE('Ground Base'!D$154)+GroundResidentialFee)*(1+GroundFuelSurcharge),2),ROUND((((1-GroundResDiscount31Up-GroundResIncentive)*'Grou"&amp;"nd Base'!D136)+GroundResidentialFee)*(1+GroundFuelSurcharge),2)))*(1+FedEx_Markup),2)"),65.53)</f>
        <v>65.53</v>
      </c>
      <c r="E141" s="275">
        <f>IFERROR(__xludf.DUMMYFUNCTION("ROUND((IF(SINGLE('Ground Base'!E$154)&gt;ROUND(((1-GroundResDiscount31Up-GroundResIncentive)*'Ground Base'!E136),2),ROUND((SINGLE('Ground Base'!E$154)+GroundResidentialFee)*(1+GroundFuelSurcharge),2),ROUND((((1-GroundResDiscount31Up-GroundResIncentive)*'Grou"&amp;"nd Base'!E136)+GroundResidentialFee)*(1+GroundFuelSurcharge),2)))*(1+FedEx_Markup),2)"),67.24)</f>
        <v>67.24</v>
      </c>
      <c r="F141" s="275">
        <f>IFERROR(__xludf.DUMMYFUNCTION("ROUND((IF(SINGLE('Ground Base'!F$154)&gt;ROUND(((1-GroundResDiscount31Up-GroundResIncentive)*'Ground Base'!F136),2),ROUND((SINGLE('Ground Base'!F$154)+GroundResidentialFee)*(1+GroundFuelSurcharge),2),ROUND((((1-GroundResDiscount31Up-GroundResIncentive)*'Grou"&amp;"nd Base'!F136)+GroundResidentialFee)*(1+GroundFuelSurcharge),2)))*(1+FedEx_Markup),2)"),76.12)</f>
        <v>76.12</v>
      </c>
      <c r="G141" s="275">
        <f>IFERROR(__xludf.DUMMYFUNCTION("ROUND((IF(SINGLE('Ground Base'!G$154)&gt;ROUND(((1-GroundResDiscount31Up-GroundResIncentive)*'Ground Base'!G136),2),ROUND((SINGLE('Ground Base'!G$154)+GroundResidentialFee)*(1+GroundFuelSurcharge),2),ROUND((((1-GroundResDiscount31Up-GroundResIncentive)*'Grou"&amp;"nd Base'!G136)+GroundResidentialFee)*(1+GroundFuelSurcharge),2)))*(1+FedEx_Markup),2)"),82.88)</f>
        <v>82.88</v>
      </c>
      <c r="H141" s="275">
        <f>IFERROR(__xludf.DUMMYFUNCTION("ROUND((IF(SINGLE('Ground Base'!H$154)&gt;ROUND(((1-GroundResDiscount31Up-GroundResIncentive)*'Ground Base'!H136),2),ROUND((SINGLE('Ground Base'!H$154)+GroundResidentialFee)*(1+GroundFuelSurcharge),2),ROUND((((1-GroundResDiscount31Up-GroundResIncentive)*'Grou"&amp;"nd Base'!H136)+GroundResidentialFee)*(1+GroundFuelSurcharge),2)))*(1+FedEx_Markup),2)"),92.76)</f>
        <v>92.76</v>
      </c>
      <c r="I141" s="275">
        <f>ROUND((IF('Ground Base'!I$154&gt;ROUND(((1-GroundAKHIDiscount)*'Ground Base'!I136),2),ROUND(('Ground Base'!I$154+GroundResidentialFee)*(1+GroundFuelSurcharge),2),ROUND((((1-GroundAKHIDiscount)*'Ground Base'!I136)+GroundResidentialFee)*(1+GroundFuelSurcharge),2)))*(1+FedEx_Markup),2)</f>
        <v>552.83</v>
      </c>
      <c r="J141" s="275">
        <f>ROUND((IF('Ground Base'!J$154&gt;ROUND(((1-GroundAKHIDiscount)*'Ground Base'!J136),2),ROUND(('Ground Base'!J$154+GroundResidentialFee)*(1+GroundFuelSurcharge),2),ROUND((((1-GroundAKHIDiscount)*'Ground Base'!J136)+GroundResidentialFee)*(1+GroundFuelSurcharge),2)))*(1+FedEx_Markup),2)</f>
        <v>552.83</v>
      </c>
      <c r="K141" s="275">
        <f>ROUND((IF('Ground Base'!K$154&gt;ROUND(((1-GroundZone51Discount)*'Ground Base'!K136),2),ROUND(('Ground Base'!K$154+GroundResidentialFee)*(1+GroundFuelSurcharge),2),ROUND((((1-GroundZone51Discount)*'Ground Base'!K136)+GroundResidentialFee)*(1+GroundFuelSurcharge),2)))*(1+FedEx_Markup),2)</f>
        <v>118.01</v>
      </c>
      <c r="L141" s="275">
        <f>ROUND((IF('Ground Base'!L$154&gt;ROUND(((1-GroundZone54Discount)*'Ground Base'!L136),2),ROUND(('Ground Base'!L$154+GroundResidentialFee)*(1+GroundFuelSurcharge),2),ROUND((((1-GroundZone54Discount)*'Ground Base'!L136)+GroundResidentialFee)*(1+GroundFuelSurcharge),2)))*(1+FedEx_Markup),2)</f>
        <v>164.54</v>
      </c>
    </row>
    <row r="142" ht="12.75" customHeight="1">
      <c r="A142" s="274">
        <v>135.0</v>
      </c>
      <c r="B142" s="275">
        <f>IFERROR(__xludf.DUMMYFUNCTION("ROUND((IF(SINGLE('Ground Base'!B$154)&gt;ROUND(((1-GroundResDiscount31Up-GroundResIncentive)*'Ground Base'!B137),2),ROUND((SINGLE('Ground Base'!B$154)+GroundResidentialFee)*(1+GroundFuelSurcharge),2),ROUND((((1-GroundResDiscount31Up-GroundResIncentive)*'Grou"&amp;"nd Base'!B137)+GroundResidentialFee)*(1+GroundFuelSurcharge),2)))*(1+FedEx_Markup),2)"),61.58)</f>
        <v>61.58</v>
      </c>
      <c r="C142" s="275">
        <f>IFERROR(__xludf.DUMMYFUNCTION("ROUND((IF(SINGLE('Ground Base'!C$154)&gt;ROUND(((1-GroundResDiscount31Up-GroundResIncentive)*'Ground Base'!C137),2),ROUND((SINGLE('Ground Base'!C$154)+GroundResidentialFee)*(1+GroundFuelSurcharge),2),ROUND((((1-GroundResDiscount31Up-GroundResIncentive)*'Grou"&amp;"nd Base'!C137)+GroundResidentialFee)*(1+GroundFuelSurcharge),2)))*(1+FedEx_Markup),2)"),62.36)</f>
        <v>62.36</v>
      </c>
      <c r="D142" s="275">
        <f>IFERROR(__xludf.DUMMYFUNCTION("ROUND((IF(SINGLE('Ground Base'!D$154)&gt;ROUND(((1-GroundResDiscount31Up-GroundResIncentive)*'Ground Base'!D137),2),ROUND((SINGLE('Ground Base'!D$154)+GroundResidentialFee)*(1+GroundFuelSurcharge),2),ROUND((((1-GroundResDiscount31Up-GroundResIncentive)*'Grou"&amp;"nd Base'!D137)+GroundResidentialFee)*(1+GroundFuelSurcharge),2)))*(1+FedEx_Markup),2)"),66.68)</f>
        <v>66.68</v>
      </c>
      <c r="E142" s="275">
        <f>IFERROR(__xludf.DUMMYFUNCTION("ROUND((IF(SINGLE('Ground Base'!E$154)&gt;ROUND(((1-GroundResDiscount31Up-GroundResIncentive)*'Ground Base'!E137),2),ROUND((SINGLE('Ground Base'!E$154)+GroundResidentialFee)*(1+GroundFuelSurcharge),2),ROUND((((1-GroundResDiscount31Up-GroundResIncentive)*'Grou"&amp;"nd Base'!E137)+GroundResidentialFee)*(1+GroundFuelSurcharge),2)))*(1+FedEx_Markup),2)"),68.39)</f>
        <v>68.39</v>
      </c>
      <c r="F142" s="275">
        <f>IFERROR(__xludf.DUMMYFUNCTION("ROUND((IF(SINGLE('Ground Base'!F$154)&gt;ROUND(((1-GroundResDiscount31Up-GroundResIncentive)*'Ground Base'!F137),2),ROUND((SINGLE('Ground Base'!F$154)+GroundResidentialFee)*(1+GroundFuelSurcharge),2),ROUND((((1-GroundResDiscount31Up-GroundResIncentive)*'Grou"&amp;"nd Base'!F137)+GroundResidentialFee)*(1+GroundFuelSurcharge),2)))*(1+FedEx_Markup),2)"),77.03)</f>
        <v>77.03</v>
      </c>
      <c r="G142" s="275">
        <f>IFERROR(__xludf.DUMMYFUNCTION("ROUND((IF(SINGLE('Ground Base'!G$154)&gt;ROUND(((1-GroundResDiscount31Up-GroundResIncentive)*'Ground Base'!G137),2),ROUND((SINGLE('Ground Base'!G$154)+GroundResidentialFee)*(1+GroundFuelSurcharge),2),ROUND((((1-GroundResDiscount31Up-GroundResIncentive)*'Grou"&amp;"nd Base'!G137)+GroundResidentialFee)*(1+GroundFuelSurcharge),2)))*(1+FedEx_Markup),2)"),83.29)</f>
        <v>83.29</v>
      </c>
      <c r="H142" s="275">
        <f>IFERROR(__xludf.DUMMYFUNCTION("ROUND((IF(SINGLE('Ground Base'!H$154)&gt;ROUND(((1-GroundResDiscount31Up-GroundResIncentive)*'Ground Base'!H137),2),ROUND((SINGLE('Ground Base'!H$154)+GroundResidentialFee)*(1+GroundFuelSurcharge),2),ROUND((((1-GroundResDiscount31Up-GroundResIncentive)*'Grou"&amp;"nd Base'!H137)+GroundResidentialFee)*(1+GroundFuelSurcharge),2)))*(1+FedEx_Markup),2)"),93.2)</f>
        <v>93.2</v>
      </c>
      <c r="I142" s="275">
        <f>ROUND((IF('Ground Base'!I$154&gt;ROUND(((1-GroundAKHIDiscount)*'Ground Base'!I137),2),ROUND(('Ground Base'!I$154+GroundResidentialFee)*(1+GroundFuelSurcharge),2),ROUND((((1-GroundAKHIDiscount)*'Ground Base'!I137)+GroundResidentialFee)*(1+GroundFuelSurcharge),2)))*(1+FedEx_Markup),2)</f>
        <v>556.99</v>
      </c>
      <c r="J142" s="275">
        <f>ROUND((IF('Ground Base'!J$154&gt;ROUND(((1-GroundAKHIDiscount)*'Ground Base'!J137),2),ROUND(('Ground Base'!J$154+GroundResidentialFee)*(1+GroundFuelSurcharge),2),ROUND((((1-GroundAKHIDiscount)*'Ground Base'!J137)+GroundResidentialFee)*(1+GroundFuelSurcharge),2)))*(1+FedEx_Markup),2)</f>
        <v>556.99</v>
      </c>
      <c r="K142" s="275">
        <f>ROUND((IF('Ground Base'!K$154&gt;ROUND(((1-GroundZone51Discount)*'Ground Base'!K137),2),ROUND(('Ground Base'!K$154+GroundResidentialFee)*(1+GroundFuelSurcharge),2),ROUND((((1-GroundZone51Discount)*'Ground Base'!K137)+GroundResidentialFee)*(1+GroundFuelSurcharge),2)))*(1+FedEx_Markup),2)</f>
        <v>118.02</v>
      </c>
      <c r="L142" s="275">
        <f>ROUND((IF('Ground Base'!L$154&gt;ROUND(((1-GroundZone54Discount)*'Ground Base'!L137),2),ROUND(('Ground Base'!L$154+GroundResidentialFee)*(1+GroundFuelSurcharge),2),ROUND((((1-GroundZone54Discount)*'Ground Base'!L137)+GroundResidentialFee)*(1+GroundFuelSurcharge),2)))*(1+FedEx_Markup),2)</f>
        <v>164.55</v>
      </c>
    </row>
    <row r="143" ht="12.75" customHeight="1">
      <c r="A143" s="274">
        <v>136.0</v>
      </c>
      <c r="B143" s="275">
        <f>IFERROR(__xludf.DUMMYFUNCTION("ROUND((IF(SINGLE('Ground Base'!B$154)&gt;ROUND(((1-GroundResDiscount31Up-GroundResIncentive)*'Ground Base'!B138),2),ROUND((SINGLE('Ground Base'!B$154)+GroundResidentialFee)*(1+GroundFuelSurcharge),2),ROUND((((1-GroundResDiscount31Up-GroundResIncentive)*'Grou"&amp;"nd Base'!B138)+GroundResidentialFee)*(1+GroundFuelSurcharge),2)))*(1+FedEx_Markup),2)"),62.01)</f>
        <v>62.01</v>
      </c>
      <c r="C143" s="275">
        <f>IFERROR(__xludf.DUMMYFUNCTION("ROUND((IF(SINGLE('Ground Base'!C$154)&gt;ROUND(((1-GroundResDiscount31Up-GroundResIncentive)*'Ground Base'!C138),2),ROUND((SINGLE('Ground Base'!C$154)+GroundResidentialFee)*(1+GroundFuelSurcharge),2),ROUND((((1-GroundResDiscount31Up-GroundResIncentive)*'Grou"&amp;"nd Base'!C138)+GroundResidentialFee)*(1+GroundFuelSurcharge),2)))*(1+FedEx_Markup),2)"),62.36)</f>
        <v>62.36</v>
      </c>
      <c r="D143" s="275">
        <f>IFERROR(__xludf.DUMMYFUNCTION("ROUND((IF(SINGLE('Ground Base'!D$154)&gt;ROUND(((1-GroundResDiscount31Up-GroundResIncentive)*'Ground Base'!D138),2),ROUND((SINGLE('Ground Base'!D$154)+GroundResidentialFee)*(1+GroundFuelSurcharge),2),ROUND((((1-GroundResDiscount31Up-GroundResIncentive)*'Grou"&amp;"nd Base'!D138)+GroundResidentialFee)*(1+GroundFuelSurcharge),2)))*(1+FedEx_Markup),2)"),67.1)</f>
        <v>67.1</v>
      </c>
      <c r="E143" s="275">
        <f>IFERROR(__xludf.DUMMYFUNCTION("ROUND((IF(SINGLE('Ground Base'!E$154)&gt;ROUND(((1-GroundResDiscount31Up-GroundResIncentive)*'Ground Base'!E138),2),ROUND((SINGLE('Ground Base'!E$154)+GroundResidentialFee)*(1+GroundFuelSurcharge),2),ROUND((((1-GroundResDiscount31Up-GroundResIncentive)*'Grou"&amp;"nd Base'!E138)+GroundResidentialFee)*(1+GroundFuelSurcharge),2)))*(1+FedEx_Markup),2)"),68.95)</f>
        <v>68.95</v>
      </c>
      <c r="F143" s="275">
        <f>IFERROR(__xludf.DUMMYFUNCTION("ROUND((IF(SINGLE('Ground Base'!F$154)&gt;ROUND(((1-GroundResDiscount31Up-GroundResIncentive)*'Ground Base'!F138),2),ROUND((SINGLE('Ground Base'!F$154)+GroundResidentialFee)*(1+GroundFuelSurcharge),2),ROUND((((1-GroundResDiscount31Up-GroundResIncentive)*'Grou"&amp;"nd Base'!F138)+GroundResidentialFee)*(1+GroundFuelSurcharge),2)))*(1+FedEx_Markup),2)"),77.03)</f>
        <v>77.03</v>
      </c>
      <c r="G143" s="275">
        <f>IFERROR(__xludf.DUMMYFUNCTION("ROUND((IF(SINGLE('Ground Base'!G$154)&gt;ROUND(((1-GroundResDiscount31Up-GroundResIncentive)*'Ground Base'!G138),2),ROUND((SINGLE('Ground Base'!G$154)+GroundResidentialFee)*(1+GroundFuelSurcharge),2),ROUND((((1-GroundResDiscount31Up-GroundResIncentive)*'Grou"&amp;"nd Base'!G138)+GroundResidentialFee)*(1+GroundFuelSurcharge),2)))*(1+FedEx_Markup),2)"),84.55)</f>
        <v>84.55</v>
      </c>
      <c r="H143" s="275">
        <f>IFERROR(__xludf.DUMMYFUNCTION("ROUND((IF(SINGLE('Ground Base'!H$154)&gt;ROUND(((1-GroundResDiscount31Up-GroundResIncentive)*'Ground Base'!H138),2),ROUND((SINGLE('Ground Base'!H$154)+GroundResidentialFee)*(1+GroundFuelSurcharge),2),ROUND((((1-GroundResDiscount31Up-GroundResIncentive)*'Grou"&amp;"nd Base'!H138)+GroundResidentialFee)*(1+GroundFuelSurcharge),2)))*(1+FedEx_Markup),2)"),93.82)</f>
        <v>93.82</v>
      </c>
      <c r="I143" s="275">
        <f>ROUND((IF('Ground Base'!I$154&gt;ROUND(((1-GroundAKHIDiscount)*'Ground Base'!I138),2),ROUND(('Ground Base'!I$154+GroundResidentialFee)*(1+GroundFuelSurcharge),2),ROUND((((1-GroundAKHIDiscount)*'Ground Base'!I138)+GroundResidentialFee)*(1+GroundFuelSurcharge),2)))*(1+FedEx_Markup),2)</f>
        <v>561.21</v>
      </c>
      <c r="J143" s="275">
        <f>ROUND((IF('Ground Base'!J$154&gt;ROUND(((1-GroundAKHIDiscount)*'Ground Base'!J138),2),ROUND(('Ground Base'!J$154+GroundResidentialFee)*(1+GroundFuelSurcharge),2),ROUND((((1-GroundAKHIDiscount)*'Ground Base'!J138)+GroundResidentialFee)*(1+GroundFuelSurcharge),2)))*(1+FedEx_Markup),2)</f>
        <v>561.21</v>
      </c>
      <c r="K143" s="275">
        <f>ROUND((IF('Ground Base'!K$154&gt;ROUND(((1-GroundZone51Discount)*'Ground Base'!K138),2),ROUND(('Ground Base'!K$154+GroundResidentialFee)*(1+GroundFuelSurcharge),2),ROUND((((1-GroundZone51Discount)*'Ground Base'!K138)+GroundResidentialFee)*(1+GroundFuelSurcharge),2)))*(1+FedEx_Markup),2)</f>
        <v>120.37</v>
      </c>
      <c r="L143" s="275">
        <f>ROUND((IF('Ground Base'!L$154&gt;ROUND(((1-GroundZone54Discount)*'Ground Base'!L138),2),ROUND(('Ground Base'!L$154+GroundResidentialFee)*(1+GroundFuelSurcharge),2),ROUND((((1-GroundZone54Discount)*'Ground Base'!L138)+GroundResidentialFee)*(1+GroundFuelSurcharge),2)))*(1+FedEx_Markup),2)</f>
        <v>169.72</v>
      </c>
    </row>
    <row r="144" ht="12.75" customHeight="1">
      <c r="A144" s="274">
        <v>137.0</v>
      </c>
      <c r="B144" s="275">
        <f>IFERROR(__xludf.DUMMYFUNCTION("ROUND((IF(SINGLE('Ground Base'!B$154)&gt;ROUND(((1-GroundResDiscount31Up-GroundResIncentive)*'Ground Base'!B139),2),ROUND((SINGLE('Ground Base'!B$154)+GroundResidentialFee)*(1+GroundFuelSurcharge),2),ROUND((((1-GroundResDiscount31Up-GroundResIncentive)*'Grou"&amp;"nd Base'!B139)+GroundResidentialFee)*(1+GroundFuelSurcharge),2)))*(1+FedEx_Markup),2)"),62.02)</f>
        <v>62.02</v>
      </c>
      <c r="C144" s="275">
        <f>IFERROR(__xludf.DUMMYFUNCTION("ROUND((IF(SINGLE('Ground Base'!C$154)&gt;ROUND(((1-GroundResDiscount31Up-GroundResIncentive)*'Ground Base'!C139),2),ROUND((SINGLE('Ground Base'!C$154)+GroundResidentialFee)*(1+GroundFuelSurcharge),2),ROUND((((1-GroundResDiscount31Up-GroundResIncentive)*'Grou"&amp;"nd Base'!C139)+GroundResidentialFee)*(1+GroundFuelSurcharge),2)))*(1+FedEx_Markup),2)"),62.5)</f>
        <v>62.5</v>
      </c>
      <c r="D144" s="275">
        <f>IFERROR(__xludf.DUMMYFUNCTION("ROUND((IF(SINGLE('Ground Base'!D$154)&gt;ROUND(((1-GroundResDiscount31Up-GroundResIncentive)*'Ground Base'!D139),2),ROUND((SINGLE('Ground Base'!D$154)+GroundResidentialFee)*(1+GroundFuelSurcharge),2),ROUND((((1-GroundResDiscount31Up-GroundResIncentive)*'Grou"&amp;"nd Base'!D139)+GroundResidentialFee)*(1+GroundFuelSurcharge),2)))*(1+FedEx_Markup),2)"),68.8)</f>
        <v>68.8</v>
      </c>
      <c r="E144" s="275">
        <f>IFERROR(__xludf.DUMMYFUNCTION("ROUND((IF(SINGLE('Ground Base'!E$154)&gt;ROUND(((1-GroundResDiscount31Up-GroundResIncentive)*'Ground Base'!E139),2),ROUND((SINGLE('Ground Base'!E$154)+GroundResidentialFee)*(1+GroundFuelSurcharge),2),ROUND((((1-GroundResDiscount31Up-GroundResIncentive)*'Grou"&amp;"nd Base'!E139)+GroundResidentialFee)*(1+GroundFuelSurcharge),2)))*(1+FedEx_Markup),2)"),69.44)</f>
        <v>69.44</v>
      </c>
      <c r="F144" s="275">
        <f>IFERROR(__xludf.DUMMYFUNCTION("ROUND((IF(SINGLE('Ground Base'!F$154)&gt;ROUND(((1-GroundResDiscount31Up-GroundResIncentive)*'Ground Base'!F139),2),ROUND((SINGLE('Ground Base'!F$154)+GroundResidentialFee)*(1+GroundFuelSurcharge),2),ROUND((((1-GroundResDiscount31Up-GroundResIncentive)*'Grou"&amp;"nd Base'!F139)+GroundResidentialFee)*(1+GroundFuelSurcharge),2)))*(1+FedEx_Markup),2)"),77.04)</f>
        <v>77.04</v>
      </c>
      <c r="G144" s="275">
        <f>IFERROR(__xludf.DUMMYFUNCTION("ROUND((IF(SINGLE('Ground Base'!G$154)&gt;ROUND(((1-GroundResDiscount31Up-GroundResIncentive)*'Ground Base'!G139),2),ROUND((SINGLE('Ground Base'!G$154)+GroundResidentialFee)*(1+GroundFuelSurcharge),2),ROUND((((1-GroundResDiscount31Up-GroundResIncentive)*'Grou"&amp;"nd Base'!G139)+GroundResidentialFee)*(1+GroundFuelSurcharge),2)))*(1+FedEx_Markup),2)"),84.56)</f>
        <v>84.56</v>
      </c>
      <c r="H144" s="275">
        <f>IFERROR(__xludf.DUMMYFUNCTION("ROUND((IF(SINGLE('Ground Base'!H$154)&gt;ROUND(((1-GroundResDiscount31Up-GroundResIncentive)*'Ground Base'!H139),2),ROUND((SINGLE('Ground Base'!H$154)+GroundResidentialFee)*(1+GroundFuelSurcharge),2),ROUND((((1-GroundResDiscount31Up-GroundResIncentive)*'Grou"&amp;"nd Base'!H139)+GroundResidentialFee)*(1+GroundFuelSurcharge),2)))*(1+FedEx_Markup),2)"),93.83)</f>
        <v>93.83</v>
      </c>
      <c r="I144" s="275">
        <f>ROUND((IF('Ground Base'!I$154&gt;ROUND(((1-GroundAKHIDiscount)*'Ground Base'!I139),2),ROUND(('Ground Base'!I$154+GroundResidentialFee)*(1+GroundFuelSurcharge),2),ROUND((((1-GroundAKHIDiscount)*'Ground Base'!I139)+GroundResidentialFee)*(1+GroundFuelSurcharge),2)))*(1+FedEx_Markup),2)</f>
        <v>576.2</v>
      </c>
      <c r="J144" s="275">
        <f>ROUND((IF('Ground Base'!J$154&gt;ROUND(((1-GroundAKHIDiscount)*'Ground Base'!J139),2),ROUND(('Ground Base'!J$154+GroundResidentialFee)*(1+GroundFuelSurcharge),2),ROUND((((1-GroundAKHIDiscount)*'Ground Base'!J139)+GroundResidentialFee)*(1+GroundFuelSurcharge),2)))*(1+FedEx_Markup),2)</f>
        <v>576.2</v>
      </c>
      <c r="K144" s="275">
        <f>ROUND((IF('Ground Base'!K$154&gt;ROUND(((1-GroundZone51Discount)*'Ground Base'!K139),2),ROUND(('Ground Base'!K$154+GroundResidentialFee)*(1+GroundFuelSurcharge),2),ROUND((((1-GroundZone51Discount)*'Ground Base'!K139)+GroundResidentialFee)*(1+GroundFuelSurcharge),2)))*(1+FedEx_Markup),2)</f>
        <v>120.37</v>
      </c>
      <c r="L144" s="275">
        <f>ROUND((IF('Ground Base'!L$154&gt;ROUND(((1-GroundZone54Discount)*'Ground Base'!L139),2),ROUND(('Ground Base'!L$154+GroundResidentialFee)*(1+GroundFuelSurcharge),2),ROUND((((1-GroundZone54Discount)*'Ground Base'!L139)+GroundResidentialFee)*(1+GroundFuelSurcharge),2)))*(1+FedEx_Markup),2)</f>
        <v>169.73</v>
      </c>
    </row>
    <row r="145" ht="12.75" customHeight="1">
      <c r="A145" s="274">
        <v>138.0</v>
      </c>
      <c r="B145" s="275">
        <f>IFERROR(__xludf.DUMMYFUNCTION("ROUND((IF(SINGLE('Ground Base'!B$154)&gt;ROUND(((1-GroundResDiscount31Up-GroundResIncentive)*'Ground Base'!B140),2),ROUND((SINGLE('Ground Base'!B$154)+GroundResidentialFee)*(1+GroundFuelSurcharge),2),ROUND((((1-GroundResDiscount31Up-GroundResIncentive)*'Grou"&amp;"nd Base'!B140)+GroundResidentialFee)*(1+GroundFuelSurcharge),2)))*(1+FedEx_Markup),2)"),63.12)</f>
        <v>63.12</v>
      </c>
      <c r="C145" s="275">
        <f>IFERROR(__xludf.DUMMYFUNCTION("ROUND((IF(SINGLE('Ground Base'!C$154)&gt;ROUND(((1-GroundResDiscount31Up-GroundResIncentive)*'Ground Base'!C140),2),ROUND((SINGLE('Ground Base'!C$154)+GroundResidentialFee)*(1+GroundFuelSurcharge),2),ROUND((((1-GroundResDiscount31Up-GroundResIncentive)*'Grou"&amp;"nd Base'!C140)+GroundResidentialFee)*(1+GroundFuelSurcharge),2)))*(1+FedEx_Markup),2)"),64.03)</f>
        <v>64.03</v>
      </c>
      <c r="D145" s="275">
        <f>IFERROR(__xludf.DUMMYFUNCTION("ROUND((IF(SINGLE('Ground Base'!D$154)&gt;ROUND(((1-GroundResDiscount31Up-GroundResIncentive)*'Ground Base'!D140),2),ROUND((SINGLE('Ground Base'!D$154)+GroundResidentialFee)*(1+GroundFuelSurcharge),2),ROUND((((1-GroundResDiscount31Up-GroundResIncentive)*'Grou"&amp;"nd Base'!D140)+GroundResidentialFee)*(1+GroundFuelSurcharge),2)))*(1+FedEx_Markup),2)"),69.13)</f>
        <v>69.13</v>
      </c>
      <c r="E145" s="275">
        <f>IFERROR(__xludf.DUMMYFUNCTION("ROUND((IF(SINGLE('Ground Base'!E$154)&gt;ROUND(((1-GroundResDiscount31Up-GroundResIncentive)*'Ground Base'!E140),2),ROUND((SINGLE('Ground Base'!E$154)+GroundResidentialFee)*(1+GroundFuelSurcharge),2),ROUND((((1-GroundResDiscount31Up-GroundResIncentive)*'Grou"&amp;"nd Base'!E140)+GroundResidentialFee)*(1+GroundFuelSurcharge),2)))*(1+FedEx_Markup),2)"),69.99)</f>
        <v>69.99</v>
      </c>
      <c r="F145" s="275">
        <f>IFERROR(__xludf.DUMMYFUNCTION("ROUND((IF(SINGLE('Ground Base'!F$154)&gt;ROUND(((1-GroundResDiscount31Up-GroundResIncentive)*'Ground Base'!F140),2),ROUND((SINGLE('Ground Base'!F$154)+GroundResidentialFee)*(1+GroundFuelSurcharge),2),ROUND((((1-GroundResDiscount31Up-GroundResIncentive)*'Grou"&amp;"nd Base'!F140)+GroundResidentialFee)*(1+GroundFuelSurcharge),2)))*(1+FedEx_Markup),2)"),78.56)</f>
        <v>78.56</v>
      </c>
      <c r="G145" s="275">
        <f>IFERROR(__xludf.DUMMYFUNCTION("ROUND((IF(SINGLE('Ground Base'!G$154)&gt;ROUND(((1-GroundResDiscount31Up-GroundResIncentive)*'Ground Base'!G140),2),ROUND((SINGLE('Ground Base'!G$154)+GroundResidentialFee)*(1+GroundFuelSurcharge),2),ROUND((((1-GroundResDiscount31Up-GroundResIncentive)*'Grou"&amp;"nd Base'!G140)+GroundResidentialFee)*(1+GroundFuelSurcharge),2)))*(1+FedEx_Markup),2)"),85.25)</f>
        <v>85.25</v>
      </c>
      <c r="H145" s="275">
        <f>IFERROR(__xludf.DUMMYFUNCTION("ROUND((IF(SINGLE('Ground Base'!H$154)&gt;ROUND(((1-GroundResDiscount31Up-GroundResIncentive)*'Ground Base'!H140),2),ROUND((SINGLE('Ground Base'!H$154)+GroundResidentialFee)*(1+GroundFuelSurcharge),2),ROUND((((1-GroundResDiscount31Up-GroundResIncentive)*'Grou"&amp;"nd Base'!H140)+GroundResidentialFee)*(1+GroundFuelSurcharge),2)))*(1+FedEx_Markup),2)"),96.32)</f>
        <v>96.32</v>
      </c>
      <c r="I145" s="275">
        <f>ROUND((IF('Ground Base'!I$154&gt;ROUND(((1-GroundAKHIDiscount)*'Ground Base'!I140),2),ROUND(('Ground Base'!I$154+GroundResidentialFee)*(1+GroundFuelSurcharge),2),ROUND((((1-GroundAKHIDiscount)*'Ground Base'!I140)+GroundResidentialFee)*(1+GroundFuelSurcharge),2)))*(1+FedEx_Markup),2)</f>
        <v>579.24</v>
      </c>
      <c r="J145" s="275">
        <f>ROUND((IF('Ground Base'!J$154&gt;ROUND(((1-GroundAKHIDiscount)*'Ground Base'!J140),2),ROUND(('Ground Base'!J$154+GroundResidentialFee)*(1+GroundFuelSurcharge),2),ROUND((((1-GroundAKHIDiscount)*'Ground Base'!J140)+GroundResidentialFee)*(1+GroundFuelSurcharge),2)))*(1+FedEx_Markup),2)</f>
        <v>579.24</v>
      </c>
      <c r="K145" s="275">
        <f>ROUND((IF('Ground Base'!K$154&gt;ROUND(((1-GroundZone51Discount)*'Ground Base'!K140),2),ROUND(('Ground Base'!K$154+GroundResidentialFee)*(1+GroundFuelSurcharge),2),ROUND((((1-GroundZone51Discount)*'Ground Base'!K140)+GroundResidentialFee)*(1+GroundFuelSurcharge),2)))*(1+FedEx_Markup),2)</f>
        <v>120.39</v>
      </c>
      <c r="L145" s="275">
        <f>ROUND((IF('Ground Base'!L$154&gt;ROUND(((1-GroundZone54Discount)*'Ground Base'!L140),2),ROUND(('Ground Base'!L$154+GroundResidentialFee)*(1+GroundFuelSurcharge),2),ROUND((((1-GroundZone54Discount)*'Ground Base'!L140)+GroundResidentialFee)*(1+GroundFuelSurcharge),2)))*(1+FedEx_Markup),2)</f>
        <v>169.73</v>
      </c>
    </row>
    <row r="146" ht="12.75" customHeight="1">
      <c r="A146" s="274">
        <v>139.0</v>
      </c>
      <c r="B146" s="275">
        <f>IFERROR(__xludf.DUMMYFUNCTION("ROUND((IF(SINGLE('Ground Base'!B$154)&gt;ROUND(((1-GroundResDiscount31Up-GroundResIncentive)*'Ground Base'!B141),2),ROUND((SINGLE('Ground Base'!B$154)+GroundResidentialFee)*(1+GroundFuelSurcharge),2),ROUND((((1-GroundResDiscount31Up-GroundResIncentive)*'Grou"&amp;"nd Base'!B141)+GroundResidentialFee)*(1+GroundFuelSurcharge),2)))*(1+FedEx_Markup),2)"),64.24)</f>
        <v>64.24</v>
      </c>
      <c r="C146" s="275">
        <f>IFERROR(__xludf.DUMMYFUNCTION("ROUND((IF(SINGLE('Ground Base'!C$154)&gt;ROUND(((1-GroundResDiscount31Up-GroundResIncentive)*'Ground Base'!C141),2),ROUND((SINGLE('Ground Base'!C$154)+GroundResidentialFee)*(1+GroundFuelSurcharge),2),ROUND((((1-GroundResDiscount31Up-GroundResIncentive)*'Grou"&amp;"nd Base'!C141)+GroundResidentialFee)*(1+GroundFuelSurcharge),2)))*(1+FedEx_Markup),2)"),64.25)</f>
        <v>64.25</v>
      </c>
      <c r="D146" s="275">
        <f>IFERROR(__xludf.DUMMYFUNCTION("ROUND((IF(SINGLE('Ground Base'!D$154)&gt;ROUND(((1-GroundResDiscount31Up-GroundResIncentive)*'Ground Base'!D141),2),ROUND((SINGLE('Ground Base'!D$154)+GroundResidentialFee)*(1+GroundFuelSurcharge),2),ROUND((((1-GroundResDiscount31Up-GroundResIncentive)*'Grou"&amp;"nd Base'!D141)+GroundResidentialFee)*(1+GroundFuelSurcharge),2)))*(1+FedEx_Markup),2)"),69.15)</f>
        <v>69.15</v>
      </c>
      <c r="E146" s="275">
        <f>IFERROR(__xludf.DUMMYFUNCTION("ROUND((IF(SINGLE('Ground Base'!E$154)&gt;ROUND(((1-GroundResDiscount31Up-GroundResIncentive)*'Ground Base'!E141),2),ROUND((SINGLE('Ground Base'!E$154)+GroundResidentialFee)*(1+GroundFuelSurcharge),2),ROUND((((1-GroundResDiscount31Up-GroundResIncentive)*'Grou"&amp;"nd Base'!E141)+GroundResidentialFee)*(1+GroundFuelSurcharge),2)))*(1+FedEx_Markup),2)"),70.0)</f>
        <v>70</v>
      </c>
      <c r="F146" s="275">
        <f>IFERROR(__xludf.DUMMYFUNCTION("ROUND((IF(SINGLE('Ground Base'!F$154)&gt;ROUND(((1-GroundResDiscount31Up-GroundResIncentive)*'Ground Base'!F141),2),ROUND((SINGLE('Ground Base'!F$154)+GroundResidentialFee)*(1+GroundFuelSurcharge),2),ROUND((((1-GroundResDiscount31Up-GroundResIncentive)*'Grou"&amp;"nd Base'!F141)+GroundResidentialFee)*(1+GroundFuelSurcharge),2)))*(1+FedEx_Markup),2)"),78.57)</f>
        <v>78.57</v>
      </c>
      <c r="G146" s="275">
        <f>IFERROR(__xludf.DUMMYFUNCTION("ROUND((IF(SINGLE('Ground Base'!G$154)&gt;ROUND(((1-GroundResDiscount31Up-GroundResIncentive)*'Ground Base'!G141),2),ROUND((SINGLE('Ground Base'!G$154)+GroundResidentialFee)*(1+GroundFuelSurcharge),2),ROUND((((1-GroundResDiscount31Up-GroundResIncentive)*'Grou"&amp;"nd Base'!G141)+GroundResidentialFee)*(1+GroundFuelSurcharge),2)))*(1+FedEx_Markup),2)"),86.78)</f>
        <v>86.78</v>
      </c>
      <c r="H146" s="275">
        <f>IFERROR(__xludf.DUMMYFUNCTION("ROUND((IF(SINGLE('Ground Base'!H$154)&gt;ROUND(((1-GroundResDiscount31Up-GroundResIncentive)*'Ground Base'!H141),2),ROUND((SINGLE('Ground Base'!H$154)+GroundResidentialFee)*(1+GroundFuelSurcharge),2),ROUND((((1-GroundResDiscount31Up-GroundResIncentive)*'Grou"&amp;"nd Base'!H141)+GroundResidentialFee)*(1+GroundFuelSurcharge),2)))*(1+FedEx_Markup),2)"),96.35)</f>
        <v>96.35</v>
      </c>
      <c r="I146" s="275">
        <f>ROUND((IF('Ground Base'!I$154&gt;ROUND(((1-GroundAKHIDiscount)*'Ground Base'!I141),2),ROUND(('Ground Base'!I$154+GroundResidentialFee)*(1+GroundFuelSurcharge),2),ROUND((((1-GroundAKHIDiscount)*'Ground Base'!I141)+GroundResidentialFee)*(1+GroundFuelSurcharge),2)))*(1+FedEx_Markup),2)</f>
        <v>579.26</v>
      </c>
      <c r="J146" s="275">
        <f>ROUND((IF('Ground Base'!J$154&gt;ROUND(((1-GroundAKHIDiscount)*'Ground Base'!J141),2),ROUND(('Ground Base'!J$154+GroundResidentialFee)*(1+GroundFuelSurcharge),2),ROUND((((1-GroundAKHIDiscount)*'Ground Base'!J141)+GroundResidentialFee)*(1+GroundFuelSurcharge),2)))*(1+FedEx_Markup),2)</f>
        <v>579.26</v>
      </c>
      <c r="K146" s="275">
        <f>ROUND((IF('Ground Base'!K$154&gt;ROUND(((1-GroundZone51Discount)*'Ground Base'!K141),2),ROUND(('Ground Base'!K$154+GroundResidentialFee)*(1+GroundFuelSurcharge),2),ROUND((((1-GroundZone51Discount)*'Ground Base'!K141)+GroundResidentialFee)*(1+GroundFuelSurcharge),2)))*(1+FedEx_Markup),2)</f>
        <v>120.39</v>
      </c>
      <c r="L146" s="275">
        <f>ROUND((IF('Ground Base'!L$154&gt;ROUND(((1-GroundZone54Discount)*'Ground Base'!L141),2),ROUND(('Ground Base'!L$154+GroundResidentialFee)*(1+GroundFuelSurcharge),2),ROUND((((1-GroundZone54Discount)*'Ground Base'!L141)+GroundResidentialFee)*(1+GroundFuelSurcharge),2)))*(1+FedEx_Markup),2)</f>
        <v>169.74</v>
      </c>
    </row>
    <row r="147" ht="12.75" customHeight="1">
      <c r="A147" s="274">
        <v>140.0</v>
      </c>
      <c r="B147" s="275">
        <f>IFERROR(__xludf.DUMMYFUNCTION("ROUND((IF(SINGLE('Ground Base'!B$154)&gt;ROUND(((1-GroundResDiscount31Up-GroundResIncentive)*'Ground Base'!B142),2),ROUND((SINGLE('Ground Base'!B$154)+GroundResidentialFee)*(1+GroundFuelSurcharge),2),ROUND((((1-GroundResDiscount31Up-GroundResIncentive)*'Grou"&amp;"nd Base'!B142)+GroundResidentialFee)*(1+GroundFuelSurcharge),2)))*(1+FedEx_Markup),2)"),64.76)</f>
        <v>64.76</v>
      </c>
      <c r="C147" s="275">
        <f>IFERROR(__xludf.DUMMYFUNCTION("ROUND((IF(SINGLE('Ground Base'!C$154)&gt;ROUND(((1-GroundResDiscount31Up-GroundResIncentive)*'Ground Base'!C142),2),ROUND((SINGLE('Ground Base'!C$154)+GroundResidentialFee)*(1+GroundFuelSurcharge),2),ROUND((((1-GroundResDiscount31Up-GroundResIncentive)*'Grou"&amp;"nd Base'!C142)+GroundResidentialFee)*(1+GroundFuelSurcharge),2)))*(1+FedEx_Markup),2)"),65.23)</f>
        <v>65.23</v>
      </c>
      <c r="D147" s="275">
        <f>IFERROR(__xludf.DUMMYFUNCTION("ROUND((IF(SINGLE('Ground Base'!D$154)&gt;ROUND(((1-GroundResDiscount31Up-GroundResIncentive)*'Ground Base'!D142),2),ROUND((SINGLE('Ground Base'!D$154)+GroundResidentialFee)*(1+GroundFuelSurcharge),2),ROUND((((1-GroundResDiscount31Up-GroundResIncentive)*'Grou"&amp;"nd Base'!D142)+GroundResidentialFee)*(1+GroundFuelSurcharge),2)))*(1+FedEx_Markup),2)"),69.79)</f>
        <v>69.79</v>
      </c>
      <c r="E147" s="275">
        <f>IFERROR(__xludf.DUMMYFUNCTION("ROUND((IF(SINGLE('Ground Base'!E$154)&gt;ROUND(((1-GroundResDiscount31Up-GroundResIncentive)*'Ground Base'!E142),2),ROUND((SINGLE('Ground Base'!E$154)+GroundResidentialFee)*(1+GroundFuelSurcharge),2),ROUND((((1-GroundResDiscount31Up-GroundResIncentive)*'Grou"&amp;"nd Base'!E142)+GroundResidentialFee)*(1+GroundFuelSurcharge),2)))*(1+FedEx_Markup),2)"),71.05)</f>
        <v>71.05</v>
      </c>
      <c r="F147" s="275">
        <f>IFERROR(__xludf.DUMMYFUNCTION("ROUND((IF(SINGLE('Ground Base'!F$154)&gt;ROUND(((1-GroundResDiscount31Up-GroundResIncentive)*'Ground Base'!F142),2),ROUND((SINGLE('Ground Base'!F$154)+GroundResidentialFee)*(1+GroundFuelSurcharge),2),ROUND((((1-GroundResDiscount31Up-GroundResIncentive)*'Grou"&amp;"nd Base'!F142)+GroundResidentialFee)*(1+GroundFuelSurcharge),2)))*(1+FedEx_Markup),2)"),79.38)</f>
        <v>79.38</v>
      </c>
      <c r="G147" s="275">
        <f>IFERROR(__xludf.DUMMYFUNCTION("ROUND((IF(SINGLE('Ground Base'!G$154)&gt;ROUND(((1-GroundResDiscount31Up-GroundResIncentive)*'Ground Base'!G142),2),ROUND((SINGLE('Ground Base'!G$154)+GroundResidentialFee)*(1+GroundFuelSurcharge),2),ROUND((((1-GroundResDiscount31Up-GroundResIncentive)*'Grou"&amp;"nd Base'!G142)+GroundResidentialFee)*(1+GroundFuelSurcharge),2)))*(1+FedEx_Markup),2)"),86.79)</f>
        <v>86.79</v>
      </c>
      <c r="H147" s="275">
        <f>IFERROR(__xludf.DUMMYFUNCTION("ROUND((IF(SINGLE('Ground Base'!H$154)&gt;ROUND(((1-GroundResDiscount31Up-GroundResIncentive)*'Ground Base'!H142),2),ROUND((SINGLE('Ground Base'!H$154)+GroundResidentialFee)*(1+GroundFuelSurcharge),2),ROUND((((1-GroundResDiscount31Up-GroundResIncentive)*'Grou"&amp;"nd Base'!H142)+GroundResidentialFee)*(1+GroundFuelSurcharge),2)))*(1+FedEx_Markup),2)"),96.35)</f>
        <v>96.35</v>
      </c>
      <c r="I147" s="275">
        <f>ROUND((IF('Ground Base'!I$154&gt;ROUND(((1-GroundAKHIDiscount)*'Ground Base'!I142),2),ROUND(('Ground Base'!I$154+GroundResidentialFee)*(1+GroundFuelSurcharge),2),ROUND((((1-GroundAKHIDiscount)*'Ground Base'!I142)+GroundResidentialFee)*(1+GroundFuelSurcharge),2)))*(1+FedEx_Markup),2)</f>
        <v>579.27</v>
      </c>
      <c r="J147" s="275">
        <f>ROUND((IF('Ground Base'!J$154&gt;ROUND(((1-GroundAKHIDiscount)*'Ground Base'!J142),2),ROUND(('Ground Base'!J$154+GroundResidentialFee)*(1+GroundFuelSurcharge),2),ROUND((((1-GroundAKHIDiscount)*'Ground Base'!J142)+GroundResidentialFee)*(1+GroundFuelSurcharge),2)))*(1+FedEx_Markup),2)</f>
        <v>579.27</v>
      </c>
      <c r="K147" s="275">
        <f>ROUND((IF('Ground Base'!K$154&gt;ROUND(((1-GroundZone51Discount)*'Ground Base'!K142),2),ROUND(('Ground Base'!K$154+GroundResidentialFee)*(1+GroundFuelSurcharge),2),ROUND((((1-GroundZone51Discount)*'Ground Base'!K142)+GroundResidentialFee)*(1+GroundFuelSurcharge),2)))*(1+FedEx_Markup),2)</f>
        <v>120.41</v>
      </c>
      <c r="L147" s="275">
        <f>ROUND((IF('Ground Base'!L$154&gt;ROUND(((1-GroundZone54Discount)*'Ground Base'!L142),2),ROUND(('Ground Base'!L$154+GroundResidentialFee)*(1+GroundFuelSurcharge),2),ROUND((((1-GroundZone54Discount)*'Ground Base'!L142)+GroundResidentialFee)*(1+GroundFuelSurcharge),2)))*(1+FedEx_Markup),2)</f>
        <v>169.75</v>
      </c>
    </row>
    <row r="148" ht="12.75" customHeight="1">
      <c r="A148" s="274">
        <v>141.0</v>
      </c>
      <c r="B148" s="275">
        <f>IFERROR(__xludf.DUMMYFUNCTION("ROUND((IF(SINGLE('Ground Base'!B$154)&gt;ROUND(((1-GroundResDiscount31Up-GroundResIncentive)*'Ground Base'!B143),2),ROUND((SINGLE('Ground Base'!B$154)+GroundResidentialFee)*(1+GroundFuelSurcharge),2),ROUND((((1-GroundResDiscount31Up-GroundResIncentive)*'Grou"&amp;"nd Base'!B143)+GroundResidentialFee)*(1+GroundFuelSurcharge),2)))*(1+FedEx_Markup),2)"),64.76)</f>
        <v>64.76</v>
      </c>
      <c r="C148" s="275">
        <f>IFERROR(__xludf.DUMMYFUNCTION("ROUND((IF(SINGLE('Ground Base'!C$154)&gt;ROUND(((1-GroundResDiscount31Up-GroundResIncentive)*'Ground Base'!C143),2),ROUND((SINGLE('Ground Base'!C$154)+GroundResidentialFee)*(1+GroundFuelSurcharge),2),ROUND((((1-GroundResDiscount31Up-GroundResIncentive)*'Grou"&amp;"nd Base'!C143)+GroundResidentialFee)*(1+GroundFuelSurcharge),2)))*(1+FedEx_Markup),2)"),65.24)</f>
        <v>65.24</v>
      </c>
      <c r="D148" s="275">
        <f>IFERROR(__xludf.DUMMYFUNCTION("ROUND((IF(SINGLE('Ground Base'!D$154)&gt;ROUND(((1-GroundResDiscount31Up-GroundResIncentive)*'Ground Base'!D143),2),ROUND((SINGLE('Ground Base'!D$154)+GroundResidentialFee)*(1+GroundFuelSurcharge),2),ROUND((((1-GroundResDiscount31Up-GroundResIncentive)*'Grou"&amp;"nd Base'!D143)+GroundResidentialFee)*(1+GroundFuelSurcharge),2)))*(1+FedEx_Markup),2)"),70.38)</f>
        <v>70.38</v>
      </c>
      <c r="E148" s="275">
        <f>IFERROR(__xludf.DUMMYFUNCTION("ROUND((IF(SINGLE('Ground Base'!E$154)&gt;ROUND(((1-GroundResDiscount31Up-GroundResIncentive)*'Ground Base'!E143),2),ROUND((SINGLE('Ground Base'!E$154)+GroundResidentialFee)*(1+GroundFuelSurcharge),2),ROUND((((1-GroundResDiscount31Up-GroundResIncentive)*'Grou"&amp;"nd Base'!E143)+GroundResidentialFee)*(1+GroundFuelSurcharge),2)))*(1+FedEx_Markup),2)"),71.06)</f>
        <v>71.06</v>
      </c>
      <c r="F148" s="275">
        <f>IFERROR(__xludf.DUMMYFUNCTION("ROUND((IF(SINGLE('Ground Base'!F$154)&gt;ROUND(((1-GroundResDiscount31Up-GroundResIncentive)*'Ground Base'!F143),2),ROUND((SINGLE('Ground Base'!F$154)+GroundResidentialFee)*(1+GroundFuelSurcharge),2),ROUND((((1-GroundResDiscount31Up-GroundResIncentive)*'Grou"&amp;"nd Base'!F143)+GroundResidentialFee)*(1+GroundFuelSurcharge),2)))*(1+FedEx_Markup),2)"),79.38)</f>
        <v>79.38</v>
      </c>
      <c r="G148" s="275">
        <f>IFERROR(__xludf.DUMMYFUNCTION("ROUND((IF(SINGLE('Ground Base'!G$154)&gt;ROUND(((1-GroundResDiscount31Up-GroundResIncentive)*'Ground Base'!G143),2),ROUND((SINGLE('Ground Base'!G$154)+GroundResidentialFee)*(1+GroundFuelSurcharge),2),ROUND((((1-GroundResDiscount31Up-GroundResIncentive)*'Grou"&amp;"nd Base'!G143)+GroundResidentialFee)*(1+GroundFuelSurcharge),2)))*(1+FedEx_Markup),2)"),86.79)</f>
        <v>86.79</v>
      </c>
      <c r="H148" s="275">
        <f>IFERROR(__xludf.DUMMYFUNCTION("ROUND((IF(SINGLE('Ground Base'!H$154)&gt;ROUND(((1-GroundResDiscount31Up-GroundResIncentive)*'Ground Base'!H143),2),ROUND((SINGLE('Ground Base'!H$154)+GroundResidentialFee)*(1+GroundFuelSurcharge),2),ROUND((((1-GroundResDiscount31Up-GroundResIncentive)*'Grou"&amp;"nd Base'!H143)+GroundResidentialFee)*(1+GroundFuelSurcharge),2)))*(1+FedEx_Markup),2)"),97.23)</f>
        <v>97.23</v>
      </c>
      <c r="I148" s="275">
        <f>ROUND((IF('Ground Base'!I$154&gt;ROUND(((1-GroundAKHIDiscount)*'Ground Base'!I143),2),ROUND(('Ground Base'!I$154+GroundResidentialFee)*(1+GroundFuelSurcharge),2),ROUND((((1-GroundAKHIDiscount)*'Ground Base'!I143)+GroundResidentialFee)*(1+GroundFuelSurcharge),2)))*(1+FedEx_Markup),2)</f>
        <v>580.75</v>
      </c>
      <c r="J148" s="275">
        <f>ROUND((IF('Ground Base'!J$154&gt;ROUND(((1-GroundAKHIDiscount)*'Ground Base'!J143),2),ROUND(('Ground Base'!J$154+GroundResidentialFee)*(1+GroundFuelSurcharge),2),ROUND((((1-GroundAKHIDiscount)*'Ground Base'!J143)+GroundResidentialFee)*(1+GroundFuelSurcharge),2)))*(1+FedEx_Markup),2)</f>
        <v>580.75</v>
      </c>
      <c r="K148" s="275">
        <f>ROUND((IF('Ground Base'!K$154&gt;ROUND(((1-GroundZone51Discount)*'Ground Base'!K143),2),ROUND(('Ground Base'!K$154+GroundResidentialFee)*(1+GroundFuelSurcharge),2),ROUND((((1-GroundZone51Discount)*'Ground Base'!K143)+GroundResidentialFee)*(1+GroundFuelSurcharge),2)))*(1+FedEx_Markup),2)</f>
        <v>122.6</v>
      </c>
      <c r="L148" s="275">
        <f>ROUND((IF('Ground Base'!L$154&gt;ROUND(((1-GroundZone54Discount)*'Ground Base'!L143),2),ROUND(('Ground Base'!L$154+GroundResidentialFee)*(1+GroundFuelSurcharge),2),ROUND((((1-GroundZone54Discount)*'Ground Base'!L143)+GroundResidentialFee)*(1+GroundFuelSurcharge),2)))*(1+FedEx_Markup),2)</f>
        <v>175.34</v>
      </c>
    </row>
    <row r="149" ht="12.75" customHeight="1">
      <c r="A149" s="274">
        <v>142.0</v>
      </c>
      <c r="B149" s="275">
        <f>IFERROR(__xludf.DUMMYFUNCTION("ROUND((IF(SINGLE('Ground Base'!B$154)&gt;ROUND(((1-GroundResDiscount31Up-GroundResIncentive)*'Ground Base'!B144),2),ROUND((SINGLE('Ground Base'!B$154)+GroundResidentialFee)*(1+GroundFuelSurcharge),2),ROUND((((1-GroundResDiscount31Up-GroundResIncentive)*'Grou"&amp;"nd Base'!B144)+GroundResidentialFee)*(1+GroundFuelSurcharge),2)))*(1+FedEx_Markup),2)"),65.55)</f>
        <v>65.55</v>
      </c>
      <c r="C149" s="275">
        <f>IFERROR(__xludf.DUMMYFUNCTION("ROUND((IF(SINGLE('Ground Base'!C$154)&gt;ROUND(((1-GroundResDiscount31Up-GroundResIncentive)*'Ground Base'!C144),2),ROUND((SINGLE('Ground Base'!C$154)+GroundResidentialFee)*(1+GroundFuelSurcharge),2),ROUND((((1-GroundResDiscount31Up-GroundResIncentive)*'Grou"&amp;"nd Base'!C144)+GroundResidentialFee)*(1+GroundFuelSurcharge),2)))*(1+FedEx_Markup),2)"),65.56)</f>
        <v>65.56</v>
      </c>
      <c r="D149" s="275">
        <f>IFERROR(__xludf.DUMMYFUNCTION("ROUND((IF(SINGLE('Ground Base'!D$154)&gt;ROUND(((1-GroundResDiscount31Up-GroundResIncentive)*'Ground Base'!D144),2),ROUND((SINGLE('Ground Base'!D$154)+GroundResidentialFee)*(1+GroundFuelSurcharge),2),ROUND((((1-GroundResDiscount31Up-GroundResIncentive)*'Grou"&amp;"nd Base'!D144)+GroundResidentialFee)*(1+GroundFuelSurcharge),2)))*(1+FedEx_Markup),2)"),70.98)</f>
        <v>70.98</v>
      </c>
      <c r="E149" s="275">
        <f>IFERROR(__xludf.DUMMYFUNCTION("ROUND((IF(SINGLE('Ground Base'!E$154)&gt;ROUND(((1-GroundResDiscount31Up-GroundResIncentive)*'Ground Base'!E144),2),ROUND((SINGLE('Ground Base'!E$154)+GroundResidentialFee)*(1+GroundFuelSurcharge),2),ROUND((((1-GroundResDiscount31Up-GroundResIncentive)*'Grou"&amp;"nd Base'!E144)+GroundResidentialFee)*(1+GroundFuelSurcharge),2)))*(1+FedEx_Markup),2)"),72.15)</f>
        <v>72.15</v>
      </c>
      <c r="F149" s="275">
        <f>IFERROR(__xludf.DUMMYFUNCTION("ROUND((IF(SINGLE('Ground Base'!F$154)&gt;ROUND(((1-GroundResDiscount31Up-GroundResIncentive)*'Ground Base'!F144),2),ROUND((SINGLE('Ground Base'!F$154)+GroundResidentialFee)*(1+GroundFuelSurcharge),2),ROUND((((1-GroundResDiscount31Up-GroundResIncentive)*'Grou"&amp;"nd Base'!F144)+GroundResidentialFee)*(1+GroundFuelSurcharge),2)))*(1+FedEx_Markup),2)"),80.52)</f>
        <v>80.52</v>
      </c>
      <c r="G149" s="275">
        <f>IFERROR(__xludf.DUMMYFUNCTION("ROUND((IF(SINGLE('Ground Base'!G$154)&gt;ROUND(((1-GroundResDiscount31Up-GroundResIncentive)*'Ground Base'!G144),2),ROUND((SINGLE('Ground Base'!G$154)+GroundResidentialFee)*(1+GroundFuelSurcharge),2),ROUND((((1-GroundResDiscount31Up-GroundResIncentive)*'Grou"&amp;"nd Base'!G144)+GroundResidentialFee)*(1+GroundFuelSurcharge),2)))*(1+FedEx_Markup),2)"),87.17)</f>
        <v>87.17</v>
      </c>
      <c r="H149" s="275">
        <f>IFERROR(__xludf.DUMMYFUNCTION("ROUND((IF(SINGLE('Ground Base'!H$154)&gt;ROUND(((1-GroundResDiscount31Up-GroundResIncentive)*'Ground Base'!H144),2),ROUND((SINGLE('Ground Base'!H$154)+GroundResidentialFee)*(1+GroundFuelSurcharge),2),ROUND((((1-GroundResDiscount31Up-GroundResIncentive)*'Grou"&amp;"nd Base'!H144)+GroundResidentialFee)*(1+GroundFuelSurcharge),2)))*(1+FedEx_Markup),2)"),97.24)</f>
        <v>97.24</v>
      </c>
      <c r="I149" s="275">
        <f>ROUND((IF('Ground Base'!I$154&gt;ROUND(((1-GroundAKHIDiscount)*'Ground Base'!I144),2),ROUND(('Ground Base'!I$154+GroundResidentialFee)*(1+GroundFuelSurcharge),2),ROUND((((1-GroundAKHIDiscount)*'Ground Base'!I144)+GroundResidentialFee)*(1+GroundFuelSurcharge),2)))*(1+FedEx_Markup),2)</f>
        <v>590.39</v>
      </c>
      <c r="J149" s="275">
        <f>ROUND((IF('Ground Base'!J$154&gt;ROUND(((1-GroundAKHIDiscount)*'Ground Base'!J144),2),ROUND(('Ground Base'!J$154+GroundResidentialFee)*(1+GroundFuelSurcharge),2),ROUND((((1-GroundAKHIDiscount)*'Ground Base'!J144)+GroundResidentialFee)*(1+GroundFuelSurcharge),2)))*(1+FedEx_Markup),2)</f>
        <v>590.39</v>
      </c>
      <c r="K149" s="275">
        <f>ROUND((IF('Ground Base'!K$154&gt;ROUND(((1-GroundZone51Discount)*'Ground Base'!K144),2),ROUND(('Ground Base'!K$154+GroundResidentialFee)*(1+GroundFuelSurcharge),2),ROUND((((1-GroundZone51Discount)*'Ground Base'!K144)+GroundResidentialFee)*(1+GroundFuelSurcharge),2)))*(1+FedEx_Markup),2)</f>
        <v>122.61</v>
      </c>
      <c r="L149" s="275">
        <f>ROUND((IF('Ground Base'!L$154&gt;ROUND(((1-GroundZone54Discount)*'Ground Base'!L144),2),ROUND(('Ground Base'!L$154+GroundResidentialFee)*(1+GroundFuelSurcharge),2),ROUND((((1-GroundZone54Discount)*'Ground Base'!L144)+GroundResidentialFee)*(1+GroundFuelSurcharge),2)))*(1+FedEx_Markup),2)</f>
        <v>175.35</v>
      </c>
    </row>
    <row r="150" ht="12.75" customHeight="1">
      <c r="A150" s="274">
        <v>143.0</v>
      </c>
      <c r="B150" s="275">
        <f>IFERROR(__xludf.DUMMYFUNCTION("ROUND((IF(SINGLE('Ground Base'!B$154)&gt;ROUND(((1-GroundResDiscount31Up-GroundResIncentive)*'Ground Base'!B145),2),ROUND((SINGLE('Ground Base'!B$154)+GroundResidentialFee)*(1+GroundFuelSurcharge),2),ROUND((((1-GroundResDiscount31Up-GroundResIncentive)*'Grou"&amp;"nd Base'!B145)+GroundResidentialFee)*(1+GroundFuelSurcharge),2)))*(1+FedEx_Markup),2)"),65.56)</f>
        <v>65.56</v>
      </c>
      <c r="C150" s="275">
        <f>IFERROR(__xludf.DUMMYFUNCTION("ROUND((IF(SINGLE('Ground Base'!C$154)&gt;ROUND(((1-GroundResDiscount31Up-GroundResIncentive)*'Ground Base'!C145),2),ROUND((SINGLE('Ground Base'!C$154)+GroundResidentialFee)*(1+GroundFuelSurcharge),2),ROUND((((1-GroundResDiscount31Up-GroundResIncentive)*'Grou"&amp;"nd Base'!C145)+GroundResidentialFee)*(1+GroundFuelSurcharge),2)))*(1+FedEx_Markup),2)"),65.56)</f>
        <v>65.56</v>
      </c>
      <c r="D150" s="275">
        <f>IFERROR(__xludf.DUMMYFUNCTION("ROUND((IF(SINGLE('Ground Base'!D$154)&gt;ROUND(((1-GroundResDiscount31Up-GroundResIncentive)*'Ground Base'!D145),2),ROUND((SINGLE('Ground Base'!D$154)+GroundResidentialFee)*(1+GroundFuelSurcharge),2),ROUND((((1-GroundResDiscount31Up-GroundResIncentive)*'Grou"&amp;"nd Base'!D145)+GroundResidentialFee)*(1+GroundFuelSurcharge),2)))*(1+FedEx_Markup),2)"),70.99)</f>
        <v>70.99</v>
      </c>
      <c r="E150" s="275">
        <f>IFERROR(__xludf.DUMMYFUNCTION("ROUND((IF(SINGLE('Ground Base'!E$154)&gt;ROUND(((1-GroundResDiscount31Up-GroundResIncentive)*'Ground Base'!E145),2),ROUND((SINGLE('Ground Base'!E$154)+GroundResidentialFee)*(1+GroundFuelSurcharge),2),ROUND((((1-GroundResDiscount31Up-GroundResIncentive)*'Grou"&amp;"nd Base'!E145)+GroundResidentialFee)*(1+GroundFuelSurcharge),2)))*(1+FedEx_Markup),2)"),72.16)</f>
        <v>72.16</v>
      </c>
      <c r="F150" s="275">
        <f>IFERROR(__xludf.DUMMYFUNCTION("ROUND((IF(SINGLE('Ground Base'!F$154)&gt;ROUND(((1-GroundResDiscount31Up-GroundResIncentive)*'Ground Base'!F145),2),ROUND((SINGLE('Ground Base'!F$154)+GroundResidentialFee)*(1+GroundFuelSurcharge),2),ROUND((((1-GroundResDiscount31Up-GroundResIncentive)*'Grou"&amp;"nd Base'!F145)+GroundResidentialFee)*(1+GroundFuelSurcharge),2)))*(1+FedEx_Markup),2)"),80.53)</f>
        <v>80.53</v>
      </c>
      <c r="G150" s="275">
        <f>IFERROR(__xludf.DUMMYFUNCTION("ROUND((IF(SINGLE('Ground Base'!G$154)&gt;ROUND(((1-GroundResDiscount31Up-GroundResIncentive)*'Ground Base'!G145),2),ROUND((SINGLE('Ground Base'!G$154)+GroundResidentialFee)*(1+GroundFuelSurcharge),2),ROUND((((1-GroundResDiscount31Up-GroundResIncentive)*'Grou"&amp;"nd Base'!G145)+GroundResidentialFee)*(1+GroundFuelSurcharge),2)))*(1+FedEx_Markup),2)"),87.17)</f>
        <v>87.17</v>
      </c>
      <c r="H150" s="275">
        <f>IFERROR(__xludf.DUMMYFUNCTION("ROUND((IF(SINGLE('Ground Base'!H$154)&gt;ROUND(((1-GroundResDiscount31Up-GroundResIncentive)*'Ground Base'!H145),2),ROUND((SINGLE('Ground Base'!H$154)+GroundResidentialFee)*(1+GroundFuelSurcharge),2),ROUND((((1-GroundResDiscount31Up-GroundResIncentive)*'Grou"&amp;"nd Base'!H145)+GroundResidentialFee)*(1+GroundFuelSurcharge),2)))*(1+FedEx_Markup),2)"),97.24)</f>
        <v>97.24</v>
      </c>
      <c r="I150" s="275">
        <f>ROUND((IF('Ground Base'!I$154&gt;ROUND(((1-GroundAKHIDiscount)*'Ground Base'!I145),2),ROUND(('Ground Base'!I$154+GroundResidentialFee)*(1+GroundFuelSurcharge),2),ROUND((((1-GroundAKHIDiscount)*'Ground Base'!I145)+GroundResidentialFee)*(1+GroundFuelSurcharge),2)))*(1+FedEx_Markup),2)</f>
        <v>594.37</v>
      </c>
      <c r="J150" s="275">
        <f>ROUND((IF('Ground Base'!J$154&gt;ROUND(((1-GroundAKHIDiscount)*'Ground Base'!J145),2),ROUND(('Ground Base'!J$154+GroundResidentialFee)*(1+GroundFuelSurcharge),2),ROUND((((1-GroundAKHIDiscount)*'Ground Base'!J145)+GroundResidentialFee)*(1+GroundFuelSurcharge),2)))*(1+FedEx_Markup),2)</f>
        <v>594.37</v>
      </c>
      <c r="K150" s="275">
        <f>ROUND((IF('Ground Base'!K$154&gt;ROUND(((1-GroundZone51Discount)*'Ground Base'!K145),2),ROUND(('Ground Base'!K$154+GroundResidentialFee)*(1+GroundFuelSurcharge),2),ROUND((((1-GroundZone51Discount)*'Ground Base'!K145)+GroundResidentialFee)*(1+GroundFuelSurcharge),2)))*(1+FedEx_Markup),2)</f>
        <v>122.62</v>
      </c>
      <c r="L150" s="275">
        <f>ROUND((IF('Ground Base'!L$154&gt;ROUND(((1-GroundZone54Discount)*'Ground Base'!L145),2),ROUND(('Ground Base'!L$154+GroundResidentialFee)*(1+GroundFuelSurcharge),2),ROUND((((1-GroundZone54Discount)*'Ground Base'!L145)+GroundResidentialFee)*(1+GroundFuelSurcharge),2)))*(1+FedEx_Markup),2)</f>
        <v>175.36</v>
      </c>
    </row>
    <row r="151" ht="12.75" customHeight="1">
      <c r="A151" s="274">
        <v>144.0</v>
      </c>
      <c r="B151" s="275">
        <f>IFERROR(__xludf.DUMMYFUNCTION("ROUND((IF(SINGLE('Ground Base'!B$154)&gt;ROUND(((1-GroundResDiscount31Up-GroundResIncentive)*'Ground Base'!B146),2),ROUND((SINGLE('Ground Base'!B$154)+GroundResidentialFee)*(1+GroundFuelSurcharge),2),ROUND((((1-GroundResDiscount31Up-GroundResIncentive)*'Grou"&amp;"nd Base'!B146)+GroundResidentialFee)*(1+GroundFuelSurcharge),2)))*(1+FedEx_Markup),2)"),67.33)</f>
        <v>67.33</v>
      </c>
      <c r="C151" s="275">
        <f>IFERROR(__xludf.DUMMYFUNCTION("ROUND((IF(SINGLE('Ground Base'!C$154)&gt;ROUND(((1-GroundResDiscount31Up-GroundResIncentive)*'Ground Base'!C146),2),ROUND((SINGLE('Ground Base'!C$154)+GroundResidentialFee)*(1+GroundFuelSurcharge),2),ROUND((((1-GroundResDiscount31Up-GroundResIncentive)*'Grou"&amp;"nd Base'!C146)+GroundResidentialFee)*(1+GroundFuelSurcharge),2)))*(1+FedEx_Markup),2)"),68.2)</f>
        <v>68.2</v>
      </c>
      <c r="D151" s="275">
        <f>IFERROR(__xludf.DUMMYFUNCTION("ROUND((IF(SINGLE('Ground Base'!D$154)&gt;ROUND(((1-GroundResDiscount31Up-GroundResIncentive)*'Ground Base'!D146),2),ROUND((SINGLE('Ground Base'!D$154)+GroundResidentialFee)*(1+GroundFuelSurcharge),2),ROUND((((1-GroundResDiscount31Up-GroundResIncentive)*'Grou"&amp;"nd Base'!D146)+GroundResidentialFee)*(1+GroundFuelSurcharge),2)))*(1+FedEx_Markup),2)"),72.98)</f>
        <v>72.98</v>
      </c>
      <c r="E151" s="275">
        <f>IFERROR(__xludf.DUMMYFUNCTION("ROUND((IF(SINGLE('Ground Base'!E$154)&gt;ROUND(((1-GroundResDiscount31Up-GroundResIncentive)*'Ground Base'!E146),2),ROUND((SINGLE('Ground Base'!E$154)+GroundResidentialFee)*(1+GroundFuelSurcharge),2),ROUND((((1-GroundResDiscount31Up-GroundResIncentive)*'Grou"&amp;"nd Base'!E146)+GroundResidentialFee)*(1+GroundFuelSurcharge),2)))*(1+FedEx_Markup),2)"),74.34)</f>
        <v>74.34</v>
      </c>
      <c r="F151" s="275">
        <f>IFERROR(__xludf.DUMMYFUNCTION("ROUND((IF(SINGLE('Ground Base'!F$154)&gt;ROUND(((1-GroundResDiscount31Up-GroundResIncentive)*'Ground Base'!F146),2),ROUND((SINGLE('Ground Base'!F$154)+GroundResidentialFee)*(1+GroundFuelSurcharge),2),ROUND((((1-GroundResDiscount31Up-GroundResIncentive)*'Grou"&amp;"nd Base'!F146)+GroundResidentialFee)*(1+GroundFuelSurcharge),2)))*(1+FedEx_Markup),2)"),82.6)</f>
        <v>82.6</v>
      </c>
      <c r="G151" s="275">
        <f>IFERROR(__xludf.DUMMYFUNCTION("ROUND((IF(SINGLE('Ground Base'!G$154)&gt;ROUND(((1-GroundResDiscount31Up-GroundResIncentive)*'Ground Base'!G146),2),ROUND((SINGLE('Ground Base'!G$154)+GroundResidentialFee)*(1+GroundFuelSurcharge),2),ROUND((((1-GroundResDiscount31Up-GroundResIncentive)*'Grou"&amp;"nd Base'!G146)+GroundResidentialFee)*(1+GroundFuelSurcharge),2)))*(1+FedEx_Markup),2)"),90.17)</f>
        <v>90.17</v>
      </c>
      <c r="H151" s="275">
        <f>IFERROR(__xludf.DUMMYFUNCTION("ROUND((IF(SINGLE('Ground Base'!H$154)&gt;ROUND(((1-GroundResDiscount31Up-GroundResIncentive)*'Ground Base'!H146),2),ROUND((SINGLE('Ground Base'!H$154)+GroundResidentialFee)*(1+GroundFuelSurcharge),2),ROUND((((1-GroundResDiscount31Up-GroundResIncentive)*'Grou"&amp;"nd Base'!H146)+GroundResidentialFee)*(1+GroundFuelSurcharge),2)))*(1+FedEx_Markup),2)"),100.54)</f>
        <v>100.54</v>
      </c>
      <c r="I151" s="275">
        <f>ROUND((IF('Ground Base'!I$154&gt;ROUND(((1-GroundAKHIDiscount)*'Ground Base'!I146),2),ROUND(('Ground Base'!I$154+GroundResidentialFee)*(1+GroundFuelSurcharge),2),ROUND((((1-GroundAKHIDiscount)*'Ground Base'!I146)+GroundResidentialFee)*(1+GroundFuelSurcharge),2)))*(1+FedEx_Markup),2)</f>
        <v>598.43</v>
      </c>
      <c r="J151" s="275">
        <f>ROUND((IF('Ground Base'!J$154&gt;ROUND(((1-GroundAKHIDiscount)*'Ground Base'!J146),2),ROUND(('Ground Base'!J$154+GroundResidentialFee)*(1+GroundFuelSurcharge),2),ROUND((((1-GroundAKHIDiscount)*'Ground Base'!J146)+GroundResidentialFee)*(1+GroundFuelSurcharge),2)))*(1+FedEx_Markup),2)</f>
        <v>598.43</v>
      </c>
      <c r="K151" s="275">
        <f>ROUND((IF('Ground Base'!K$154&gt;ROUND(((1-GroundZone51Discount)*'Ground Base'!K146),2),ROUND(('Ground Base'!K$154+GroundResidentialFee)*(1+GroundFuelSurcharge),2),ROUND((((1-GroundZone51Discount)*'Ground Base'!K146)+GroundResidentialFee)*(1+GroundFuelSurcharge),2)))*(1+FedEx_Markup),2)</f>
        <v>122.64</v>
      </c>
      <c r="L151" s="275">
        <f>ROUND((IF('Ground Base'!L$154&gt;ROUND(((1-GroundZone54Discount)*'Ground Base'!L146),2),ROUND(('Ground Base'!L$154+GroundResidentialFee)*(1+GroundFuelSurcharge),2),ROUND((((1-GroundZone54Discount)*'Ground Base'!L146)+GroundResidentialFee)*(1+GroundFuelSurcharge),2)))*(1+FedEx_Markup),2)</f>
        <v>175.36</v>
      </c>
    </row>
    <row r="152" ht="12.75" customHeight="1">
      <c r="A152" s="274">
        <v>145.0</v>
      </c>
      <c r="B152" s="275">
        <f>IFERROR(__xludf.DUMMYFUNCTION("ROUND((IF(SINGLE('Ground Base'!B$154)&gt;ROUND(((1-GroundResDiscount31Up-GroundResIncentive)*'Ground Base'!B147),2),ROUND((SINGLE('Ground Base'!B$154)+GroundResidentialFee)*(1+GroundFuelSurcharge),2),ROUND((((1-GroundResDiscount31Up-GroundResIncentive)*'Grou"&amp;"nd Base'!B147)+GroundResidentialFee)*(1+GroundFuelSurcharge),2)))*(1+FedEx_Markup),2)"),67.33)</f>
        <v>67.33</v>
      </c>
      <c r="C152" s="275">
        <f>IFERROR(__xludf.DUMMYFUNCTION("ROUND((IF(SINGLE('Ground Base'!C$154)&gt;ROUND(((1-GroundResDiscount31Up-GroundResIncentive)*'Ground Base'!C147),2),ROUND((SINGLE('Ground Base'!C$154)+GroundResidentialFee)*(1+GroundFuelSurcharge),2),ROUND((((1-GroundResDiscount31Up-GroundResIncentive)*'Grou"&amp;"nd Base'!C147)+GroundResidentialFee)*(1+GroundFuelSurcharge),2)))*(1+FedEx_Markup),2)"),68.85)</f>
        <v>68.85</v>
      </c>
      <c r="D152" s="275">
        <f>IFERROR(__xludf.DUMMYFUNCTION("ROUND((IF(SINGLE('Ground Base'!D$154)&gt;ROUND(((1-GroundResDiscount31Up-GroundResIncentive)*'Ground Base'!D147),2),ROUND((SINGLE('Ground Base'!D$154)+GroundResidentialFee)*(1+GroundFuelSurcharge),2),ROUND((((1-GroundResDiscount31Up-GroundResIncentive)*'Grou"&amp;"nd Base'!D147)+GroundResidentialFee)*(1+GroundFuelSurcharge),2)))*(1+FedEx_Markup),2)"),72.99)</f>
        <v>72.99</v>
      </c>
      <c r="E152" s="275">
        <f>IFERROR(__xludf.DUMMYFUNCTION("ROUND((IF(SINGLE('Ground Base'!E$154)&gt;ROUND(((1-GroundResDiscount31Up-GroundResIncentive)*'Ground Base'!E147),2),ROUND((SINGLE('Ground Base'!E$154)+GroundResidentialFee)*(1+GroundFuelSurcharge),2),ROUND((((1-GroundResDiscount31Up-GroundResIncentive)*'Grou"&amp;"nd Base'!E147)+GroundResidentialFee)*(1+GroundFuelSurcharge),2)))*(1+FedEx_Markup),2)"),74.34)</f>
        <v>74.34</v>
      </c>
      <c r="F152" s="275">
        <f>IFERROR(__xludf.DUMMYFUNCTION("ROUND((IF(SINGLE('Ground Base'!F$154)&gt;ROUND(((1-GroundResDiscount31Up-GroundResIncentive)*'Ground Base'!F147),2),ROUND((SINGLE('Ground Base'!F$154)+GroundResidentialFee)*(1+GroundFuelSurcharge),2),ROUND((((1-GroundResDiscount31Up-GroundResIncentive)*'Grou"&amp;"nd Base'!F147)+GroundResidentialFee)*(1+GroundFuelSurcharge),2)))*(1+FedEx_Markup),2)"),83.79)</f>
        <v>83.79</v>
      </c>
      <c r="G152" s="275">
        <f>IFERROR(__xludf.DUMMYFUNCTION("ROUND((IF(SINGLE('Ground Base'!G$154)&gt;ROUND(((1-GroundResDiscount31Up-GroundResIncentive)*'Ground Base'!G147),2),ROUND((SINGLE('Ground Base'!G$154)+GroundResidentialFee)*(1+GroundFuelSurcharge),2),ROUND((((1-GroundResDiscount31Up-GroundResIncentive)*'Grou"&amp;"nd Base'!G147)+GroundResidentialFee)*(1+GroundFuelSurcharge),2)))*(1+FedEx_Markup),2)"),90.37)</f>
        <v>90.37</v>
      </c>
      <c r="H152" s="275">
        <f>IFERROR(__xludf.DUMMYFUNCTION("ROUND((IF(SINGLE('Ground Base'!H$154)&gt;ROUND(((1-GroundResDiscount31Up-GroundResIncentive)*'Ground Base'!H147),2),ROUND((SINGLE('Ground Base'!H$154)+GroundResidentialFee)*(1+GroundFuelSurcharge),2),ROUND((((1-GroundResDiscount31Up-GroundResIncentive)*'Grou"&amp;"nd Base'!H147)+GroundResidentialFee)*(1+GroundFuelSurcharge),2)))*(1+FedEx_Markup),2)"),100.54)</f>
        <v>100.54</v>
      </c>
      <c r="I152" s="275">
        <f>ROUND((IF('Ground Base'!I$154&gt;ROUND(((1-GroundAKHIDiscount)*'Ground Base'!I147),2),ROUND(('Ground Base'!I$154+GroundResidentialFee)*(1+GroundFuelSurcharge),2),ROUND((((1-GroundAKHIDiscount)*'Ground Base'!I147)+GroundResidentialFee)*(1+GroundFuelSurcharge),2)))*(1+FedEx_Markup),2)</f>
        <v>598.44</v>
      </c>
      <c r="J152" s="275">
        <f>ROUND((IF('Ground Base'!J$154&gt;ROUND(((1-GroundAKHIDiscount)*'Ground Base'!J147),2),ROUND(('Ground Base'!J$154+GroundResidentialFee)*(1+GroundFuelSurcharge),2),ROUND((((1-GroundAKHIDiscount)*'Ground Base'!J147)+GroundResidentialFee)*(1+GroundFuelSurcharge),2)))*(1+FedEx_Markup),2)</f>
        <v>598.44</v>
      </c>
      <c r="K152" s="275">
        <f>ROUND((IF('Ground Base'!K$154&gt;ROUND(((1-GroundZone51Discount)*'Ground Base'!K147),2),ROUND(('Ground Base'!K$154+GroundResidentialFee)*(1+GroundFuelSurcharge),2),ROUND((((1-GroundZone51Discount)*'Ground Base'!K147)+GroundResidentialFee)*(1+GroundFuelSurcharge),2)))*(1+FedEx_Markup),2)</f>
        <v>122.66</v>
      </c>
      <c r="L152" s="275">
        <f>ROUND((IF('Ground Base'!L$154&gt;ROUND(((1-GroundZone54Discount)*'Ground Base'!L147),2),ROUND(('Ground Base'!L$154+GroundResidentialFee)*(1+GroundFuelSurcharge),2),ROUND((((1-GroundZone54Discount)*'Ground Base'!L147)+GroundResidentialFee)*(1+GroundFuelSurcharge),2)))*(1+FedEx_Markup),2)</f>
        <v>177.04</v>
      </c>
    </row>
    <row r="153" ht="12.75" customHeight="1">
      <c r="A153" s="274">
        <v>146.0</v>
      </c>
      <c r="B153" s="275">
        <f>IFERROR(__xludf.DUMMYFUNCTION("ROUND((IF(SINGLE('Ground Base'!B$154)&gt;ROUND(((1-GroundResDiscount31Up-GroundResIncentive)*'Ground Base'!B148),2),ROUND((SINGLE('Ground Base'!B$154)+GroundResidentialFee)*(1+GroundFuelSurcharge),2),ROUND((((1-GroundResDiscount31Up-GroundResIncentive)*'Grou"&amp;"nd Base'!B148)+GroundResidentialFee)*(1+GroundFuelSurcharge),2)))*(1+FedEx_Markup),2)"),67.34)</f>
        <v>67.34</v>
      </c>
      <c r="C153" s="275">
        <f>IFERROR(__xludf.DUMMYFUNCTION("ROUND((IF(SINGLE('Ground Base'!C$154)&gt;ROUND(((1-GroundResDiscount31Up-GroundResIncentive)*'Ground Base'!C148),2),ROUND((SINGLE('Ground Base'!C$154)+GroundResidentialFee)*(1+GroundFuelSurcharge),2),ROUND((((1-GroundResDiscount31Up-GroundResIncentive)*'Grou"&amp;"nd Base'!C148)+GroundResidentialFee)*(1+GroundFuelSurcharge),2)))*(1+FedEx_Markup),2)"),68.86)</f>
        <v>68.86</v>
      </c>
      <c r="D153" s="275">
        <f>IFERROR(__xludf.DUMMYFUNCTION("ROUND((IF(SINGLE('Ground Base'!D$154)&gt;ROUND(((1-GroundResDiscount31Up-GroundResIncentive)*'Ground Base'!D148),2),ROUND((SINGLE('Ground Base'!D$154)+GroundResidentialFee)*(1+GroundFuelSurcharge),2),ROUND((((1-GroundResDiscount31Up-GroundResIncentive)*'Grou"&amp;"nd Base'!D148)+GroundResidentialFee)*(1+GroundFuelSurcharge),2)))*(1+FedEx_Markup),2)"),72.99)</f>
        <v>72.99</v>
      </c>
      <c r="E153" s="275">
        <f>IFERROR(__xludf.DUMMYFUNCTION("ROUND((IF(SINGLE('Ground Base'!E$154)&gt;ROUND(((1-GroundResDiscount31Up-GroundResIncentive)*'Ground Base'!E148),2),ROUND((SINGLE('Ground Base'!E$154)+GroundResidentialFee)*(1+GroundFuelSurcharge),2),ROUND((((1-GroundResDiscount31Up-GroundResIncentive)*'Grou"&amp;"nd Base'!E148)+GroundResidentialFee)*(1+GroundFuelSurcharge),2)))*(1+FedEx_Markup),2)"),74.35)</f>
        <v>74.35</v>
      </c>
      <c r="F153" s="275">
        <f>IFERROR(__xludf.DUMMYFUNCTION("ROUND((IF(SINGLE('Ground Base'!F$154)&gt;ROUND(((1-GroundResDiscount31Up-GroundResIncentive)*'Ground Base'!F148),2),ROUND((SINGLE('Ground Base'!F$154)+GroundResidentialFee)*(1+GroundFuelSurcharge),2),ROUND((((1-GroundResDiscount31Up-GroundResIncentive)*'Grou"&amp;"nd Base'!F148)+GroundResidentialFee)*(1+GroundFuelSurcharge),2)))*(1+FedEx_Markup),2)"),83.79)</f>
        <v>83.79</v>
      </c>
      <c r="G153" s="275">
        <f>IFERROR(__xludf.DUMMYFUNCTION("ROUND((IF(SINGLE('Ground Base'!G$154)&gt;ROUND(((1-GroundResDiscount31Up-GroundResIncentive)*'Ground Base'!G148),2),ROUND((SINGLE('Ground Base'!G$154)+GroundResidentialFee)*(1+GroundFuelSurcharge),2),ROUND((((1-GroundResDiscount31Up-GroundResIncentive)*'Grou"&amp;"nd Base'!G148)+GroundResidentialFee)*(1+GroundFuelSurcharge),2)))*(1+FedEx_Markup),2)"),90.38)</f>
        <v>90.38</v>
      </c>
      <c r="H153" s="275">
        <f>IFERROR(__xludf.DUMMYFUNCTION("ROUND((IF(SINGLE('Ground Base'!H$154)&gt;ROUND(((1-GroundResDiscount31Up-GroundResIncentive)*'Ground Base'!H148),2),ROUND((SINGLE('Ground Base'!H$154)+GroundResidentialFee)*(1+GroundFuelSurcharge),2),ROUND((((1-GroundResDiscount31Up-GroundResIncentive)*'Grou"&amp;"nd Base'!H148)+GroundResidentialFee)*(1+GroundFuelSurcharge),2)))*(1+FedEx_Markup),2)"),100.56)</f>
        <v>100.56</v>
      </c>
      <c r="I153" s="275">
        <f>ROUND((IF('Ground Base'!I$154&gt;ROUND(((1-GroundAKHIDiscount)*'Ground Base'!I148),2),ROUND(('Ground Base'!I$154+GroundResidentialFee)*(1+GroundFuelSurcharge),2),ROUND((((1-GroundAKHIDiscount)*'Ground Base'!I148)+GroundResidentialFee)*(1+GroundFuelSurcharge),2)))*(1+FedEx_Markup),2)</f>
        <v>601.2</v>
      </c>
      <c r="J153" s="275">
        <f>ROUND((IF('Ground Base'!J$154&gt;ROUND(((1-GroundAKHIDiscount)*'Ground Base'!J148),2),ROUND(('Ground Base'!J$154+GroundResidentialFee)*(1+GroundFuelSurcharge),2),ROUND((((1-GroundAKHIDiscount)*'Ground Base'!J148)+GroundResidentialFee)*(1+GroundFuelSurcharge),2)))*(1+FedEx_Markup),2)</f>
        <v>601.2</v>
      </c>
      <c r="K153" s="275">
        <f>ROUND((IF('Ground Base'!K$154&gt;ROUND(((1-GroundZone51Discount)*'Ground Base'!K148),2),ROUND(('Ground Base'!K$154+GroundResidentialFee)*(1+GroundFuelSurcharge),2),ROUND((((1-GroundZone51Discount)*'Ground Base'!K148)+GroundResidentialFee)*(1+GroundFuelSurcharge),2)))*(1+FedEx_Markup),2)</f>
        <v>125.1</v>
      </c>
      <c r="L153" s="275">
        <f>ROUND((IF('Ground Base'!L$154&gt;ROUND(((1-GroundZone54Discount)*'Ground Base'!L148),2),ROUND(('Ground Base'!L$154+GroundResidentialFee)*(1+GroundFuelSurcharge),2),ROUND((((1-GroundZone54Discount)*'Ground Base'!L148)+GroundResidentialFee)*(1+GroundFuelSurcharge),2)))*(1+FedEx_Markup),2)</f>
        <v>180.6</v>
      </c>
    </row>
    <row r="154" ht="12.75" customHeight="1">
      <c r="A154" s="274">
        <v>147.0</v>
      </c>
      <c r="B154" s="275">
        <f>IFERROR(__xludf.DUMMYFUNCTION("ROUND((IF(SINGLE('Ground Base'!B$154)&gt;ROUND(((1-GroundResDiscount31Up-GroundResIncentive)*'Ground Base'!B149),2),ROUND((SINGLE('Ground Base'!B$154)+GroundResidentialFee)*(1+GroundFuelSurcharge),2),ROUND((((1-GroundResDiscount31Up-GroundResIncentive)*'Grou"&amp;"nd Base'!B149)+GroundResidentialFee)*(1+GroundFuelSurcharge),2)))*(1+FedEx_Markup),2)"),68.13)</f>
        <v>68.13</v>
      </c>
      <c r="C154" s="275">
        <f>IFERROR(__xludf.DUMMYFUNCTION("ROUND((IF(SINGLE('Ground Base'!C$154)&gt;ROUND(((1-GroundResDiscount31Up-GroundResIncentive)*'Ground Base'!C149),2),ROUND((SINGLE('Ground Base'!C$154)+GroundResidentialFee)*(1+GroundFuelSurcharge),2),ROUND((((1-GroundResDiscount31Up-GroundResIncentive)*'Grou"&amp;"nd Base'!C149)+GroundResidentialFee)*(1+GroundFuelSurcharge),2)))*(1+FedEx_Markup),2)"),69.51)</f>
        <v>69.51</v>
      </c>
      <c r="D154" s="275">
        <f>IFERROR(__xludf.DUMMYFUNCTION("ROUND((IF(SINGLE('Ground Base'!D$154)&gt;ROUND(((1-GroundResDiscount31Up-GroundResIncentive)*'Ground Base'!D149),2),ROUND((SINGLE('Ground Base'!D$154)+GroundResidentialFee)*(1+GroundFuelSurcharge),2),ROUND((((1-GroundResDiscount31Up-GroundResIncentive)*'Grou"&amp;"nd Base'!D149)+GroundResidentialFee)*(1+GroundFuelSurcharge),2)))*(1+FedEx_Markup),2)"),74.23)</f>
        <v>74.23</v>
      </c>
      <c r="E154" s="275">
        <f>IFERROR(__xludf.DUMMYFUNCTION("ROUND((IF(SINGLE('Ground Base'!E$154)&gt;ROUND(((1-GroundResDiscount31Up-GroundResIncentive)*'Ground Base'!E149),2),ROUND((SINGLE('Ground Base'!E$154)+GroundResidentialFee)*(1+GroundFuelSurcharge),2),ROUND((((1-GroundResDiscount31Up-GroundResIncentive)*'Grou"&amp;"nd Base'!E149)+GroundResidentialFee)*(1+GroundFuelSurcharge),2)))*(1+FedEx_Markup),2)"),75.06)</f>
        <v>75.06</v>
      </c>
      <c r="F154" s="275">
        <f>IFERROR(__xludf.DUMMYFUNCTION("ROUND((IF(SINGLE('Ground Base'!F$154)&gt;ROUND(((1-GroundResDiscount31Up-GroundResIncentive)*'Ground Base'!F149),2),ROUND((SINGLE('Ground Base'!F$154)+GroundResidentialFee)*(1+GroundFuelSurcharge),2),ROUND((((1-GroundResDiscount31Up-GroundResIncentive)*'Grou"&amp;"nd Base'!F149)+GroundResidentialFee)*(1+GroundFuelSurcharge),2)))*(1+FedEx_Markup),2)"),84.38)</f>
        <v>84.38</v>
      </c>
      <c r="G154" s="275">
        <f>IFERROR(__xludf.DUMMYFUNCTION("ROUND((IF(SINGLE('Ground Base'!G$154)&gt;ROUND(((1-GroundResDiscount31Up-GroundResIncentive)*'Ground Base'!G149),2),ROUND((SINGLE('Ground Base'!G$154)+GroundResidentialFee)*(1+GroundFuelSurcharge),2),ROUND((((1-GroundResDiscount31Up-GroundResIncentive)*'Grou"&amp;"nd Base'!G149)+GroundResidentialFee)*(1+GroundFuelSurcharge),2)))*(1+FedEx_Markup),2)"),90.38)</f>
        <v>90.38</v>
      </c>
      <c r="H154" s="275">
        <f>IFERROR(__xludf.DUMMYFUNCTION("ROUND((IF(SINGLE('Ground Base'!H$154)&gt;ROUND(((1-GroundResDiscount31Up-GroundResIncentive)*'Ground Base'!H149),2),ROUND((SINGLE('Ground Base'!H$154)+GroundResidentialFee)*(1+GroundFuelSurcharge),2),ROUND((((1-GroundResDiscount31Up-GroundResIncentive)*'Grou"&amp;"nd Base'!H149)+GroundResidentialFee)*(1+GroundFuelSurcharge),2)))*(1+FedEx_Markup),2)"),101.45)</f>
        <v>101.45</v>
      </c>
      <c r="I154" s="275">
        <f>ROUND((IF('Ground Base'!I$154&gt;ROUND(((1-GroundAKHIDiscount)*'Ground Base'!I149),2),ROUND(('Ground Base'!I$154+GroundResidentialFee)*(1+GroundFuelSurcharge),2),ROUND((((1-GroundAKHIDiscount)*'Ground Base'!I149)+GroundResidentialFee)*(1+GroundFuelSurcharge),2)))*(1+FedEx_Markup),2)</f>
        <v>615.46</v>
      </c>
      <c r="J154" s="275">
        <f>ROUND((IF('Ground Base'!J$154&gt;ROUND(((1-GroundAKHIDiscount)*'Ground Base'!J149),2),ROUND(('Ground Base'!J$154+GroundResidentialFee)*(1+GroundFuelSurcharge),2),ROUND((((1-GroundAKHIDiscount)*'Ground Base'!J149)+GroundResidentialFee)*(1+GroundFuelSurcharge),2)))*(1+FedEx_Markup),2)</f>
        <v>615.46</v>
      </c>
      <c r="K154" s="275">
        <f>ROUND((IF('Ground Base'!K$154&gt;ROUND(((1-GroundZone51Discount)*'Ground Base'!K149),2),ROUND(('Ground Base'!K$154+GroundResidentialFee)*(1+GroundFuelSurcharge),2),ROUND((((1-GroundZone51Discount)*'Ground Base'!K149)+GroundResidentialFee)*(1+GroundFuelSurcharge),2)))*(1+FedEx_Markup),2)</f>
        <v>125.1</v>
      </c>
      <c r="L154" s="275">
        <f>ROUND((IF('Ground Base'!L$154&gt;ROUND(((1-GroundZone54Discount)*'Ground Base'!L149),2),ROUND(('Ground Base'!L$154+GroundResidentialFee)*(1+GroundFuelSurcharge),2),ROUND((((1-GroundZone54Discount)*'Ground Base'!L149)+GroundResidentialFee)*(1+GroundFuelSurcharge),2)))*(1+FedEx_Markup),2)</f>
        <v>180.62</v>
      </c>
    </row>
    <row r="155" ht="12.75" customHeight="1">
      <c r="A155" s="274">
        <v>148.0</v>
      </c>
      <c r="B155" s="275">
        <f>IFERROR(__xludf.DUMMYFUNCTION("ROUND((IF(SINGLE('Ground Base'!B$154)&gt;ROUND(((1-GroundResDiscount31Up-GroundResIncentive)*'Ground Base'!B150),2),ROUND((SINGLE('Ground Base'!B$154)+GroundResidentialFee)*(1+GroundFuelSurcharge),2),ROUND((((1-GroundResDiscount31Up-GroundResIncentive)*'Grou"&amp;"nd Base'!B150)+GroundResidentialFee)*(1+GroundFuelSurcharge),2)))*(1+FedEx_Markup),2)"),68.13)</f>
        <v>68.13</v>
      </c>
      <c r="C155" s="275">
        <f>IFERROR(__xludf.DUMMYFUNCTION("ROUND((IF(SINGLE('Ground Base'!C$154)&gt;ROUND(((1-GroundResDiscount31Up-GroundResIncentive)*'Ground Base'!C150),2),ROUND((SINGLE('Ground Base'!C$154)+GroundResidentialFee)*(1+GroundFuelSurcharge),2),ROUND((((1-GroundResDiscount31Up-GroundResIncentive)*'Grou"&amp;"nd Base'!C150)+GroundResidentialFee)*(1+GroundFuelSurcharge),2)))*(1+FedEx_Markup),2)"),69.91)</f>
        <v>69.91</v>
      </c>
      <c r="D155" s="275">
        <f>IFERROR(__xludf.DUMMYFUNCTION("ROUND((IF(SINGLE('Ground Base'!D$154)&gt;ROUND(((1-GroundResDiscount31Up-GroundResIncentive)*'Ground Base'!D150),2),ROUND((SINGLE('Ground Base'!D$154)+GroundResidentialFee)*(1+GroundFuelSurcharge),2),ROUND((((1-GroundResDiscount31Up-GroundResIncentive)*'Grou"&amp;"nd Base'!D150)+GroundResidentialFee)*(1+GroundFuelSurcharge),2)))*(1+FedEx_Markup),2)"),74.31)</f>
        <v>74.31</v>
      </c>
      <c r="E155" s="275">
        <f>IFERROR(__xludf.DUMMYFUNCTION("ROUND((IF(SINGLE('Ground Base'!E$154)&gt;ROUND(((1-GroundResDiscount31Up-GroundResIncentive)*'Ground Base'!E150),2),ROUND((SINGLE('Ground Base'!E$154)+GroundResidentialFee)*(1+GroundFuelSurcharge),2),ROUND((((1-GroundResDiscount31Up-GroundResIncentive)*'Grou"&amp;"nd Base'!E150)+GroundResidentialFee)*(1+GroundFuelSurcharge),2)))*(1+FedEx_Markup),2)"),75.07)</f>
        <v>75.07</v>
      </c>
      <c r="F155" s="275">
        <f>IFERROR(__xludf.DUMMYFUNCTION("ROUND((IF(SINGLE('Ground Base'!F$154)&gt;ROUND(((1-GroundResDiscount31Up-GroundResIncentive)*'Ground Base'!F150),2),ROUND((SINGLE('Ground Base'!F$154)+GroundResidentialFee)*(1+GroundFuelSurcharge),2),ROUND((((1-GroundResDiscount31Up-GroundResIncentive)*'Grou"&amp;"nd Base'!F150)+GroundResidentialFee)*(1+GroundFuelSurcharge),2)))*(1+FedEx_Markup),2)"),84.39)</f>
        <v>84.39</v>
      </c>
      <c r="G155" s="275">
        <f>IFERROR(__xludf.DUMMYFUNCTION("ROUND((IF(SINGLE('Ground Base'!G$154)&gt;ROUND(((1-GroundResDiscount31Up-GroundResIncentive)*'Ground Base'!G150),2),ROUND((SINGLE('Ground Base'!G$154)+GroundResidentialFee)*(1+GroundFuelSurcharge),2),ROUND((((1-GroundResDiscount31Up-GroundResIncentive)*'Grou"&amp;"nd Base'!G150)+GroundResidentialFee)*(1+GroundFuelSurcharge),2)))*(1+FedEx_Markup),2)"),90.39)</f>
        <v>90.39</v>
      </c>
      <c r="H155" s="275">
        <f>IFERROR(__xludf.DUMMYFUNCTION("ROUND((IF(SINGLE('Ground Base'!H$154)&gt;ROUND(((1-GroundResDiscount31Up-GroundResIncentive)*'Ground Base'!H150),2),ROUND((SINGLE('Ground Base'!H$154)+GroundResidentialFee)*(1+GroundFuelSurcharge),2),ROUND((((1-GroundResDiscount31Up-GroundResIncentive)*'Grou"&amp;"nd Base'!H150)+GroundResidentialFee)*(1+GroundFuelSurcharge),2)))*(1+FedEx_Markup),2)"),101.46)</f>
        <v>101.46</v>
      </c>
      <c r="I155" s="275">
        <f>ROUND((IF('Ground Base'!I$154&gt;ROUND(((1-GroundAKHIDiscount)*'Ground Base'!I150),2),ROUND(('Ground Base'!I$154+GroundResidentialFee)*(1+GroundFuelSurcharge),2),ROUND((((1-GroundAKHIDiscount)*'Ground Base'!I150)+GroundResidentialFee)*(1+GroundFuelSurcharge),2)))*(1+FedEx_Markup),2)</f>
        <v>615.47</v>
      </c>
      <c r="J155" s="275">
        <f>ROUND((IF('Ground Base'!J$154&gt;ROUND(((1-GroundAKHIDiscount)*'Ground Base'!J150),2),ROUND(('Ground Base'!J$154+GroundResidentialFee)*(1+GroundFuelSurcharge),2),ROUND((((1-GroundAKHIDiscount)*'Ground Base'!J150)+GroundResidentialFee)*(1+GroundFuelSurcharge),2)))*(1+FedEx_Markup),2)</f>
        <v>615.47</v>
      </c>
      <c r="K155" s="275">
        <f>ROUND((IF('Ground Base'!K$154&gt;ROUND(((1-GroundZone51Discount)*'Ground Base'!K150),2),ROUND(('Ground Base'!K$154+GroundResidentialFee)*(1+GroundFuelSurcharge),2),ROUND((((1-GroundZone51Discount)*'Ground Base'!K150)+GroundResidentialFee)*(1+GroundFuelSurcharge),2)))*(1+FedEx_Markup),2)</f>
        <v>125.11</v>
      </c>
      <c r="L155" s="275">
        <f>ROUND((IF('Ground Base'!L$154&gt;ROUND(((1-GroundZone54Discount)*'Ground Base'!L150),2),ROUND(('Ground Base'!L$154+GroundResidentialFee)*(1+GroundFuelSurcharge),2),ROUND((((1-GroundZone54Discount)*'Ground Base'!L150)+GroundResidentialFee)*(1+GroundFuelSurcharge),2)))*(1+FedEx_Markup),2)</f>
        <v>180.62</v>
      </c>
    </row>
    <row r="156" ht="12.75" customHeight="1">
      <c r="A156" s="274">
        <v>149.0</v>
      </c>
      <c r="B156" s="275">
        <f>IFERROR(__xludf.DUMMYFUNCTION("ROUND((IF(SINGLE('Ground Base'!B$154)&gt;ROUND(((1-GroundResDiscount31Up-GroundResIncentive)*'Ground Base'!B151),2),ROUND((SINGLE('Ground Base'!B$154)+GroundResidentialFee)*(1+GroundFuelSurcharge),2),ROUND((((1-GroundResDiscount31Up-GroundResIncentive)*'Grou"&amp;"nd Base'!B151)+GroundResidentialFee)*(1+GroundFuelSurcharge),2)))*(1+FedEx_Markup),2)"),68.14)</f>
        <v>68.14</v>
      </c>
      <c r="C156" s="275">
        <f>IFERROR(__xludf.DUMMYFUNCTION("ROUND((IF(SINGLE('Ground Base'!C$154)&gt;ROUND(((1-GroundResDiscount31Up-GroundResIncentive)*'Ground Base'!C151),2),ROUND((SINGLE('Ground Base'!C$154)+GroundResidentialFee)*(1+GroundFuelSurcharge),2),ROUND((((1-GroundResDiscount31Up-GroundResIncentive)*'Grou"&amp;"nd Base'!C151)+GroundResidentialFee)*(1+GroundFuelSurcharge),2)))*(1+FedEx_Markup),2)"),69.91)</f>
        <v>69.91</v>
      </c>
      <c r="D156" s="275">
        <f>IFERROR(__xludf.DUMMYFUNCTION("ROUND((IF(SINGLE('Ground Base'!D$154)&gt;ROUND(((1-GroundResDiscount31Up-GroundResIncentive)*'Ground Base'!D151),2),ROUND((SINGLE('Ground Base'!D$154)+GroundResidentialFee)*(1+GroundFuelSurcharge),2),ROUND((((1-GroundResDiscount31Up-GroundResIncentive)*'Grou"&amp;"nd Base'!D151)+GroundResidentialFee)*(1+GroundFuelSurcharge),2)))*(1+FedEx_Markup),2)"),75.29)</f>
        <v>75.29</v>
      </c>
      <c r="E156" s="275">
        <f>IFERROR(__xludf.DUMMYFUNCTION("ROUND((IF(SINGLE('Ground Base'!E$154)&gt;ROUND(((1-GroundResDiscount31Up-GroundResIncentive)*'Ground Base'!E151),2),ROUND((SINGLE('Ground Base'!E$154)+GroundResidentialFee)*(1+GroundFuelSurcharge),2),ROUND((((1-GroundResDiscount31Up-GroundResIncentive)*'Grou"&amp;"nd Base'!E151)+GroundResidentialFee)*(1+GroundFuelSurcharge),2)))*(1+FedEx_Markup),2)"),76.2)</f>
        <v>76.2</v>
      </c>
      <c r="F156" s="275">
        <f>IFERROR(__xludf.DUMMYFUNCTION("ROUND((IF(SINGLE('Ground Base'!F$154)&gt;ROUND(((1-GroundResDiscount31Up-GroundResIncentive)*'Ground Base'!F151),2),ROUND((SINGLE('Ground Base'!F$154)+GroundResidentialFee)*(1+GroundFuelSurcharge),2),ROUND((((1-GroundResDiscount31Up-GroundResIncentive)*'Grou"&amp;"nd Base'!F151)+GroundResidentialFee)*(1+GroundFuelSurcharge),2)))*(1+FedEx_Markup),2)"),84.65)</f>
        <v>84.65</v>
      </c>
      <c r="G156" s="275">
        <f>IFERROR(__xludf.DUMMYFUNCTION("ROUND((IF(SINGLE('Ground Base'!G$154)&gt;ROUND(((1-GroundResDiscount31Up-GroundResIncentive)*'Ground Base'!G151),2),ROUND((SINGLE('Ground Base'!G$154)+GroundResidentialFee)*(1+GroundFuelSurcharge),2),ROUND((((1-GroundResDiscount31Up-GroundResIncentive)*'Grou"&amp;"nd Base'!G151)+GroundResidentialFee)*(1+GroundFuelSurcharge),2)))*(1+FedEx_Markup),2)"),91.22)</f>
        <v>91.22</v>
      </c>
      <c r="H156" s="275">
        <f>IFERROR(__xludf.DUMMYFUNCTION("ROUND((IF(SINGLE('Ground Base'!H$154)&gt;ROUND(((1-GroundResDiscount31Up-GroundResIncentive)*'Ground Base'!H151),2),ROUND((SINGLE('Ground Base'!H$154)+GroundResidentialFee)*(1+GroundFuelSurcharge),2),ROUND((((1-GroundResDiscount31Up-GroundResIncentive)*'Grou"&amp;"nd Base'!H151)+GroundResidentialFee)*(1+GroundFuelSurcharge),2)))*(1+FedEx_Markup),2)"),102.4)</f>
        <v>102.4</v>
      </c>
      <c r="I156" s="275">
        <f>ROUND((IF('Ground Base'!I$154&gt;ROUND(((1-GroundAKHIDiscount)*'Ground Base'!I151),2),ROUND(('Ground Base'!I$154+GroundResidentialFee)*(1+GroundFuelSurcharge),2),ROUND((((1-GroundAKHIDiscount)*'Ground Base'!I151)+GroundResidentialFee)*(1+GroundFuelSurcharge),2)))*(1+FedEx_Markup),2)</f>
        <v>616.77</v>
      </c>
      <c r="J156" s="275">
        <f>ROUND((IF('Ground Base'!J$154&gt;ROUND(((1-GroundAKHIDiscount)*'Ground Base'!J151),2),ROUND(('Ground Base'!J$154+GroundResidentialFee)*(1+GroundFuelSurcharge),2),ROUND((((1-GroundAKHIDiscount)*'Ground Base'!J151)+GroundResidentialFee)*(1+GroundFuelSurcharge),2)))*(1+FedEx_Markup),2)</f>
        <v>616.77</v>
      </c>
      <c r="K156" s="275">
        <f>ROUND((IF('Ground Base'!K$154&gt;ROUND(((1-GroundZone51Discount)*'Ground Base'!K151),2),ROUND(('Ground Base'!K$154+GroundResidentialFee)*(1+GroundFuelSurcharge),2),ROUND((((1-GroundZone51Discount)*'Ground Base'!K151)+GroundResidentialFee)*(1+GroundFuelSurcharge),2)))*(1+FedEx_Markup),2)</f>
        <v>125.12</v>
      </c>
      <c r="L156" s="275">
        <f>ROUND((IF('Ground Base'!L$154&gt;ROUND(((1-GroundZone54Discount)*'Ground Base'!L151),2),ROUND(('Ground Base'!L$154+GroundResidentialFee)*(1+GroundFuelSurcharge),2),ROUND((((1-GroundZone54Discount)*'Ground Base'!L151)+GroundResidentialFee)*(1+GroundFuelSurcharge),2)))*(1+FedEx_Markup),2)</f>
        <v>180.63</v>
      </c>
    </row>
    <row r="157" ht="12.75" customHeight="1">
      <c r="A157" s="274">
        <v>150.0</v>
      </c>
      <c r="B157" s="275">
        <f>IFERROR(__xludf.DUMMYFUNCTION("ROUND((IF(SINGLE('Ground Base'!B$154)&gt;ROUND(((1-GroundResDiscount31Up-GroundResIncentive)*'Ground Base'!B152),2),ROUND((SINGLE('Ground Base'!B$154)+GroundResidentialFee)*(1+GroundFuelSurcharge),2),ROUND((((1-GroundResDiscount31Up-GroundResIncentive)*'Grou"&amp;"nd Base'!B152)+GroundResidentialFee)*(1+GroundFuelSurcharge),2)))*(1+FedEx_Markup),2)"),68.14)</f>
        <v>68.14</v>
      </c>
      <c r="C157" s="275">
        <f>IFERROR(__xludf.DUMMYFUNCTION("ROUND((IF(SINGLE('Ground Base'!C$154)&gt;ROUND(((1-GroundResDiscount31Up-GroundResIncentive)*'Ground Base'!C152),2),ROUND((SINGLE('Ground Base'!C$154)+GroundResidentialFee)*(1+GroundFuelSurcharge),2),ROUND((((1-GroundResDiscount31Up-GroundResIncentive)*'Grou"&amp;"nd Base'!C152)+GroundResidentialFee)*(1+GroundFuelSurcharge),2)))*(1+FedEx_Markup),2)"),69.92)</f>
        <v>69.92</v>
      </c>
      <c r="D157" s="275">
        <f>IFERROR(__xludf.DUMMYFUNCTION("ROUND((IF(SINGLE('Ground Base'!D$154)&gt;ROUND(((1-GroundResDiscount31Up-GroundResIncentive)*'Ground Base'!D152),2),ROUND((SINGLE('Ground Base'!D$154)+GroundResidentialFee)*(1+GroundFuelSurcharge),2),ROUND((((1-GroundResDiscount31Up-GroundResIncentive)*'Grou"&amp;"nd Base'!D152)+GroundResidentialFee)*(1+GroundFuelSurcharge),2)))*(1+FedEx_Markup),2)"),75.3)</f>
        <v>75.3</v>
      </c>
      <c r="E157" s="275">
        <f>IFERROR(__xludf.DUMMYFUNCTION("ROUND((IF(SINGLE('Ground Base'!E$154)&gt;ROUND(((1-GroundResDiscount31Up-GroundResIncentive)*'Ground Base'!E152),2),ROUND((SINGLE('Ground Base'!E$154)+GroundResidentialFee)*(1+GroundFuelSurcharge),2),ROUND((((1-GroundResDiscount31Up-GroundResIncentive)*'Grou"&amp;"nd Base'!E152)+GroundResidentialFee)*(1+GroundFuelSurcharge),2)))*(1+FedEx_Markup),2)"),77.25)</f>
        <v>77.25</v>
      </c>
      <c r="F157" s="275">
        <f>IFERROR(__xludf.DUMMYFUNCTION("ROUND((IF(SINGLE('Ground Base'!F$154)&gt;ROUND(((1-GroundResDiscount31Up-GroundResIncentive)*'Ground Base'!F152),2),ROUND((SINGLE('Ground Base'!F$154)+GroundResidentialFee)*(1+GroundFuelSurcharge),2),ROUND((((1-GroundResDiscount31Up-GroundResIncentive)*'Grou"&amp;"nd Base'!F152)+GroundResidentialFee)*(1+GroundFuelSurcharge),2)))*(1+FedEx_Markup),2)"),84.65)</f>
        <v>84.65</v>
      </c>
      <c r="G157" s="275">
        <f>IFERROR(__xludf.DUMMYFUNCTION("ROUND((IF(SINGLE('Ground Base'!G$154)&gt;ROUND(((1-GroundResDiscount31Up-GroundResIncentive)*'Ground Base'!G152),2),ROUND((SINGLE('Ground Base'!G$154)+GroundResidentialFee)*(1+GroundFuelSurcharge),2),ROUND((((1-GroundResDiscount31Up-GroundResIncentive)*'Grou"&amp;"nd Base'!G152)+GroundResidentialFee)*(1+GroundFuelSurcharge),2)))*(1+FedEx_Markup),2)"),91.22)</f>
        <v>91.22</v>
      </c>
      <c r="H157" s="275">
        <f>IFERROR(__xludf.DUMMYFUNCTION("ROUND((IF(SINGLE('Ground Base'!H$154)&gt;ROUND(((1-GroundResDiscount31Up-GroundResIncentive)*'Ground Base'!H152),2),ROUND((SINGLE('Ground Base'!H$154)+GroundResidentialFee)*(1+GroundFuelSurcharge),2),ROUND((((1-GroundResDiscount31Up-GroundResIncentive)*'Grou"&amp;"nd Base'!H152)+GroundResidentialFee)*(1+GroundFuelSurcharge),2)))*(1+FedEx_Markup),2)"),102.41)</f>
        <v>102.41</v>
      </c>
      <c r="I157" s="275">
        <f>ROUND((IF('Ground Base'!I$154&gt;ROUND(((1-GroundAKHIDiscount)*'Ground Base'!I152),2),ROUND(('Ground Base'!I$154+GroundResidentialFee)*(1+GroundFuelSurcharge),2),ROUND((((1-GroundAKHIDiscount)*'Ground Base'!I152)+GroundResidentialFee)*(1+GroundFuelSurcharge),2)))*(1+FedEx_Markup),2)</f>
        <v>620.99</v>
      </c>
      <c r="J157" s="275">
        <f>ROUND((IF('Ground Base'!J$154&gt;ROUND(((1-GroundAKHIDiscount)*'Ground Base'!J152),2),ROUND(('Ground Base'!J$154+GroundResidentialFee)*(1+GroundFuelSurcharge),2),ROUND((((1-GroundAKHIDiscount)*'Ground Base'!J152)+GroundResidentialFee)*(1+GroundFuelSurcharge),2)))*(1+FedEx_Markup),2)</f>
        <v>620.99</v>
      </c>
      <c r="K157" s="275">
        <f>ROUND((IF('Ground Base'!K$154&gt;ROUND(((1-GroundZone51Discount)*'Ground Base'!K152),2),ROUND(('Ground Base'!K$154+GroundResidentialFee)*(1+GroundFuelSurcharge),2),ROUND((((1-GroundZone51Discount)*'Ground Base'!K152)+GroundResidentialFee)*(1+GroundFuelSurcharge),2)))*(1+FedEx_Markup),2)</f>
        <v>125.12</v>
      </c>
      <c r="L157" s="275">
        <f>ROUND((IF('Ground Base'!L$154&gt;ROUND(((1-GroundZone54Discount)*'Ground Base'!L152),2),ROUND(('Ground Base'!L$154+GroundResidentialFee)*(1+GroundFuelSurcharge),2),ROUND((((1-GroundZone54Discount)*'Ground Base'!L152)+GroundResidentialFee)*(1+GroundFuelSurcharge),2)))*(1+FedEx_Markup),2)</f>
        <v>180.64</v>
      </c>
    </row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8:L157">
    <cfRule type="expression" dxfId="0" priority="1">
      <formula>MOD(ROW(),2)=0</formula>
    </cfRule>
  </conditionalFormatting>
  <printOptions/>
  <pageMargins bottom="0.57" footer="0.0" header="0.0" left="0.75" right="0.75" top="0.51"/>
  <pageSetup scale="92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55A11"/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>
      <c r="B1" s="278" t="s">
        <v>118</v>
      </c>
      <c r="G1" s="264" t="s">
        <v>113</v>
      </c>
    </row>
    <row r="2" ht="12.75" customHeight="1">
      <c r="B2" s="270" t="s">
        <v>115</v>
      </c>
      <c r="G2" s="264" t="s">
        <v>114</v>
      </c>
    </row>
    <row r="3" ht="12.75" customHeight="1">
      <c r="B3" s="270" t="s">
        <v>119</v>
      </c>
      <c r="G3" s="277"/>
      <c r="H3" s="277"/>
      <c r="I3" s="277"/>
      <c r="J3" s="277"/>
      <c r="K3" s="277"/>
      <c r="L3" s="277"/>
      <c r="M3" s="277"/>
    </row>
    <row r="4" ht="12.75" customHeight="1">
      <c r="B4" s="279" t="s">
        <v>120</v>
      </c>
    </row>
    <row r="5" ht="12.75" customHeight="1">
      <c r="A5" s="271" t="s">
        <v>1</v>
      </c>
      <c r="B5" s="280" t="s">
        <v>0</v>
      </c>
      <c r="C5" s="280" t="s">
        <v>0</v>
      </c>
      <c r="D5" s="280" t="s">
        <v>0</v>
      </c>
      <c r="E5" s="281" t="s">
        <v>0</v>
      </c>
      <c r="F5" s="280" t="s">
        <v>0</v>
      </c>
      <c r="G5" s="280" t="s">
        <v>0</v>
      </c>
      <c r="H5" s="280" t="s">
        <v>0</v>
      </c>
    </row>
    <row r="6" ht="12.75" customHeight="1">
      <c r="A6" s="271" t="s">
        <v>80</v>
      </c>
      <c r="B6" s="282">
        <v>2.0</v>
      </c>
      <c r="C6" s="282">
        <v>3.0</v>
      </c>
      <c r="D6" s="282">
        <v>4.0</v>
      </c>
      <c r="E6" s="271">
        <v>5.0</v>
      </c>
      <c r="F6" s="282">
        <v>6.0</v>
      </c>
      <c r="G6" s="282">
        <v>7.0</v>
      </c>
      <c r="H6" s="282">
        <v>8.0</v>
      </c>
    </row>
    <row r="7" ht="12.75" customHeight="1">
      <c r="A7" s="274" t="s">
        <v>117</v>
      </c>
      <c r="B7" s="275">
        <f>ROUND((IF(MinBaseSurePost&gt;ROUND(((1-SurePostDiscount)*'Ground Econ and Inov Base'!B3),2),ROUND(MinBaseSurePost*(1+SurePostFuelSurcharge),2),ROUND(((1-SurePostDiscount)*'Ground Econ and Inov Base'!B3)*(1+SurePostFuelSurcharge),2)))*(1+FedEx_Markup),2)</f>
        <v>10.55</v>
      </c>
      <c r="C7" s="283">
        <f>ROUND((IF(MinBaseSurePost&gt;ROUND(((1-SurePostDiscount)*'Ground Econ and Inov Base'!C3),2),ROUND(MinBaseSurePost*(1+SurePostFuelSurcharge),2),ROUND(((1-SurePostDiscount)*'Ground Econ and Inov Base'!C3)*(1+SurePostFuelSurcharge),2)))*(1+FedEx_Markup),2)</f>
        <v>10.55</v>
      </c>
      <c r="D7" s="283">
        <f>ROUND((IF(MinBaseSurePost&gt;ROUND(((1-SurePostDiscount)*'Ground Econ and Inov Base'!D3),2),ROUND(MinBaseSurePost*(1+SurePostFuelSurcharge),2),ROUND(((1-SurePostDiscount)*'Ground Econ and Inov Base'!D3)*(1+SurePostFuelSurcharge),2)))*(1+FedEx_Markup),2)</f>
        <v>10.55</v>
      </c>
      <c r="E7" s="283">
        <f>ROUND((IF(MinBaseSurePost&gt;ROUND(((1-SurePostDiscount)*'Ground Econ and Inov Base'!E3),2),ROUND(MinBaseSurePost*(1+SurePostFuelSurcharge),2),ROUND(((1-SurePostDiscount)*'Ground Econ and Inov Base'!E3)*(1+SurePostFuelSurcharge),2)))*(1+FedEx_Markup),2)</f>
        <v>10.55</v>
      </c>
      <c r="F7" s="283">
        <f>ROUND((IF(MinBaseSurePost&gt;ROUND(((1-SurePostDiscount)*'Ground Econ and Inov Base'!F3),2),ROUND(MinBaseSurePost*(1+SurePostFuelSurcharge),2),ROUND(((1-SurePostDiscount)*'Ground Econ and Inov Base'!F3)*(1+SurePostFuelSurcharge),2)))*(1+FedEx_Markup),2)</f>
        <v>10.55</v>
      </c>
      <c r="G7" s="283">
        <f>ROUND((IF(MinBaseSurePost&gt;ROUND(((1-SurePostDiscount)*'Ground Econ and Inov Base'!G3),2),ROUND(MinBaseSurePost*(1+SurePostFuelSurcharge),2),ROUND(((1-SurePostDiscount)*'Ground Econ and Inov Base'!G3)*(1+SurePostFuelSurcharge),2)))*(1+FedEx_Markup),2)</f>
        <v>10.55</v>
      </c>
      <c r="H7" s="283">
        <f>ROUND((IF(MinBaseSurePost&gt;ROUND(((1-SurePostDiscount)*'Ground Econ and Inov Base'!H3),2),ROUND(MinBaseSurePost*(1+SurePostFuelSurcharge),2),ROUND(((1-SurePostDiscount)*'Ground Econ and Inov Base'!H3)*(1+SurePostFuelSurcharge),2)))*(1+FedEx_Markup),2)</f>
        <v>10.55</v>
      </c>
    </row>
    <row r="8" ht="12.75" customHeight="1">
      <c r="A8" s="274">
        <v>2.0</v>
      </c>
      <c r="B8" s="283">
        <f>ROUND((IF(MinBaseSurePost&gt;ROUND(((1-SurePostDiscount)*'Ground Econ and Inov Base'!B4),2),ROUND(MinBaseSurePost*(1+SurePostFuelSurcharge),2),ROUND(((1-SurePostDiscount)*'Ground Econ and Inov Base'!B4)*(1+SurePostFuelSurcharge),2)))*(1+FedEx_Markup),2)</f>
        <v>10.55</v>
      </c>
      <c r="C8" s="283">
        <f>ROUND((IF(MinBaseSurePost&gt;ROUND(((1-SurePostDiscount)*'Ground Econ and Inov Base'!C4),2),ROUND(MinBaseSurePost*(1+SurePostFuelSurcharge),2),ROUND(((1-SurePostDiscount)*'Ground Econ and Inov Base'!C4)*(1+SurePostFuelSurcharge),2)))*(1+FedEx_Markup),2)</f>
        <v>10.55</v>
      </c>
      <c r="D8" s="283">
        <f>ROUND((IF(MinBaseSurePost&gt;ROUND(((1-SurePostDiscount)*'Ground Econ and Inov Base'!D4),2),ROUND(MinBaseSurePost*(1+SurePostFuelSurcharge),2),ROUND(((1-SurePostDiscount)*'Ground Econ and Inov Base'!D4)*(1+SurePostFuelSurcharge),2)))*(1+FedEx_Markup),2)</f>
        <v>10.55</v>
      </c>
      <c r="E8" s="283">
        <f>ROUND((IF(MinBaseSurePost&gt;ROUND(((1-SurePostDiscount)*'Ground Econ and Inov Base'!E4),2),ROUND(MinBaseSurePost*(1+SurePostFuelSurcharge),2),ROUND(((1-SurePostDiscount)*'Ground Econ and Inov Base'!E4)*(1+SurePostFuelSurcharge),2)))*(1+FedEx_Markup),2)</f>
        <v>10.55</v>
      </c>
      <c r="F8" s="283">
        <f>ROUND((IF(MinBaseSurePost&gt;ROUND(((1-SurePostDiscount)*'Ground Econ and Inov Base'!F4),2),ROUND(MinBaseSurePost*(1+SurePostFuelSurcharge),2),ROUND(((1-SurePostDiscount)*'Ground Econ and Inov Base'!F4)*(1+SurePostFuelSurcharge),2)))*(1+FedEx_Markup),2)</f>
        <v>10.55</v>
      </c>
      <c r="G8" s="283">
        <f>ROUND((IF(MinBaseSurePost&gt;ROUND(((1-SurePostDiscount)*'Ground Econ and Inov Base'!G4),2),ROUND(MinBaseSurePost*(1+SurePostFuelSurcharge),2),ROUND(((1-SurePostDiscount)*'Ground Econ and Inov Base'!G4)*(1+SurePostFuelSurcharge),2)))*(1+FedEx_Markup),2)</f>
        <v>10.55</v>
      </c>
      <c r="H8" s="283">
        <f>ROUND((IF(MinBaseSurePost&gt;ROUND(((1-SurePostDiscount)*'Ground Econ and Inov Base'!H4),2),ROUND(MinBaseSurePost*(1+SurePostFuelSurcharge),2),ROUND(((1-SurePostDiscount)*'Ground Econ and Inov Base'!H4)*(1+SurePostFuelSurcharge),2)))*(1+FedEx_Markup),2)</f>
        <v>10.55</v>
      </c>
    </row>
    <row r="9" ht="12.75" customHeight="1">
      <c r="A9" s="274">
        <v>3.0</v>
      </c>
      <c r="B9" s="283">
        <f>ROUND((IF(MinBaseSurePost&gt;ROUND(((1-SurePostDiscount)*'Ground Econ and Inov Base'!B5),2),ROUND(MinBaseSurePost*(1+SurePostFuelSurcharge),2),ROUND(((1-SurePostDiscount)*'Ground Econ and Inov Base'!B5)*(1+SurePostFuelSurcharge),2)))*(1+FedEx_Markup),2)</f>
        <v>10.55</v>
      </c>
      <c r="C9" s="283">
        <f>ROUND((IF(MinBaseSurePost&gt;ROUND(((1-SurePostDiscount)*'Ground Econ and Inov Base'!C5),2),ROUND(MinBaseSurePost*(1+SurePostFuelSurcharge),2),ROUND(((1-SurePostDiscount)*'Ground Econ and Inov Base'!C5)*(1+SurePostFuelSurcharge),2)))*(1+FedEx_Markup),2)</f>
        <v>10.55</v>
      </c>
      <c r="D9" s="283">
        <f>ROUND((IF(MinBaseSurePost&gt;ROUND(((1-SurePostDiscount)*'Ground Econ and Inov Base'!D5),2),ROUND(MinBaseSurePost*(1+SurePostFuelSurcharge),2),ROUND(((1-SurePostDiscount)*'Ground Econ and Inov Base'!D5)*(1+SurePostFuelSurcharge),2)))*(1+FedEx_Markup),2)</f>
        <v>10.55</v>
      </c>
      <c r="E9" s="283">
        <f>ROUND((IF(MinBaseSurePost&gt;ROUND(((1-SurePostDiscount)*'Ground Econ and Inov Base'!E5),2),ROUND(MinBaseSurePost*(1+SurePostFuelSurcharge),2),ROUND(((1-SurePostDiscount)*'Ground Econ and Inov Base'!E5)*(1+SurePostFuelSurcharge),2)))*(1+FedEx_Markup),2)</f>
        <v>10.55</v>
      </c>
      <c r="F9" s="283">
        <f>ROUND((IF(MinBaseSurePost&gt;ROUND(((1-SurePostDiscount)*'Ground Econ and Inov Base'!F5),2),ROUND(MinBaseSurePost*(1+SurePostFuelSurcharge),2),ROUND(((1-SurePostDiscount)*'Ground Econ and Inov Base'!F5)*(1+SurePostFuelSurcharge),2)))*(1+FedEx_Markup),2)</f>
        <v>10.55</v>
      </c>
      <c r="G9" s="283">
        <f>ROUND((IF(MinBaseSurePost&gt;ROUND(((1-SurePostDiscount)*'Ground Econ and Inov Base'!G5),2),ROUND(MinBaseSurePost*(1+SurePostFuelSurcharge),2),ROUND(((1-SurePostDiscount)*'Ground Econ and Inov Base'!G5)*(1+SurePostFuelSurcharge),2)))*(1+FedEx_Markup),2)</f>
        <v>10.55</v>
      </c>
      <c r="H9" s="283">
        <f>ROUND((IF(MinBaseSurePost&gt;ROUND(((1-SurePostDiscount)*'Ground Econ and Inov Base'!H5),2),ROUND(MinBaseSurePost*(1+SurePostFuelSurcharge),2),ROUND(((1-SurePostDiscount)*'Ground Econ and Inov Base'!H5)*(1+SurePostFuelSurcharge),2)))*(1+FedEx_Markup),2)</f>
        <v>10.55</v>
      </c>
    </row>
    <row r="10" ht="12.75" customHeight="1">
      <c r="A10" s="274">
        <v>4.0</v>
      </c>
      <c r="B10" s="283">
        <f>ROUND((IF(MinBaseSurePost&gt;ROUND(((1-SurePostDiscount)*'Ground Econ and Inov Base'!B6),2),ROUND(MinBaseSurePost*(1+SurePostFuelSurcharge),2),ROUND(((1-SurePostDiscount)*'Ground Econ and Inov Base'!B6)*(1+SurePostFuelSurcharge),2)))*(1+FedEx_Markup),2)</f>
        <v>10.55</v>
      </c>
      <c r="C10" s="283">
        <f>ROUND((IF(MinBaseSurePost&gt;ROUND(((1-SurePostDiscount)*'Ground Econ and Inov Base'!C6),2),ROUND(MinBaseSurePost*(1+SurePostFuelSurcharge),2),ROUND(((1-SurePostDiscount)*'Ground Econ and Inov Base'!C6)*(1+SurePostFuelSurcharge),2)))*(1+FedEx_Markup),2)</f>
        <v>10.55</v>
      </c>
      <c r="D10" s="283">
        <f>ROUND((IF(MinBaseSurePost&gt;ROUND(((1-SurePostDiscount)*'Ground Econ and Inov Base'!D6),2),ROUND(MinBaseSurePost*(1+SurePostFuelSurcharge),2),ROUND(((1-SurePostDiscount)*'Ground Econ and Inov Base'!D6)*(1+SurePostFuelSurcharge),2)))*(1+FedEx_Markup),2)</f>
        <v>10.55</v>
      </c>
      <c r="E10" s="283">
        <f>ROUND((IF(MinBaseSurePost&gt;ROUND(((1-SurePostDiscount)*'Ground Econ and Inov Base'!E6),2),ROUND(MinBaseSurePost*(1+SurePostFuelSurcharge),2),ROUND(((1-SurePostDiscount)*'Ground Econ and Inov Base'!E6)*(1+SurePostFuelSurcharge),2)))*(1+FedEx_Markup),2)</f>
        <v>10.55</v>
      </c>
      <c r="F10" s="283">
        <f>ROUND((IF(MinBaseSurePost&gt;ROUND(((1-SurePostDiscount)*'Ground Econ and Inov Base'!F6),2),ROUND(MinBaseSurePost*(1+SurePostFuelSurcharge),2),ROUND(((1-SurePostDiscount)*'Ground Econ and Inov Base'!F6)*(1+SurePostFuelSurcharge),2)))*(1+FedEx_Markup),2)</f>
        <v>10.55</v>
      </c>
      <c r="G10" s="283">
        <f>ROUND((IF(MinBaseSurePost&gt;ROUND(((1-SurePostDiscount)*'Ground Econ and Inov Base'!G6),2),ROUND(MinBaseSurePost*(1+SurePostFuelSurcharge),2),ROUND(((1-SurePostDiscount)*'Ground Econ and Inov Base'!G6)*(1+SurePostFuelSurcharge),2)))*(1+FedEx_Markup),2)</f>
        <v>10.55</v>
      </c>
      <c r="H10" s="283">
        <f>ROUND((IF(MinBaseSurePost&gt;ROUND(((1-SurePostDiscount)*'Ground Econ and Inov Base'!H6),2),ROUND(MinBaseSurePost*(1+SurePostFuelSurcharge),2),ROUND(((1-SurePostDiscount)*'Ground Econ and Inov Base'!H6)*(1+SurePostFuelSurcharge),2)))*(1+FedEx_Markup),2)</f>
        <v>10.55</v>
      </c>
    </row>
    <row r="11" ht="12.75" customHeight="1">
      <c r="A11" s="274">
        <v>5.0</v>
      </c>
      <c r="B11" s="283">
        <f>ROUND((IF(MinBaseSurePost&gt;ROUND(((1-SurePostDiscount)*'Ground Econ and Inov Base'!B7),2),ROUND(MinBaseSurePost*(1+SurePostFuelSurcharge),2),ROUND(((1-SurePostDiscount)*'Ground Econ and Inov Base'!B7)*(1+SurePostFuelSurcharge),2)))*(1+FedEx_Markup),2)</f>
        <v>10.55</v>
      </c>
      <c r="C11" s="283">
        <f>ROUND((IF(MinBaseSurePost&gt;ROUND(((1-SurePostDiscount)*'Ground Econ and Inov Base'!C7),2),ROUND(MinBaseSurePost*(1+SurePostFuelSurcharge),2),ROUND(((1-SurePostDiscount)*'Ground Econ and Inov Base'!C7)*(1+SurePostFuelSurcharge),2)))*(1+FedEx_Markup),2)</f>
        <v>10.55</v>
      </c>
      <c r="D11" s="283">
        <f>ROUND((IF(MinBaseSurePost&gt;ROUND(((1-SurePostDiscount)*'Ground Econ and Inov Base'!D7),2),ROUND(MinBaseSurePost*(1+SurePostFuelSurcharge),2),ROUND(((1-SurePostDiscount)*'Ground Econ and Inov Base'!D7)*(1+SurePostFuelSurcharge),2)))*(1+FedEx_Markup),2)</f>
        <v>10.55</v>
      </c>
      <c r="E11" s="283">
        <f>ROUND((IF(MinBaseSurePost&gt;ROUND(((1-SurePostDiscount)*'Ground Econ and Inov Base'!E7),2),ROUND(MinBaseSurePost*(1+SurePostFuelSurcharge),2),ROUND(((1-SurePostDiscount)*'Ground Econ and Inov Base'!E7)*(1+SurePostFuelSurcharge),2)))*(1+FedEx_Markup),2)</f>
        <v>10.55</v>
      </c>
      <c r="F11" s="283">
        <f>ROUND((IF(MinBaseSurePost&gt;ROUND(((1-SurePostDiscount)*'Ground Econ and Inov Base'!F7),2),ROUND(MinBaseSurePost*(1+SurePostFuelSurcharge),2),ROUND(((1-SurePostDiscount)*'Ground Econ and Inov Base'!F7)*(1+SurePostFuelSurcharge),2)))*(1+FedEx_Markup),2)</f>
        <v>10.55</v>
      </c>
      <c r="G11" s="283">
        <f>ROUND((IF(MinBaseSurePost&gt;ROUND(((1-SurePostDiscount)*'Ground Econ and Inov Base'!G7),2),ROUND(MinBaseSurePost*(1+SurePostFuelSurcharge),2),ROUND(((1-SurePostDiscount)*'Ground Econ and Inov Base'!G7)*(1+SurePostFuelSurcharge),2)))*(1+FedEx_Markup),2)</f>
        <v>10.55</v>
      </c>
      <c r="H11" s="283">
        <f>ROUND((IF(MinBaseSurePost&gt;ROUND(((1-SurePostDiscount)*'Ground Econ and Inov Base'!H7),2),ROUND(MinBaseSurePost*(1+SurePostFuelSurcharge),2),ROUND(((1-SurePostDiscount)*'Ground Econ and Inov Base'!H7)*(1+SurePostFuelSurcharge),2)))*(1+FedEx_Markup),2)</f>
        <v>10.55</v>
      </c>
    </row>
    <row r="12" ht="12.75" customHeight="1">
      <c r="A12" s="274">
        <v>6.0</v>
      </c>
      <c r="B12" s="283">
        <f>ROUND((IF(MinBaseSurePost&gt;ROUND(((1-SurePostDiscount)*'Ground Econ and Inov Base'!B8),2),ROUND(MinBaseSurePost*(1+SurePostFuelSurcharge),2),ROUND(((1-SurePostDiscount)*'Ground Econ and Inov Base'!B8)*(1+SurePostFuelSurcharge),2)))*(1+FedEx_Markup),2)</f>
        <v>10.55</v>
      </c>
      <c r="C12" s="283">
        <f>ROUND((IF(MinBaseSurePost&gt;ROUND(((1-SurePostDiscount)*'Ground Econ and Inov Base'!C8),2),ROUND(MinBaseSurePost*(1+SurePostFuelSurcharge),2),ROUND(((1-SurePostDiscount)*'Ground Econ and Inov Base'!C8)*(1+SurePostFuelSurcharge),2)))*(1+FedEx_Markup),2)</f>
        <v>10.55</v>
      </c>
      <c r="D12" s="283">
        <f>ROUND((IF(MinBaseSurePost&gt;ROUND(((1-SurePostDiscount)*'Ground Econ and Inov Base'!D8),2),ROUND(MinBaseSurePost*(1+SurePostFuelSurcharge),2),ROUND(((1-SurePostDiscount)*'Ground Econ and Inov Base'!D8)*(1+SurePostFuelSurcharge),2)))*(1+FedEx_Markup),2)</f>
        <v>10.55</v>
      </c>
      <c r="E12" s="283">
        <f>ROUND((IF(MinBaseSurePost&gt;ROUND(((1-SurePostDiscount)*'Ground Econ and Inov Base'!E8),2),ROUND(MinBaseSurePost*(1+SurePostFuelSurcharge),2),ROUND(((1-SurePostDiscount)*'Ground Econ and Inov Base'!E8)*(1+SurePostFuelSurcharge),2)))*(1+FedEx_Markup),2)</f>
        <v>10.55</v>
      </c>
      <c r="F12" s="283">
        <f>ROUND((IF(MinBaseSurePost&gt;ROUND(((1-SurePostDiscount)*'Ground Econ and Inov Base'!F8),2),ROUND(MinBaseSurePost*(1+SurePostFuelSurcharge),2),ROUND(((1-SurePostDiscount)*'Ground Econ and Inov Base'!F8)*(1+SurePostFuelSurcharge),2)))*(1+FedEx_Markup),2)</f>
        <v>10.55</v>
      </c>
      <c r="G12" s="283">
        <f>ROUND((IF(MinBaseSurePost&gt;ROUND(((1-SurePostDiscount)*'Ground Econ and Inov Base'!G8),2),ROUND(MinBaseSurePost*(1+SurePostFuelSurcharge),2),ROUND(((1-SurePostDiscount)*'Ground Econ and Inov Base'!G8)*(1+SurePostFuelSurcharge),2)))*(1+FedEx_Markup),2)</f>
        <v>10.55</v>
      </c>
      <c r="H12" s="283">
        <f>ROUND((IF(MinBaseSurePost&gt;ROUND(((1-SurePostDiscount)*'Ground Econ and Inov Base'!H8),2),ROUND(MinBaseSurePost*(1+SurePostFuelSurcharge),2),ROUND(((1-SurePostDiscount)*'Ground Econ and Inov Base'!H8)*(1+SurePostFuelSurcharge),2)))*(1+FedEx_Markup),2)</f>
        <v>10.55</v>
      </c>
    </row>
    <row r="13" ht="12.75" customHeight="1">
      <c r="A13" s="274">
        <v>7.0</v>
      </c>
      <c r="B13" s="283">
        <f>ROUND((IF(MinBaseSurePost&gt;ROUND(((1-SurePostDiscount)*'Ground Econ and Inov Base'!B9),2),ROUND(MinBaseSurePost*(1+SurePostFuelSurcharge),2),ROUND(((1-SurePostDiscount)*'Ground Econ and Inov Base'!B9)*(1+SurePostFuelSurcharge),2)))*(1+FedEx_Markup),2)</f>
        <v>10.55</v>
      </c>
      <c r="C13" s="283">
        <f>ROUND((IF(MinBaseSurePost&gt;ROUND(((1-SurePostDiscount)*'Ground Econ and Inov Base'!C9),2),ROUND(MinBaseSurePost*(1+SurePostFuelSurcharge),2),ROUND(((1-SurePostDiscount)*'Ground Econ and Inov Base'!C9)*(1+SurePostFuelSurcharge),2)))*(1+FedEx_Markup),2)</f>
        <v>10.55</v>
      </c>
      <c r="D13" s="283">
        <f>ROUND((IF(MinBaseSurePost&gt;ROUND(((1-SurePostDiscount)*'Ground Econ and Inov Base'!D9),2),ROUND(MinBaseSurePost*(1+SurePostFuelSurcharge),2),ROUND(((1-SurePostDiscount)*'Ground Econ and Inov Base'!D9)*(1+SurePostFuelSurcharge),2)))*(1+FedEx_Markup),2)</f>
        <v>10.55</v>
      </c>
      <c r="E13" s="283">
        <f>ROUND((IF(MinBaseSurePost&gt;ROUND(((1-SurePostDiscount)*'Ground Econ and Inov Base'!E9),2),ROUND(MinBaseSurePost*(1+SurePostFuelSurcharge),2),ROUND(((1-SurePostDiscount)*'Ground Econ and Inov Base'!E9)*(1+SurePostFuelSurcharge),2)))*(1+FedEx_Markup),2)</f>
        <v>10.55</v>
      </c>
      <c r="F13" s="283">
        <f>ROUND((IF(MinBaseSurePost&gt;ROUND(((1-SurePostDiscount)*'Ground Econ and Inov Base'!F9),2),ROUND(MinBaseSurePost*(1+SurePostFuelSurcharge),2),ROUND(((1-SurePostDiscount)*'Ground Econ and Inov Base'!F9)*(1+SurePostFuelSurcharge),2)))*(1+FedEx_Markup),2)</f>
        <v>10.55</v>
      </c>
      <c r="G13" s="283">
        <f>ROUND((IF(MinBaseSurePost&gt;ROUND(((1-SurePostDiscount)*'Ground Econ and Inov Base'!G9),2),ROUND(MinBaseSurePost*(1+SurePostFuelSurcharge),2),ROUND(((1-SurePostDiscount)*'Ground Econ and Inov Base'!G9)*(1+SurePostFuelSurcharge),2)))*(1+FedEx_Markup),2)</f>
        <v>10.55</v>
      </c>
      <c r="H13" s="283">
        <f>ROUND((IF(MinBaseSurePost&gt;ROUND(((1-SurePostDiscount)*'Ground Econ and Inov Base'!H9),2),ROUND(MinBaseSurePost*(1+SurePostFuelSurcharge),2),ROUND(((1-SurePostDiscount)*'Ground Econ and Inov Base'!H9)*(1+SurePostFuelSurcharge),2)))*(1+FedEx_Markup),2)</f>
        <v>10.55</v>
      </c>
    </row>
    <row r="14" ht="12.75" customHeight="1">
      <c r="A14" s="274">
        <v>8.0</v>
      </c>
      <c r="B14" s="283">
        <f>ROUND((IF(MinBaseSurePost&gt;ROUND(((1-SurePostDiscount)*'Ground Econ and Inov Base'!B10),2),ROUND(MinBaseSurePost*(1+SurePostFuelSurcharge),2),ROUND(((1-SurePostDiscount)*'Ground Econ and Inov Base'!B10)*(1+SurePostFuelSurcharge),2)))*(1+FedEx_Markup),2)</f>
        <v>10.55</v>
      </c>
      <c r="C14" s="283">
        <f>ROUND((IF(MinBaseSurePost&gt;ROUND(((1-SurePostDiscount)*'Ground Econ and Inov Base'!C10),2),ROUND(MinBaseSurePost*(1+SurePostFuelSurcharge),2),ROUND(((1-SurePostDiscount)*'Ground Econ and Inov Base'!C10)*(1+SurePostFuelSurcharge),2)))*(1+FedEx_Markup),2)</f>
        <v>10.55</v>
      </c>
      <c r="D14" s="283">
        <f>ROUND((IF(MinBaseSurePost&gt;ROUND(((1-SurePostDiscount)*'Ground Econ and Inov Base'!D10),2),ROUND(MinBaseSurePost*(1+SurePostFuelSurcharge),2),ROUND(((1-SurePostDiscount)*'Ground Econ and Inov Base'!D10)*(1+SurePostFuelSurcharge),2)))*(1+FedEx_Markup),2)</f>
        <v>10.55</v>
      </c>
      <c r="E14" s="283">
        <f>ROUND((IF(MinBaseSurePost&gt;ROUND(((1-SurePostDiscount)*'Ground Econ and Inov Base'!E10),2),ROUND(MinBaseSurePost*(1+SurePostFuelSurcharge),2),ROUND(((1-SurePostDiscount)*'Ground Econ and Inov Base'!E10)*(1+SurePostFuelSurcharge),2)))*(1+FedEx_Markup),2)</f>
        <v>10.55</v>
      </c>
      <c r="F14" s="283">
        <f>ROUND((IF(MinBaseSurePost&gt;ROUND(((1-SurePostDiscount)*'Ground Econ and Inov Base'!F10),2),ROUND(MinBaseSurePost*(1+SurePostFuelSurcharge),2),ROUND(((1-SurePostDiscount)*'Ground Econ and Inov Base'!F10)*(1+SurePostFuelSurcharge),2)))*(1+FedEx_Markup),2)</f>
        <v>10.55</v>
      </c>
      <c r="G14" s="283">
        <f>ROUND((IF(MinBaseSurePost&gt;ROUND(((1-SurePostDiscount)*'Ground Econ and Inov Base'!G10),2),ROUND(MinBaseSurePost*(1+SurePostFuelSurcharge),2),ROUND(((1-SurePostDiscount)*'Ground Econ and Inov Base'!G10)*(1+SurePostFuelSurcharge),2)))*(1+FedEx_Markup),2)</f>
        <v>10.55</v>
      </c>
      <c r="H14" s="283">
        <f>ROUND((IF(MinBaseSurePost&gt;ROUND(((1-SurePostDiscount)*'Ground Econ and Inov Base'!H10),2),ROUND(MinBaseSurePost*(1+SurePostFuelSurcharge),2),ROUND(((1-SurePostDiscount)*'Ground Econ and Inov Base'!H10)*(1+SurePostFuelSurcharge),2)))*(1+FedEx_Markup),2)</f>
        <v>10.55</v>
      </c>
    </row>
    <row r="15" ht="12.75" customHeight="1">
      <c r="A15" s="274">
        <v>9.0</v>
      </c>
      <c r="B15" s="283">
        <f>ROUND((IF(MinBaseSurePost&gt;ROUND(((1-SurePostDiscount)*'Ground Econ and Inov Base'!B11),2),ROUND(MinBaseSurePost*(1+SurePostFuelSurcharge),2),ROUND(((1-SurePostDiscount)*'Ground Econ and Inov Base'!B11)*(1+SurePostFuelSurcharge),2)))*(1+FedEx_Markup),2)</f>
        <v>10.55</v>
      </c>
      <c r="C15" s="283">
        <f>ROUND((IF(MinBaseSurePost&gt;ROUND(((1-SurePostDiscount)*'Ground Econ and Inov Base'!C11),2),ROUND(MinBaseSurePost*(1+SurePostFuelSurcharge),2),ROUND(((1-SurePostDiscount)*'Ground Econ and Inov Base'!C11)*(1+SurePostFuelSurcharge),2)))*(1+FedEx_Markup),2)</f>
        <v>10.55</v>
      </c>
      <c r="D15" s="283">
        <f>ROUND((IF(MinBaseSurePost&gt;ROUND(((1-SurePostDiscount)*'Ground Econ and Inov Base'!D11),2),ROUND(MinBaseSurePost*(1+SurePostFuelSurcharge),2),ROUND(((1-SurePostDiscount)*'Ground Econ and Inov Base'!D11)*(1+SurePostFuelSurcharge),2)))*(1+FedEx_Markup),2)</f>
        <v>10.55</v>
      </c>
      <c r="E15" s="283">
        <f>ROUND((IF(MinBaseSurePost&gt;ROUND(((1-SurePostDiscount)*'Ground Econ and Inov Base'!E11),2),ROUND(MinBaseSurePost*(1+SurePostFuelSurcharge),2),ROUND(((1-SurePostDiscount)*'Ground Econ and Inov Base'!E11)*(1+SurePostFuelSurcharge),2)))*(1+FedEx_Markup),2)</f>
        <v>10.55</v>
      </c>
      <c r="F15" s="283">
        <f>ROUND((IF(MinBaseSurePost&gt;ROUND(((1-SurePostDiscount)*'Ground Econ and Inov Base'!F11),2),ROUND(MinBaseSurePost*(1+SurePostFuelSurcharge),2),ROUND(((1-SurePostDiscount)*'Ground Econ and Inov Base'!F11)*(1+SurePostFuelSurcharge),2)))*(1+FedEx_Markup),2)</f>
        <v>10.55</v>
      </c>
      <c r="G15" s="283">
        <f>ROUND((IF(MinBaseSurePost&gt;ROUND(((1-SurePostDiscount)*'Ground Econ and Inov Base'!G11),2),ROUND(MinBaseSurePost*(1+SurePostFuelSurcharge),2),ROUND(((1-SurePostDiscount)*'Ground Econ and Inov Base'!G11)*(1+SurePostFuelSurcharge),2)))*(1+FedEx_Markup),2)</f>
        <v>10.55</v>
      </c>
      <c r="H15" s="283">
        <f>ROUND((IF(MinBaseSurePost&gt;ROUND(((1-SurePostDiscount)*'Ground Econ and Inov Base'!H11),2),ROUND(MinBaseSurePost*(1+SurePostFuelSurcharge),2),ROUND(((1-SurePostDiscount)*'Ground Econ and Inov Base'!H11)*(1+SurePostFuelSurcharge),2)))*(1+FedEx_Markup),2)</f>
        <v>10.55</v>
      </c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7:H15">
    <cfRule type="expression" dxfId="0" priority="1">
      <formula>MOD(ROW(),2)=0</formula>
    </cfRule>
  </conditionalFormatting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1" width="6.63"/>
    <col customWidth="1" min="2" max="9" width="7.63"/>
    <col customWidth="1" min="10" max="10" width="24.0"/>
    <col customWidth="1" min="11" max="11" width="8.38"/>
    <col customWidth="1" min="12" max="12" width="3.63"/>
    <col customWidth="1" min="13" max="26" width="8.63"/>
  </cols>
  <sheetData>
    <row r="1" ht="12.75" customHeight="1">
      <c r="B1" s="284"/>
      <c r="C1" s="284"/>
      <c r="D1" s="285" t="s">
        <v>121</v>
      </c>
      <c r="E1" s="286">
        <f>ExpressResWithFS</f>
        <v>7.73</v>
      </c>
      <c r="H1" s="264" t="s">
        <v>113</v>
      </c>
    </row>
    <row r="2" ht="12.75" customHeight="1">
      <c r="B2" s="270" t="s">
        <v>115</v>
      </c>
      <c r="C2" s="287"/>
      <c r="D2" s="287"/>
      <c r="E2" s="287"/>
      <c r="F2" s="287"/>
      <c r="G2" s="287"/>
      <c r="H2" s="264" t="s">
        <v>114</v>
      </c>
    </row>
    <row r="3" ht="12.75" customHeight="1">
      <c r="B3" s="270" t="s">
        <v>122</v>
      </c>
      <c r="C3" s="287"/>
      <c r="D3" s="287"/>
      <c r="E3" s="287"/>
      <c r="F3" s="287"/>
      <c r="G3" s="287"/>
      <c r="H3" s="287"/>
    </row>
    <row r="4" ht="12.75" customHeight="1">
      <c r="A4" s="272" t="s">
        <v>1</v>
      </c>
      <c r="B4" s="272" t="s">
        <v>0</v>
      </c>
      <c r="C4" s="272" t="s">
        <v>0</v>
      </c>
      <c r="D4" s="272" t="s">
        <v>0</v>
      </c>
      <c r="E4" s="272" t="s">
        <v>0</v>
      </c>
      <c r="F4" s="272" t="s">
        <v>0</v>
      </c>
      <c r="G4" s="272" t="s">
        <v>0</v>
      </c>
      <c r="H4" s="272" t="s">
        <v>0</v>
      </c>
    </row>
    <row r="5" ht="12.75" customHeight="1">
      <c r="A5" s="271" t="s">
        <v>80</v>
      </c>
      <c r="B5" s="273">
        <v>2.0</v>
      </c>
      <c r="C5" s="273">
        <v>3.0</v>
      </c>
      <c r="D5" s="273">
        <v>4.0</v>
      </c>
      <c r="E5" s="273">
        <v>5.0</v>
      </c>
      <c r="F5" s="273">
        <v>6.0</v>
      </c>
      <c r="G5" s="273">
        <v>7.0</v>
      </c>
      <c r="H5" s="273">
        <v>8.0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274" t="s">
        <v>117</v>
      </c>
      <c r="B6" s="275">
        <f>ROUND(IF(MinBase1Day&gt;ROUND(((1-(OvernightDiscount1_to_10+FedExExrpessEarnedDiscount))*'1Day Base'!B3),2),ROUND(MinBase1Day*(1+ExpressFuelSurcharge),2),ROUND(((1-(OvernightDiscount1_to_10+FedExExrpessEarnedDiscount))*'1Day Base'!B3)*(1+ExpressFuelSurcharge),2))*(1+FedEx_Markup),2)</f>
        <v>28.82</v>
      </c>
      <c r="C6" s="275">
        <f>ROUND(IF(MinBase1Day&gt;ROUND(((1-(OvernightDiscount1_to_10+FedExExrpessEarnedDiscount))*'1Day Base'!C3),2),ROUND(MinBase1Day*(1+ExpressFuelSurcharge),2),ROUND(((1-(OvernightDiscount1_to_10+FedExExrpessEarnedDiscount))*'1Day Base'!C3)*(1+ExpressFuelSurcharge),2))*(1+FedEx_Markup),2)</f>
        <v>28.82</v>
      </c>
      <c r="D6" s="275">
        <f>ROUND(IF(MinBase1Day&gt;ROUND(((1-(OvernightDiscount1_to_10+FedExExrpessEarnedDiscount))*'1Day Base'!D3),2),ROUND(MinBase1Day*(1+ExpressFuelSurcharge),2),ROUND(((1-(OvernightDiscount1_to_10+FedExExrpessEarnedDiscount))*'1Day Base'!D3)*(1+ExpressFuelSurcharge),2))*(1+FedEx_Markup),2)</f>
        <v>31.33</v>
      </c>
      <c r="E6" s="275">
        <f>ROUND(IF(MinBase1Day&gt;ROUND(((1-(OvernightDiscount1_to_10+FedExExrpessEarnedDiscount))*'1Day Base'!E3),2),ROUND(MinBase1Day*(1+ExpressFuelSurcharge),2),ROUND(((1-(OvernightDiscount1_to_10+FedExExrpessEarnedDiscount))*'1Day Base'!E3)*(1+ExpressFuelSurcharge),2))*(1+FedEx_Markup),2)</f>
        <v>34.71</v>
      </c>
      <c r="F6" s="275">
        <f>ROUND(IF(MinBase1Day&gt;ROUND(((1-(OvernightDiscount1_to_10+FedExExrpessEarnedDiscount))*'1Day Base'!F3),2),ROUND(MinBase1Day*(1+ExpressFuelSurcharge),2),ROUND(((1-(OvernightDiscount1_to_10+FedExExrpessEarnedDiscount))*'1Day Base'!F3)*(1+ExpressFuelSurcharge),2))*(1+FedEx_Markup),2)</f>
        <v>37.62</v>
      </c>
      <c r="G6" s="275">
        <f>ROUND(IF(MinBase1Day&gt;ROUND(((1-(OvernightDiscount1_to_10+FedExExrpessEarnedDiscount))*'1Day Base'!G3),2),ROUND(MinBase1Day*(1+ExpressFuelSurcharge),2),ROUND(((1-(OvernightDiscount1_to_10+FedExExrpessEarnedDiscount))*'1Day Base'!G3)*(1+ExpressFuelSurcharge),2))*(1+FedEx_Markup),2)</f>
        <v>40.88</v>
      </c>
      <c r="H6" s="275">
        <f>ROUND(IF(MinBase1Day&gt;ROUND(((1-(OvernightDiscount1_to_10+FedExExrpessEarnedDiscount))*'1Day Base'!H3),2),ROUND(MinBase1Day*(1+ExpressFuelSurcharge),2),ROUND(((1-(OvernightDiscount1_to_10+FedExExrpessEarnedDiscount))*'1Day Base'!H3)*(1+ExpressFuelSurcharge),2))*(1+FedEx_Markup),2)</f>
        <v>42.7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274">
        <v>2.0</v>
      </c>
      <c r="B7" s="275">
        <f>ROUND(IF(MinBase1Day&gt;ROUND(((1-(OvernightDiscount1_to_10+FedExExrpessEarnedDiscount))*'1Day Base'!B4),2),ROUND(MinBase1Day*(1+ExpressFuelSurcharge),2),ROUND(((1-(OvernightDiscount1_to_10+FedExExrpessEarnedDiscount))*'1Day Base'!B4)*(1+ExpressFuelSurcharge),2))*(1+FedEx_Markup),2)</f>
        <v>28.82</v>
      </c>
      <c r="C7" s="275">
        <f>ROUND(IF(MinBase1Day&gt;ROUND(((1-(OvernightDiscount1_to_10+FedExExrpessEarnedDiscount))*'1Day Base'!C4),2),ROUND(MinBase1Day*(1+ExpressFuelSurcharge),2),ROUND(((1-(OvernightDiscount1_to_10+FedExExrpessEarnedDiscount))*'1Day Base'!C4)*(1+ExpressFuelSurcharge),2))*(1+FedEx_Markup),2)</f>
        <v>28.82</v>
      </c>
      <c r="D7" s="275">
        <f>ROUND(IF(MinBase1Day&gt;ROUND(((1-(OvernightDiscount1_to_10+FedExExrpessEarnedDiscount))*'1Day Base'!D4),2),ROUND(MinBase1Day*(1+ExpressFuelSurcharge),2),ROUND(((1-(OvernightDiscount1_to_10+FedExExrpessEarnedDiscount))*'1Day Base'!D4)*(1+ExpressFuelSurcharge),2))*(1+FedEx_Markup),2)</f>
        <v>36.03</v>
      </c>
      <c r="E7" s="275">
        <f>ROUND(IF(MinBase1Day&gt;ROUND(((1-(OvernightDiscount1_to_10+FedExExrpessEarnedDiscount))*'1Day Base'!E4),2),ROUND(MinBase1Day*(1+ExpressFuelSurcharge),2),ROUND(((1-(OvernightDiscount1_to_10+FedExExrpessEarnedDiscount))*'1Day Base'!E4)*(1+ExpressFuelSurcharge),2))*(1+FedEx_Markup),2)</f>
        <v>39.16</v>
      </c>
      <c r="F7" s="275">
        <f>ROUND(IF(MinBase1Day&gt;ROUND(((1-(OvernightDiscount1_to_10+FedExExrpessEarnedDiscount))*'1Day Base'!F4),2),ROUND(MinBase1Day*(1+ExpressFuelSurcharge),2),ROUND(((1-(OvernightDiscount1_to_10+FedExExrpessEarnedDiscount))*'1Day Base'!F4)*(1+ExpressFuelSurcharge),2))*(1+FedEx_Markup),2)</f>
        <v>43.16</v>
      </c>
      <c r="G7" s="275">
        <f>ROUND(IF(MinBase1Day&gt;ROUND(((1-(OvernightDiscount1_to_10+FedExExrpessEarnedDiscount))*'1Day Base'!G4),2),ROUND(MinBase1Day*(1+ExpressFuelSurcharge),2),ROUND(((1-(OvernightDiscount1_to_10+FedExExrpessEarnedDiscount))*'1Day Base'!G4)*(1+ExpressFuelSurcharge),2))*(1+FedEx_Markup),2)</f>
        <v>46.83</v>
      </c>
      <c r="H7" s="275">
        <f>ROUND(IF(MinBase1Day&gt;ROUND(((1-(OvernightDiscount1_to_10+FedExExrpessEarnedDiscount))*'1Day Base'!H4),2),ROUND(MinBase1Day*(1+ExpressFuelSurcharge),2),ROUND(((1-(OvernightDiscount1_to_10+FedExExrpessEarnedDiscount))*'1Day Base'!H4)*(1+ExpressFuelSurcharge),2))*(1+FedEx_Markup),2)</f>
        <v>49.51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274">
        <v>3.0</v>
      </c>
      <c r="B8" s="275">
        <f>ROUND(IF(MinBase1Day&gt;ROUND(((1-(OvernightDiscount1_to_10+FedExExrpessEarnedDiscount))*'1Day Base'!B5),2),ROUND(MinBase1Day*(1+ExpressFuelSurcharge),2),ROUND(((1-(OvernightDiscount1_to_10+FedExExrpessEarnedDiscount))*'1Day Base'!B5)*(1+ExpressFuelSurcharge),2))*(1+FedEx_Markup),2)</f>
        <v>28.82</v>
      </c>
      <c r="C8" s="275">
        <f>ROUND(IF(MinBase1Day&gt;ROUND(((1-(OvernightDiscount1_to_10+FedExExrpessEarnedDiscount))*'1Day Base'!C5),2),ROUND(MinBase1Day*(1+ExpressFuelSurcharge),2),ROUND(((1-(OvernightDiscount1_to_10+FedExExrpessEarnedDiscount))*'1Day Base'!C5)*(1+ExpressFuelSurcharge),2))*(1+FedEx_Markup),2)</f>
        <v>28.82</v>
      </c>
      <c r="D8" s="275">
        <f>ROUND(IF(MinBase1Day&gt;ROUND(((1-(OvernightDiscount1_to_10+FedExExrpessEarnedDiscount))*'1Day Base'!D5),2),ROUND(MinBase1Day*(1+ExpressFuelSurcharge),2),ROUND(((1-(OvernightDiscount1_to_10+FedExExrpessEarnedDiscount))*'1Day Base'!D5)*(1+ExpressFuelSurcharge),2))*(1+FedEx_Markup),2)</f>
        <v>39.96</v>
      </c>
      <c r="E8" s="275">
        <f>ROUND(IF(MinBase1Day&gt;ROUND(((1-(OvernightDiscount1_to_10+FedExExrpessEarnedDiscount))*'1Day Base'!E5),2),ROUND(MinBase1Day*(1+ExpressFuelSurcharge),2),ROUND(((1-(OvernightDiscount1_to_10+FedExExrpessEarnedDiscount))*'1Day Base'!E5)*(1+ExpressFuelSurcharge),2))*(1+FedEx_Markup),2)</f>
        <v>43.38</v>
      </c>
      <c r="F8" s="275">
        <f>ROUND(IF(MinBase1Day&gt;ROUND(((1-(OvernightDiscount1_to_10+FedExExrpessEarnedDiscount))*'1Day Base'!F5),2),ROUND(MinBase1Day*(1+ExpressFuelSurcharge),2),ROUND(((1-(OvernightDiscount1_to_10+FedExExrpessEarnedDiscount))*'1Day Base'!F5)*(1+ExpressFuelSurcharge),2))*(1+FedEx_Markup),2)</f>
        <v>46.29</v>
      </c>
      <c r="G8" s="275">
        <f>ROUND(IF(MinBase1Day&gt;ROUND(((1-(OvernightDiscount1_to_10+FedExExrpessEarnedDiscount))*'1Day Base'!G5),2),ROUND(MinBase1Day*(1+ExpressFuelSurcharge),2),ROUND(((1-(OvernightDiscount1_to_10+FedExExrpessEarnedDiscount))*'1Day Base'!G5)*(1+ExpressFuelSurcharge),2))*(1+FedEx_Markup),2)</f>
        <v>51.06</v>
      </c>
      <c r="H8" s="275">
        <f>ROUND(IF(MinBase1Day&gt;ROUND(((1-(OvernightDiscount1_to_10+FedExExrpessEarnedDiscount))*'1Day Base'!H5),2),ROUND(MinBase1Day*(1+ExpressFuelSurcharge),2),ROUND(((1-(OvernightDiscount1_to_10+FedExExrpessEarnedDiscount))*'1Day Base'!H5)*(1+ExpressFuelSurcharge),2))*(1+FedEx_Markup),2)</f>
        <v>54.12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74">
        <v>4.0</v>
      </c>
      <c r="B9" s="275">
        <f>ROUND(IF(MinBase1Day&gt;ROUND(((1-(OvernightDiscount1_to_10+FedExExrpessEarnedDiscount))*'1Day Base'!B6),2),ROUND(MinBase1Day*(1+ExpressFuelSurcharge),2),ROUND(((1-(OvernightDiscount1_to_10+FedExExrpessEarnedDiscount))*'1Day Base'!B6)*(1+ExpressFuelSurcharge),2))*(1+FedEx_Markup),2)</f>
        <v>28.82</v>
      </c>
      <c r="C9" s="275">
        <f>ROUND(IF(MinBase1Day&gt;ROUND(((1-(OvernightDiscount1_to_10+FedExExrpessEarnedDiscount))*'1Day Base'!C6),2),ROUND(MinBase1Day*(1+ExpressFuelSurcharge),2),ROUND(((1-(OvernightDiscount1_to_10+FedExExrpessEarnedDiscount))*'1Day Base'!C6)*(1+ExpressFuelSurcharge),2))*(1+FedEx_Markup),2)</f>
        <v>28.82</v>
      </c>
      <c r="D9" s="275">
        <f>ROUND(IF(MinBase1Day&gt;ROUND(((1-(OvernightDiscount1_to_10+FedExExrpessEarnedDiscount))*'1Day Base'!D6),2),ROUND(MinBase1Day*(1+ExpressFuelSurcharge),2),ROUND(((1-(OvernightDiscount1_to_10+FedExExrpessEarnedDiscount))*'1Day Base'!D6)*(1+ExpressFuelSurcharge),2))*(1+FedEx_Markup),2)</f>
        <v>42.88</v>
      </c>
      <c r="E9" s="275">
        <f>ROUND(IF(MinBase1Day&gt;ROUND(((1-(OvernightDiscount1_to_10+FedExExrpessEarnedDiscount))*'1Day Base'!E6),2),ROUND(MinBase1Day*(1+ExpressFuelSurcharge),2),ROUND(((1-(OvernightDiscount1_to_10+FedExExrpessEarnedDiscount))*'1Day Base'!E6)*(1+ExpressFuelSurcharge),2))*(1+FedEx_Markup),2)</f>
        <v>47.1</v>
      </c>
      <c r="F9" s="275">
        <f>ROUND(IF(MinBase1Day&gt;ROUND(((1-(OvernightDiscount1_to_10+FedExExrpessEarnedDiscount))*'1Day Base'!F6),2),ROUND(MinBase1Day*(1+ExpressFuelSurcharge),2),ROUND(((1-(OvernightDiscount1_to_10+FedExExrpessEarnedDiscount))*'1Day Base'!F6)*(1+ExpressFuelSurcharge),2))*(1+FedEx_Markup),2)</f>
        <v>51.96</v>
      </c>
      <c r="G9" s="275">
        <f>ROUND(IF(MinBase1Day&gt;ROUND(((1-(OvernightDiscount1_to_10+FedExExrpessEarnedDiscount))*'1Day Base'!G6),2),ROUND(MinBase1Day*(1+ExpressFuelSurcharge),2),ROUND(((1-(OvernightDiscount1_to_10+FedExExrpessEarnedDiscount))*'1Day Base'!G6)*(1+ExpressFuelSurcharge),2))*(1+FedEx_Markup),2)</f>
        <v>55.57</v>
      </c>
      <c r="H9" s="275">
        <f>ROUND(IF(MinBase1Day&gt;ROUND(((1-(OvernightDiscount1_to_10+FedExExrpessEarnedDiscount))*'1Day Base'!H6),2),ROUND(MinBase1Day*(1+ExpressFuelSurcharge),2),ROUND(((1-(OvernightDiscount1_to_10+FedExExrpessEarnedDiscount))*'1Day Base'!H6)*(1+ExpressFuelSurcharge),2))*(1+FedEx_Markup),2)</f>
        <v>59.25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274">
        <v>5.0</v>
      </c>
      <c r="B10" s="275">
        <f>ROUND(IF(MinBase1Day&gt;ROUND(((1-(OvernightDiscount1_to_10+FedExExrpessEarnedDiscount))*'1Day Base'!B7),2),ROUND(MinBase1Day*(1+ExpressFuelSurcharge),2),ROUND(((1-(OvernightDiscount1_to_10+FedExExrpessEarnedDiscount))*'1Day Base'!B7)*(1+ExpressFuelSurcharge),2))*(1+FedEx_Markup),2)</f>
        <v>28.82</v>
      </c>
      <c r="C10" s="275">
        <f>ROUND(IF(MinBase1Day&gt;ROUND(((1-(OvernightDiscount1_to_10+FedExExrpessEarnedDiscount))*'1Day Base'!C7),2),ROUND(MinBase1Day*(1+ExpressFuelSurcharge),2),ROUND(((1-(OvernightDiscount1_to_10+FedExExrpessEarnedDiscount))*'1Day Base'!C7)*(1+ExpressFuelSurcharge),2))*(1+FedEx_Markup),2)</f>
        <v>28.82</v>
      </c>
      <c r="D10" s="275">
        <f>ROUND(IF(MinBase1Day&gt;ROUND(((1-(OvernightDiscount1_to_10+FedExExrpessEarnedDiscount))*'1Day Base'!D7),2),ROUND(MinBase1Day*(1+ExpressFuelSurcharge),2),ROUND(((1-(OvernightDiscount1_to_10+FedExExrpessEarnedDiscount))*'1Day Base'!D7)*(1+ExpressFuelSurcharge),2))*(1+FedEx_Markup),2)</f>
        <v>46.05</v>
      </c>
      <c r="E10" s="275">
        <f>ROUND(IF(MinBase1Day&gt;ROUND(((1-(OvernightDiscount1_to_10+FedExExrpessEarnedDiscount))*'1Day Base'!E7),2),ROUND(MinBase1Day*(1+ExpressFuelSurcharge),2),ROUND(((1-(OvernightDiscount1_to_10+FedExExrpessEarnedDiscount))*'1Day Base'!E7)*(1+ExpressFuelSurcharge),2))*(1+FedEx_Markup),2)</f>
        <v>51.69</v>
      </c>
      <c r="F10" s="275">
        <f>ROUND(IF(MinBase1Day&gt;ROUND(((1-(OvernightDiscount1_to_10+FedExExrpessEarnedDiscount))*'1Day Base'!F7),2),ROUND(MinBase1Day*(1+ExpressFuelSurcharge),2),ROUND(((1-(OvernightDiscount1_to_10+FedExExrpessEarnedDiscount))*'1Day Base'!F7)*(1+ExpressFuelSurcharge),2))*(1+FedEx_Markup),2)</f>
        <v>53.61</v>
      </c>
      <c r="G10" s="275">
        <f>ROUND(IF(MinBase1Day&gt;ROUND(((1-(OvernightDiscount1_to_10+FedExExrpessEarnedDiscount))*'1Day Base'!G7),2),ROUND(MinBase1Day*(1+ExpressFuelSurcharge),2),ROUND(((1-(OvernightDiscount1_to_10+FedExExrpessEarnedDiscount))*'1Day Base'!G7)*(1+ExpressFuelSurcharge),2))*(1+FedEx_Markup),2)</f>
        <v>57.32</v>
      </c>
      <c r="H10" s="275">
        <f>ROUND(IF(MinBase1Day&gt;ROUND(((1-(OvernightDiscount1_to_10+FedExExrpessEarnedDiscount))*'1Day Base'!H7),2),ROUND(MinBase1Day*(1+ExpressFuelSurcharge),2),ROUND(((1-(OvernightDiscount1_to_10+FedExExrpessEarnedDiscount))*'1Day Base'!H7)*(1+ExpressFuelSurcharge),2))*(1+FedEx_Markup),2)</f>
        <v>60.55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274">
        <v>6.0</v>
      </c>
      <c r="B11" s="275">
        <f>ROUND(IF(MinBase1Day&gt;ROUND(((1-(OvernightDiscount1_to_10+FedExExrpessEarnedDiscount))*'1Day Base'!B8),2),ROUND(MinBase1Day*(1+ExpressFuelSurcharge),2),ROUND(((1-(OvernightDiscount1_to_10+FedExExrpessEarnedDiscount))*'1Day Base'!B8)*(1+ExpressFuelSurcharge),2))*(1+FedEx_Markup),2)</f>
        <v>28.82</v>
      </c>
      <c r="C11" s="275">
        <f>ROUND(IF(MinBase1Day&gt;ROUND(((1-(OvernightDiscount1_to_10+FedExExrpessEarnedDiscount))*'1Day Base'!C8),2),ROUND(MinBase1Day*(1+ExpressFuelSurcharge),2),ROUND(((1-(OvernightDiscount1_to_10+FedExExrpessEarnedDiscount))*'1Day Base'!C8)*(1+ExpressFuelSurcharge),2))*(1+FedEx_Markup),2)</f>
        <v>33.05</v>
      </c>
      <c r="D11" s="275">
        <f>ROUND(IF(MinBase1Day&gt;ROUND(((1-(OvernightDiscount1_to_10+FedExExrpessEarnedDiscount))*'1Day Base'!D8),2),ROUND(MinBase1Day*(1+ExpressFuelSurcharge),2),ROUND(((1-(OvernightDiscount1_to_10+FedExExrpessEarnedDiscount))*'1Day Base'!D8)*(1+ExpressFuelSurcharge),2))*(1+FedEx_Markup),2)</f>
        <v>50.75</v>
      </c>
      <c r="E11" s="275">
        <f>ROUND(IF(MinBase1Day&gt;ROUND(((1-(OvernightDiscount1_to_10+FedExExrpessEarnedDiscount))*'1Day Base'!E8),2),ROUND(MinBase1Day*(1+ExpressFuelSurcharge),2),ROUND(((1-(OvernightDiscount1_to_10+FedExExrpessEarnedDiscount))*'1Day Base'!E8)*(1+ExpressFuelSurcharge),2))*(1+FedEx_Markup),2)</f>
        <v>54.6</v>
      </c>
      <c r="F11" s="275">
        <f>ROUND(IF(MinBase1Day&gt;ROUND(((1-(OvernightDiscount1_to_10+FedExExrpessEarnedDiscount))*'1Day Base'!F8),2),ROUND(MinBase1Day*(1+ExpressFuelSurcharge),2),ROUND(((1-(OvernightDiscount1_to_10+FedExExrpessEarnedDiscount))*'1Day Base'!F8)*(1+ExpressFuelSurcharge),2))*(1+FedEx_Markup),2)</f>
        <v>60.62</v>
      </c>
      <c r="G11" s="275">
        <f>ROUND(IF(MinBase1Day&gt;ROUND(((1-(OvernightDiscount1_to_10+FedExExrpessEarnedDiscount))*'1Day Base'!G8),2),ROUND(MinBase1Day*(1+ExpressFuelSurcharge),2),ROUND(((1-(OvernightDiscount1_to_10+FedExExrpessEarnedDiscount))*'1Day Base'!G8)*(1+ExpressFuelSurcharge),2))*(1+FedEx_Markup),2)</f>
        <v>63.43</v>
      </c>
      <c r="H11" s="275">
        <f>ROUND(IF(MinBase1Day&gt;ROUND(((1-(OvernightDiscount1_to_10+FedExExrpessEarnedDiscount))*'1Day Base'!H8),2),ROUND(MinBase1Day*(1+ExpressFuelSurcharge),2),ROUND(((1-(OvernightDiscount1_to_10+FedExExrpessEarnedDiscount))*'1Day Base'!H8)*(1+ExpressFuelSurcharge),2))*(1+FedEx_Markup),2)</f>
        <v>67.49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4">
        <v>7.0</v>
      </c>
      <c r="B12" s="275">
        <f>ROUND(IF(MinBase1Day&gt;ROUND(((1-(OvernightDiscount1_to_10+FedExExrpessEarnedDiscount))*'1Day Base'!B9),2),ROUND(MinBase1Day*(1+ExpressFuelSurcharge),2),ROUND(((1-(OvernightDiscount1_to_10+FedExExrpessEarnedDiscount))*'1Day Base'!B9)*(1+ExpressFuelSurcharge),2))*(1+FedEx_Markup),2)</f>
        <v>28.82</v>
      </c>
      <c r="C12" s="275">
        <f>ROUND(IF(MinBase1Day&gt;ROUND(((1-(OvernightDiscount1_to_10+FedExExrpessEarnedDiscount))*'1Day Base'!C9),2),ROUND(MinBase1Day*(1+ExpressFuelSurcharge),2),ROUND(((1-(OvernightDiscount1_to_10+FedExExrpessEarnedDiscount))*'1Day Base'!C9)*(1+ExpressFuelSurcharge),2))*(1+FedEx_Markup),2)</f>
        <v>34.49</v>
      </c>
      <c r="D12" s="275">
        <f>ROUND(IF(MinBase1Day&gt;ROUND(((1-(OvernightDiscount1_to_10+FedExExrpessEarnedDiscount))*'1Day Base'!D9),2),ROUND(MinBase1Day*(1+ExpressFuelSurcharge),2),ROUND(((1-(OvernightDiscount1_to_10+FedExExrpessEarnedDiscount))*'1Day Base'!D9)*(1+ExpressFuelSurcharge),2))*(1+FedEx_Markup),2)</f>
        <v>54.31</v>
      </c>
      <c r="E12" s="275">
        <f>ROUND(IF(MinBase1Day&gt;ROUND(((1-(OvernightDiscount1_to_10+FedExExrpessEarnedDiscount))*'1Day Base'!E9),2),ROUND(MinBase1Day*(1+ExpressFuelSurcharge),2),ROUND(((1-(OvernightDiscount1_to_10+FedExExrpessEarnedDiscount))*'1Day Base'!E9)*(1+ExpressFuelSurcharge),2))*(1+FedEx_Markup),2)</f>
        <v>59.89</v>
      </c>
      <c r="F12" s="275">
        <f>ROUND(IF(MinBase1Day&gt;ROUND(((1-(OvernightDiscount1_to_10+FedExExrpessEarnedDiscount))*'1Day Base'!F9),2),ROUND(MinBase1Day*(1+ExpressFuelSurcharge),2),ROUND(((1-(OvernightDiscount1_to_10+FedExExrpessEarnedDiscount))*'1Day Base'!F9)*(1+ExpressFuelSurcharge),2))*(1+FedEx_Markup),2)</f>
        <v>64.93</v>
      </c>
      <c r="G12" s="275">
        <f>ROUND(IF(MinBase1Day&gt;ROUND(((1-(OvernightDiscount1_to_10+FedExExrpessEarnedDiscount))*'1Day Base'!G9),2),ROUND(MinBase1Day*(1+ExpressFuelSurcharge),2),ROUND(((1-(OvernightDiscount1_to_10+FedExExrpessEarnedDiscount))*'1Day Base'!G9)*(1+ExpressFuelSurcharge),2))*(1+FedEx_Markup),2)</f>
        <v>68.85</v>
      </c>
      <c r="H12" s="275">
        <f>ROUND(IF(MinBase1Day&gt;ROUND(((1-(OvernightDiscount1_to_10+FedExExrpessEarnedDiscount))*'1Day Base'!H9),2),ROUND(MinBase1Day*(1+ExpressFuelSurcharge),2),ROUND(((1-(OvernightDiscount1_to_10+FedExExrpessEarnedDiscount))*'1Day Base'!H9)*(1+ExpressFuelSurcharge),2))*(1+FedEx_Markup),2)</f>
        <v>72.8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274">
        <v>8.0</v>
      </c>
      <c r="B13" s="275">
        <f>ROUND(IF(MinBase1Day&gt;ROUND(((1-(OvernightDiscount1_to_10+FedExExrpessEarnedDiscount))*'1Day Base'!B10),2),ROUND(MinBase1Day*(1+ExpressFuelSurcharge),2),ROUND(((1-(OvernightDiscount1_to_10+FedExExrpessEarnedDiscount))*'1Day Base'!B10)*(1+ExpressFuelSurcharge),2))*(1+FedEx_Markup),2)</f>
        <v>28.82</v>
      </c>
      <c r="C13" s="275">
        <f>ROUND(IF(MinBase1Day&gt;ROUND(((1-(OvernightDiscount1_to_10+FedExExrpessEarnedDiscount))*'1Day Base'!C10),2),ROUND(MinBase1Day*(1+ExpressFuelSurcharge),2),ROUND(((1-(OvernightDiscount1_to_10+FedExExrpessEarnedDiscount))*'1Day Base'!C10)*(1+ExpressFuelSurcharge),2))*(1+FedEx_Markup),2)</f>
        <v>35.49</v>
      </c>
      <c r="D13" s="275">
        <f>ROUND(IF(MinBase1Day&gt;ROUND(((1-(OvernightDiscount1_to_10+FedExExrpessEarnedDiscount))*'1Day Base'!D10),2),ROUND(MinBase1Day*(1+ExpressFuelSurcharge),2),ROUND(((1-(OvernightDiscount1_to_10+FedExExrpessEarnedDiscount))*'1Day Base'!D10)*(1+ExpressFuelSurcharge),2))*(1+FedEx_Markup),2)</f>
        <v>57.35</v>
      </c>
      <c r="E13" s="275">
        <f>ROUND(IF(MinBase1Day&gt;ROUND(((1-(OvernightDiscount1_to_10+FedExExrpessEarnedDiscount))*'1Day Base'!E10),2),ROUND(MinBase1Day*(1+ExpressFuelSurcharge),2),ROUND(((1-(OvernightDiscount1_to_10+FedExExrpessEarnedDiscount))*'1Day Base'!E10)*(1+ExpressFuelSurcharge),2))*(1+FedEx_Markup),2)</f>
        <v>63.16</v>
      </c>
      <c r="F13" s="275">
        <f>ROUND(IF(MinBase1Day&gt;ROUND(((1-(OvernightDiscount1_to_10+FedExExrpessEarnedDiscount))*'1Day Base'!F10),2),ROUND(MinBase1Day*(1+ExpressFuelSurcharge),2),ROUND(((1-(OvernightDiscount1_to_10+FedExExrpessEarnedDiscount))*'1Day Base'!F10)*(1+ExpressFuelSurcharge),2))*(1+FedEx_Markup),2)</f>
        <v>69.31</v>
      </c>
      <c r="G13" s="275">
        <f>ROUND(IF(MinBase1Day&gt;ROUND(((1-(OvernightDiscount1_to_10+FedExExrpessEarnedDiscount))*'1Day Base'!G10),2),ROUND(MinBase1Day*(1+ExpressFuelSurcharge),2),ROUND(((1-(OvernightDiscount1_to_10+FedExExrpessEarnedDiscount))*'1Day Base'!G10)*(1+ExpressFuelSurcharge),2))*(1+FedEx_Markup),2)</f>
        <v>73.05</v>
      </c>
      <c r="H13" s="275">
        <f>ROUND(IF(MinBase1Day&gt;ROUND(((1-(OvernightDiscount1_to_10+FedExExrpessEarnedDiscount))*'1Day Base'!H10),2),ROUND(MinBase1Day*(1+ExpressFuelSurcharge),2),ROUND(((1-(OvernightDiscount1_to_10+FedExExrpessEarnedDiscount))*'1Day Base'!H10)*(1+ExpressFuelSurcharge),2))*(1+FedEx_Markup),2)</f>
        <v>76.62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274">
        <v>9.0</v>
      </c>
      <c r="B14" s="275">
        <f>ROUND(IF(MinBase1Day&gt;ROUND(((1-(OvernightDiscount1_to_10+FedExExrpessEarnedDiscount))*'1Day Base'!B11),2),ROUND(MinBase1Day*(1+ExpressFuelSurcharge),2),ROUND(((1-(OvernightDiscount1_to_10+FedExExrpessEarnedDiscount))*'1Day Base'!B11)*(1+ExpressFuelSurcharge),2))*(1+FedEx_Markup),2)</f>
        <v>28.82</v>
      </c>
      <c r="C14" s="275">
        <f>ROUND(IF(MinBase1Day&gt;ROUND(((1-(OvernightDiscount1_to_10+FedExExrpessEarnedDiscount))*'1Day Base'!C11),2),ROUND(MinBase1Day*(1+ExpressFuelSurcharge),2),ROUND(((1-(OvernightDiscount1_to_10+FedExExrpessEarnedDiscount))*'1Day Base'!C11)*(1+ExpressFuelSurcharge),2))*(1+FedEx_Markup),2)</f>
        <v>37.02</v>
      </c>
      <c r="D14" s="275">
        <f>ROUND(IF(MinBase1Day&gt;ROUND(((1-(OvernightDiscount1_to_10+FedExExrpessEarnedDiscount))*'1Day Base'!D11),2),ROUND(MinBase1Day*(1+ExpressFuelSurcharge),2),ROUND(((1-(OvernightDiscount1_to_10+FedExExrpessEarnedDiscount))*'1Day Base'!D11)*(1+ExpressFuelSurcharge),2))*(1+FedEx_Markup),2)</f>
        <v>61.71</v>
      </c>
      <c r="E14" s="275">
        <f>ROUND(IF(MinBase1Day&gt;ROUND(((1-(OvernightDiscount1_to_10+FedExExrpessEarnedDiscount))*'1Day Base'!E11),2),ROUND(MinBase1Day*(1+ExpressFuelSurcharge),2),ROUND(((1-(OvernightDiscount1_to_10+FedExExrpessEarnedDiscount))*'1Day Base'!E11)*(1+ExpressFuelSurcharge),2))*(1+FedEx_Markup),2)</f>
        <v>67.71</v>
      </c>
      <c r="F14" s="275">
        <f>ROUND(IF(MinBase1Day&gt;ROUND(((1-(OvernightDiscount1_to_10+FedExExrpessEarnedDiscount))*'1Day Base'!F11),2),ROUND(MinBase1Day*(1+ExpressFuelSurcharge),2),ROUND(((1-(OvernightDiscount1_to_10+FedExExrpessEarnedDiscount))*'1Day Base'!F11)*(1+ExpressFuelSurcharge),2))*(1+FedEx_Markup),2)</f>
        <v>70.9</v>
      </c>
      <c r="G14" s="275">
        <f>ROUND(IF(MinBase1Day&gt;ROUND(((1-(OvernightDiscount1_to_10+FedExExrpessEarnedDiscount))*'1Day Base'!G11),2),ROUND(MinBase1Day*(1+ExpressFuelSurcharge),2),ROUND(((1-(OvernightDiscount1_to_10+FedExExrpessEarnedDiscount))*'1Day Base'!G11)*(1+ExpressFuelSurcharge),2))*(1+FedEx_Markup),2)</f>
        <v>78.34</v>
      </c>
      <c r="H14" s="275">
        <f>ROUND(IF(MinBase1Day&gt;ROUND(((1-(OvernightDiscount1_to_10+FedExExrpessEarnedDiscount))*'1Day Base'!H11),2),ROUND(MinBase1Day*(1+ExpressFuelSurcharge),2),ROUND(((1-(OvernightDiscount1_to_10+FedExExrpessEarnedDiscount))*'1Day Base'!H11)*(1+ExpressFuelSurcharge),2))*(1+FedEx_Markup),2)</f>
        <v>82.33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274">
        <v>10.0</v>
      </c>
      <c r="B15" s="275">
        <f>ROUND(IF(MinBase1Day&gt;ROUND(((1-(OvernightDiscount1_to_10+FedExExrpessEarnedDiscount))*'1Day Base'!B12),2),ROUND(MinBase1Day*(1+ExpressFuelSurcharge),2),ROUND(((1-(OvernightDiscount1_to_10+FedExExrpessEarnedDiscount))*'1Day Base'!B12)*(1+ExpressFuelSurcharge),2))*(1+FedEx_Markup),2)</f>
        <v>28.82</v>
      </c>
      <c r="C15" s="275">
        <f>ROUND(IF(MinBase1Day&gt;ROUND(((1-(OvernightDiscount1_to_10+FedExExrpessEarnedDiscount))*'1Day Base'!C12),2),ROUND(MinBase1Day*(1+ExpressFuelSurcharge),2),ROUND(((1-(OvernightDiscount1_to_10+FedExExrpessEarnedDiscount))*'1Day Base'!C12)*(1+ExpressFuelSurcharge),2))*(1+FedEx_Markup),2)</f>
        <v>38.07</v>
      </c>
      <c r="D15" s="275">
        <f>ROUND(IF(MinBase1Day&gt;ROUND(((1-(OvernightDiscount1_to_10+FedExExrpessEarnedDiscount))*'1Day Base'!D12),2),ROUND(MinBase1Day*(1+ExpressFuelSurcharge),2),ROUND(((1-(OvernightDiscount1_to_10+FedExExrpessEarnedDiscount))*'1Day Base'!D12)*(1+ExpressFuelSurcharge),2))*(1+FedEx_Markup),2)</f>
        <v>62.23</v>
      </c>
      <c r="E15" s="275">
        <f>ROUND(IF(MinBase1Day&gt;ROUND(((1-(OvernightDiscount1_to_10+FedExExrpessEarnedDiscount))*'1Day Base'!E12),2),ROUND(MinBase1Day*(1+ExpressFuelSurcharge),2),ROUND(((1-(OvernightDiscount1_to_10+FedExExrpessEarnedDiscount))*'1Day Base'!E12)*(1+ExpressFuelSurcharge),2))*(1+FedEx_Markup),2)</f>
        <v>68.66</v>
      </c>
      <c r="F15" s="275">
        <f>ROUND(IF(MinBase1Day&gt;ROUND(((1-(OvernightDiscount1_to_10+FedExExrpessEarnedDiscount))*'1Day Base'!F12),2),ROUND(MinBase1Day*(1+ExpressFuelSurcharge),2),ROUND(((1-(OvernightDiscount1_to_10+FedExExrpessEarnedDiscount))*'1Day Base'!F12)*(1+ExpressFuelSurcharge),2))*(1+FedEx_Markup),2)</f>
        <v>71.88</v>
      </c>
      <c r="G15" s="275">
        <f>ROUND(IF(MinBase1Day&gt;ROUND(((1-(OvernightDiscount1_to_10+FedExExrpessEarnedDiscount))*'1Day Base'!G12),2),ROUND(MinBase1Day*(1+ExpressFuelSurcharge),2),ROUND(((1-(OvernightDiscount1_to_10+FedExExrpessEarnedDiscount))*'1Day Base'!G12)*(1+ExpressFuelSurcharge),2))*(1+FedEx_Markup),2)</f>
        <v>78.88</v>
      </c>
      <c r="H15" s="275">
        <f>ROUND(IF(MinBase1Day&gt;ROUND(((1-(OvernightDiscount1_to_10+FedExExrpessEarnedDiscount))*'1Day Base'!H12),2),ROUND(MinBase1Day*(1+ExpressFuelSurcharge),2),ROUND(((1-(OvernightDiscount1_to_10+FedExExrpessEarnedDiscount))*'1Day Base'!H12)*(1+ExpressFuelSurcharge),2))*(1+FedEx_Markup),2)</f>
        <v>83.05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274">
        <v>11.0</v>
      </c>
      <c r="B16" s="275">
        <f>ROUND(IF(MinBase1Day&gt;ROUND(((1-(OverNightDiscount_11_to_20+FedExExrpessEarnedDiscount))*'1Day Base'!B13),2),ROUND(MinBase1Day*(1+ExpressFuelSurcharge),2),ROUND(((1-(OverNightDiscount_11_to_20+FedExExrpessEarnedDiscount))*'1Day Base'!B13)*(1+ExpressFuelSurcharge),2))*(1+FedEx_Markup),2)</f>
        <v>28.82</v>
      </c>
      <c r="C16" s="275">
        <f>ROUND(IF(MinBase1Day&gt;ROUND(((1-(OverNightDiscount_11_to_20+FedExExrpessEarnedDiscount))*'1Day Base'!C13),2),ROUND(MinBase1Day*(1+ExpressFuelSurcharge),2),ROUND(((1-(OverNightDiscount_11_to_20+FedExExrpessEarnedDiscount))*'1Day Base'!C13)*(1+ExpressFuelSurcharge),2))*(1+FedEx_Markup),2)</f>
        <v>38.94</v>
      </c>
      <c r="D16" s="275">
        <f>ROUND(IF(MinBase1Day&gt;ROUND(((1-(OverNightDiscount_11_to_20+FedExExrpessEarnedDiscount))*'1Day Base'!D13),2),ROUND(MinBase1Day*(1+ExpressFuelSurcharge),2),ROUND(((1-(OverNightDiscount_11_to_20+FedExExrpessEarnedDiscount))*'1Day Base'!D13)*(1+ExpressFuelSurcharge),2))*(1+FedEx_Markup),2)</f>
        <v>66.46</v>
      </c>
      <c r="E16" s="275">
        <f>ROUND(IF(MinBase1Day&gt;ROUND(((1-(OverNightDiscount_11_to_20+FedExExrpessEarnedDiscount))*'1Day Base'!E13),2),ROUND(MinBase1Day*(1+ExpressFuelSurcharge),2),ROUND(((1-(OverNightDiscount_11_to_20+FedExExrpessEarnedDiscount))*'1Day Base'!E13)*(1+ExpressFuelSurcharge),2))*(1+FedEx_Markup),2)</f>
        <v>74.47</v>
      </c>
      <c r="F16" s="275">
        <f>ROUND(IF(MinBase1Day&gt;ROUND(((1-(OverNightDiscount_11_to_20+FedExExrpessEarnedDiscount))*'1Day Base'!F13),2),ROUND(MinBase1Day*(1+ExpressFuelSurcharge),2),ROUND(((1-(OverNightDiscount_11_to_20+FedExExrpessEarnedDiscount))*'1Day Base'!F13)*(1+ExpressFuelSurcharge),2))*(1+FedEx_Markup),2)</f>
        <v>80.62</v>
      </c>
      <c r="G16" s="275">
        <f>ROUND(IF(MinBase1Day&gt;ROUND(((1-(OverNightDiscount_11_to_20+FedExExrpessEarnedDiscount))*'1Day Base'!G13),2),ROUND(MinBase1Day*(1+ExpressFuelSurcharge),2),ROUND(((1-(OverNightDiscount_11_to_20+FedExExrpessEarnedDiscount))*'1Day Base'!G13)*(1+ExpressFuelSurcharge),2))*(1+FedEx_Markup),2)</f>
        <v>86.24</v>
      </c>
      <c r="H16" s="275">
        <f>ROUND(IF(MinBase1Day&gt;ROUND(((1-(OverNightDiscount_11_to_20+FedExExrpessEarnedDiscount))*'1Day Base'!H13),2),ROUND(MinBase1Day*(1+ExpressFuelSurcharge),2),ROUND(((1-(OverNightDiscount_11_to_20+FedExExrpessEarnedDiscount))*'1Day Base'!H13)*(1+ExpressFuelSurcharge),2))*(1+FedEx_Markup),2)</f>
        <v>88.84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274">
        <v>12.0</v>
      </c>
      <c r="B17" s="275">
        <f>ROUND(IF(MinBase1Day&gt;ROUND(((1-(OverNightDiscount_11_to_20+FedExExrpessEarnedDiscount))*'1Day Base'!B14),2),ROUND(MinBase1Day*(1+ExpressFuelSurcharge),2),ROUND(((1-(OverNightDiscount_11_to_20+FedExExrpessEarnedDiscount))*'1Day Base'!B14)*(1+ExpressFuelSurcharge),2))*(1+FedEx_Markup),2)</f>
        <v>28.82</v>
      </c>
      <c r="C17" s="275">
        <f>ROUND(IF(MinBase1Day&gt;ROUND(((1-(OverNightDiscount_11_to_20+FedExExrpessEarnedDiscount))*'1Day Base'!C14),2),ROUND(MinBase1Day*(1+ExpressFuelSurcharge),2),ROUND(((1-(OverNightDiscount_11_to_20+FedExExrpessEarnedDiscount))*'1Day Base'!C14)*(1+ExpressFuelSurcharge),2))*(1+FedEx_Markup),2)</f>
        <v>40.93</v>
      </c>
      <c r="D17" s="275">
        <f>ROUND(IF(MinBase1Day&gt;ROUND(((1-(OverNightDiscount_11_to_20+FedExExrpessEarnedDiscount))*'1Day Base'!D14),2),ROUND(MinBase1Day*(1+ExpressFuelSurcharge),2),ROUND(((1-(OverNightDiscount_11_to_20+FedExExrpessEarnedDiscount))*'1Day Base'!D14)*(1+ExpressFuelSurcharge),2))*(1+FedEx_Markup),2)</f>
        <v>70.12</v>
      </c>
      <c r="E17" s="275">
        <f>ROUND(IF(MinBase1Day&gt;ROUND(((1-(OverNightDiscount_11_to_20+FedExExrpessEarnedDiscount))*'1Day Base'!E14),2),ROUND(MinBase1Day*(1+ExpressFuelSurcharge),2),ROUND(((1-(OverNightDiscount_11_to_20+FedExExrpessEarnedDiscount))*'1Day Base'!E14)*(1+ExpressFuelSurcharge),2))*(1+FedEx_Markup),2)</f>
        <v>77.88</v>
      </c>
      <c r="F17" s="275">
        <f>ROUND(IF(MinBase1Day&gt;ROUND(((1-(OverNightDiscount_11_to_20+FedExExrpessEarnedDiscount))*'1Day Base'!F14),2),ROUND(MinBase1Day*(1+ExpressFuelSurcharge),2),ROUND(((1-(OverNightDiscount_11_to_20+FedExExrpessEarnedDiscount))*'1Day Base'!F14)*(1+ExpressFuelSurcharge),2))*(1+FedEx_Markup),2)</f>
        <v>84.55</v>
      </c>
      <c r="G17" s="275">
        <f>ROUND(IF(MinBase1Day&gt;ROUND(((1-(OverNightDiscount_11_to_20+FedExExrpessEarnedDiscount))*'1Day Base'!G14),2),ROUND(MinBase1Day*(1+ExpressFuelSurcharge),2),ROUND(((1-(OverNightDiscount_11_to_20+FedExExrpessEarnedDiscount))*'1Day Base'!G14)*(1+ExpressFuelSurcharge),2))*(1+FedEx_Markup),2)</f>
        <v>90.93</v>
      </c>
      <c r="H17" s="275">
        <f>ROUND(IF(MinBase1Day&gt;ROUND(((1-(OverNightDiscount_11_to_20+FedExExrpessEarnedDiscount))*'1Day Base'!H14),2),ROUND(MinBase1Day*(1+ExpressFuelSurcharge),2),ROUND(((1-(OverNightDiscount_11_to_20+FedExExrpessEarnedDiscount))*'1Day Base'!H14)*(1+ExpressFuelSurcharge),2))*(1+FedEx_Markup),2)</f>
        <v>93.59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274">
        <v>13.0</v>
      </c>
      <c r="B18" s="275">
        <f>ROUND(IF(MinBase1Day&gt;ROUND(((1-(OverNightDiscount_11_to_20+FedExExrpessEarnedDiscount))*'1Day Base'!B15),2),ROUND(MinBase1Day*(1+ExpressFuelSurcharge),2),ROUND(((1-(OverNightDiscount_11_to_20+FedExExrpessEarnedDiscount))*'1Day Base'!B15)*(1+ExpressFuelSurcharge),2))*(1+FedEx_Markup),2)</f>
        <v>28.82</v>
      </c>
      <c r="C18" s="275">
        <f>ROUND(IF(MinBase1Day&gt;ROUND(((1-(OverNightDiscount_11_to_20+FedExExrpessEarnedDiscount))*'1Day Base'!C15),2),ROUND(MinBase1Day*(1+ExpressFuelSurcharge),2),ROUND(((1-(OverNightDiscount_11_to_20+FedExExrpessEarnedDiscount))*'1Day Base'!C15)*(1+ExpressFuelSurcharge),2))*(1+FedEx_Markup),2)</f>
        <v>42.98</v>
      </c>
      <c r="D18" s="275">
        <f>ROUND(IF(MinBase1Day&gt;ROUND(((1-(OverNightDiscount_11_to_20+FedExExrpessEarnedDiscount))*'1Day Base'!D15),2),ROUND(MinBase1Day*(1+ExpressFuelSurcharge),2),ROUND(((1-(OverNightDiscount_11_to_20+FedExExrpessEarnedDiscount))*'1Day Base'!D15)*(1+ExpressFuelSurcharge),2))*(1+FedEx_Markup),2)</f>
        <v>74.16</v>
      </c>
      <c r="E18" s="275">
        <f>ROUND(IF(MinBase1Day&gt;ROUND(((1-(OverNightDiscount_11_to_20+FedExExrpessEarnedDiscount))*'1Day Base'!E15),2),ROUND(MinBase1Day*(1+ExpressFuelSurcharge),2),ROUND(((1-(OverNightDiscount_11_to_20+FedExExrpessEarnedDiscount))*'1Day Base'!E15)*(1+ExpressFuelSurcharge),2))*(1+FedEx_Markup),2)</f>
        <v>81.49</v>
      </c>
      <c r="F18" s="275">
        <f>ROUND(IF(MinBase1Day&gt;ROUND(((1-(OverNightDiscount_11_to_20+FedExExrpessEarnedDiscount))*'1Day Base'!F15),2),ROUND(MinBase1Day*(1+ExpressFuelSurcharge),2),ROUND(((1-(OverNightDiscount_11_to_20+FedExExrpessEarnedDiscount))*'1Day Base'!F15)*(1+ExpressFuelSurcharge),2))*(1+FedEx_Markup),2)</f>
        <v>87.99</v>
      </c>
      <c r="G18" s="275">
        <f>ROUND(IF(MinBase1Day&gt;ROUND(((1-(OverNightDiscount_11_to_20+FedExExrpessEarnedDiscount))*'1Day Base'!G15),2),ROUND(MinBase1Day*(1+ExpressFuelSurcharge),2),ROUND(((1-(OverNightDiscount_11_to_20+FedExExrpessEarnedDiscount))*'1Day Base'!G15)*(1+ExpressFuelSurcharge),2))*(1+FedEx_Markup),2)</f>
        <v>95.75</v>
      </c>
      <c r="H18" s="275">
        <f>ROUND(IF(MinBase1Day&gt;ROUND(((1-(OverNightDiscount_11_to_20+FedExExrpessEarnedDiscount))*'1Day Base'!H15),2),ROUND(MinBase1Day*(1+ExpressFuelSurcharge),2),ROUND(((1-(OverNightDiscount_11_to_20+FedExExrpessEarnedDiscount))*'1Day Base'!H15)*(1+ExpressFuelSurcharge),2))*(1+FedEx_Markup),2)</f>
        <v>98.1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274">
        <v>14.0</v>
      </c>
      <c r="B19" s="275">
        <f>ROUND(IF(MinBase1Day&gt;ROUND(((1-(OverNightDiscount_11_to_20+FedExExrpessEarnedDiscount))*'1Day Base'!B16),2),ROUND(MinBase1Day*(1+ExpressFuelSurcharge),2),ROUND(((1-(OverNightDiscount_11_to_20+FedExExrpessEarnedDiscount))*'1Day Base'!B16)*(1+ExpressFuelSurcharge),2))*(1+FedEx_Markup),2)</f>
        <v>29.56</v>
      </c>
      <c r="C19" s="275">
        <f>ROUND(IF(MinBase1Day&gt;ROUND(((1-(OverNightDiscount_11_to_20+FedExExrpessEarnedDiscount))*'1Day Base'!C16),2),ROUND(MinBase1Day*(1+ExpressFuelSurcharge),2),ROUND(((1-(OverNightDiscount_11_to_20+FedExExrpessEarnedDiscount))*'1Day Base'!C16)*(1+ExpressFuelSurcharge),2))*(1+FedEx_Markup),2)</f>
        <v>44.67</v>
      </c>
      <c r="D19" s="275">
        <f>ROUND(IF(MinBase1Day&gt;ROUND(((1-(OverNightDiscount_11_to_20+FedExExrpessEarnedDiscount))*'1Day Base'!D16),2),ROUND(MinBase1Day*(1+ExpressFuelSurcharge),2),ROUND(((1-(OverNightDiscount_11_to_20+FedExExrpessEarnedDiscount))*'1Day Base'!D16)*(1+ExpressFuelSurcharge),2))*(1+FedEx_Markup),2)</f>
        <v>77.94</v>
      </c>
      <c r="E19" s="275">
        <f>ROUND(IF(MinBase1Day&gt;ROUND(((1-(OverNightDiscount_11_to_20+FedExExrpessEarnedDiscount))*'1Day Base'!E16),2),ROUND(MinBase1Day*(1+ExpressFuelSurcharge),2),ROUND(((1-(OverNightDiscount_11_to_20+FedExExrpessEarnedDiscount))*'1Day Base'!E16)*(1+ExpressFuelSurcharge),2))*(1+FedEx_Markup),2)</f>
        <v>84.94</v>
      </c>
      <c r="F19" s="275">
        <f>ROUND(IF(MinBase1Day&gt;ROUND(((1-(OverNightDiscount_11_to_20+FedExExrpessEarnedDiscount))*'1Day Base'!F16),2),ROUND(MinBase1Day*(1+ExpressFuelSurcharge),2),ROUND(((1-(OverNightDiscount_11_to_20+FedExExrpessEarnedDiscount))*'1Day Base'!F16)*(1+ExpressFuelSurcharge),2))*(1+FedEx_Markup),2)</f>
        <v>91.39</v>
      </c>
      <c r="G19" s="275">
        <f>ROUND(IF(MinBase1Day&gt;ROUND(((1-(OverNightDiscount_11_to_20+FedExExrpessEarnedDiscount))*'1Day Base'!G16),2),ROUND(MinBase1Day*(1+ExpressFuelSurcharge),2),ROUND(((1-(OverNightDiscount_11_to_20+FedExExrpessEarnedDiscount))*'1Day Base'!G16)*(1+ExpressFuelSurcharge),2))*(1+FedEx_Markup),2)</f>
        <v>99.92</v>
      </c>
      <c r="H19" s="275">
        <f>ROUND(IF(MinBase1Day&gt;ROUND(((1-(OverNightDiscount_11_to_20+FedExExrpessEarnedDiscount))*'1Day Base'!H16),2),ROUND(MinBase1Day*(1+ExpressFuelSurcharge),2),ROUND(((1-(OverNightDiscount_11_to_20+FedExExrpessEarnedDiscount))*'1Day Base'!H16)*(1+ExpressFuelSurcharge),2))*(1+FedEx_Markup),2)</f>
        <v>102.96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274">
        <v>15.0</v>
      </c>
      <c r="B20" s="275">
        <f>ROUND(IF(MinBase1Day&gt;ROUND(((1-(OverNightDiscount_11_to_20+FedExExrpessEarnedDiscount))*'1Day Base'!B17),2),ROUND(MinBase1Day*(1+ExpressFuelSurcharge),2),ROUND(((1-(OverNightDiscount_11_to_20+FedExExrpessEarnedDiscount))*'1Day Base'!B17)*(1+ExpressFuelSurcharge),2))*(1+FedEx_Markup),2)</f>
        <v>30.68</v>
      </c>
      <c r="C20" s="275">
        <f>ROUND(IF(MinBase1Day&gt;ROUND(((1-(OverNightDiscount_11_to_20+FedExExrpessEarnedDiscount))*'1Day Base'!C17),2),ROUND(MinBase1Day*(1+ExpressFuelSurcharge),2),ROUND(((1-(OverNightDiscount_11_to_20+FedExExrpessEarnedDiscount))*'1Day Base'!C17)*(1+ExpressFuelSurcharge),2))*(1+FedEx_Markup),2)</f>
        <v>46.17</v>
      </c>
      <c r="D20" s="275">
        <f>ROUND(IF(MinBase1Day&gt;ROUND(((1-(OverNightDiscount_11_to_20+FedExExrpessEarnedDiscount))*'1Day Base'!D17),2),ROUND(MinBase1Day*(1+ExpressFuelSurcharge),2),ROUND(((1-(OverNightDiscount_11_to_20+FedExExrpessEarnedDiscount))*'1Day Base'!D17)*(1+ExpressFuelSurcharge),2))*(1+FedEx_Markup),2)</f>
        <v>79.95</v>
      </c>
      <c r="E20" s="275">
        <f>ROUND(IF(MinBase1Day&gt;ROUND(((1-(OverNightDiscount_11_to_20+FedExExrpessEarnedDiscount))*'1Day Base'!E17),2),ROUND(MinBase1Day*(1+ExpressFuelSurcharge),2),ROUND(((1-(OverNightDiscount_11_to_20+FedExExrpessEarnedDiscount))*'1Day Base'!E17)*(1+ExpressFuelSurcharge),2))*(1+FedEx_Markup),2)</f>
        <v>88.35</v>
      </c>
      <c r="F20" s="275">
        <f>ROUND(IF(MinBase1Day&gt;ROUND(((1-(OverNightDiscount_11_to_20+FedExExrpessEarnedDiscount))*'1Day Base'!F17),2),ROUND(MinBase1Day*(1+ExpressFuelSurcharge),2),ROUND(((1-(OverNightDiscount_11_to_20+FedExExrpessEarnedDiscount))*'1Day Base'!F17)*(1+ExpressFuelSurcharge),2))*(1+FedEx_Markup),2)</f>
        <v>93.07</v>
      </c>
      <c r="G20" s="275">
        <f>ROUND(IF(MinBase1Day&gt;ROUND(((1-(OverNightDiscount_11_to_20+FedExExrpessEarnedDiscount))*'1Day Base'!G17),2),ROUND(MinBase1Day*(1+ExpressFuelSurcharge),2),ROUND(((1-(OverNightDiscount_11_to_20+FedExExrpessEarnedDiscount))*'1Day Base'!G17)*(1+ExpressFuelSurcharge),2))*(1+FedEx_Markup),2)</f>
        <v>103.24</v>
      </c>
      <c r="H20" s="275">
        <f>ROUND(IF(MinBase1Day&gt;ROUND(((1-(OverNightDiscount_11_to_20+FedExExrpessEarnedDiscount))*'1Day Base'!H17),2),ROUND(MinBase1Day*(1+ExpressFuelSurcharge),2),ROUND(((1-(OverNightDiscount_11_to_20+FedExExrpessEarnedDiscount))*'1Day Base'!H17)*(1+ExpressFuelSurcharge),2))*(1+FedEx_Markup),2)</f>
        <v>106.41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274">
        <v>16.0</v>
      </c>
      <c r="B21" s="275">
        <f>ROUND(IF(MinBase1Day&gt;ROUND(((1-(OverNightDiscount_11_to_20+FedExExrpessEarnedDiscount))*'1Day Base'!B18),2),ROUND(MinBase1Day*(1+ExpressFuelSurcharge),2),ROUND(((1-(OverNightDiscount_11_to_20+FedExExrpessEarnedDiscount))*'1Day Base'!B18)*(1+ExpressFuelSurcharge),2))*(1+FedEx_Markup),2)</f>
        <v>31.34</v>
      </c>
      <c r="C21" s="275">
        <f>ROUND(IF(MinBase1Day&gt;ROUND(((1-(OverNightDiscount_11_to_20+FedExExrpessEarnedDiscount))*'1Day Base'!C18),2),ROUND(MinBase1Day*(1+ExpressFuelSurcharge),2),ROUND(((1-(OverNightDiscount_11_to_20+FedExExrpessEarnedDiscount))*'1Day Base'!C18)*(1+ExpressFuelSurcharge),2))*(1+FedEx_Markup),2)</f>
        <v>46.63</v>
      </c>
      <c r="D21" s="275">
        <f>ROUND(IF(MinBase1Day&gt;ROUND(((1-(OverNightDiscount_11_to_20+FedExExrpessEarnedDiscount))*'1Day Base'!D18),2),ROUND(MinBase1Day*(1+ExpressFuelSurcharge),2),ROUND(((1-(OverNightDiscount_11_to_20+FedExExrpessEarnedDiscount))*'1Day Base'!D18)*(1+ExpressFuelSurcharge),2))*(1+FedEx_Markup),2)</f>
        <v>83.71</v>
      </c>
      <c r="E21" s="275">
        <f>ROUND(IF(MinBase1Day&gt;ROUND(((1-(OverNightDiscount_11_to_20+FedExExrpessEarnedDiscount))*'1Day Base'!E18),2),ROUND(MinBase1Day*(1+ExpressFuelSurcharge),2),ROUND(((1-(OverNightDiscount_11_to_20+FedExExrpessEarnedDiscount))*'1Day Base'!E18)*(1+ExpressFuelSurcharge),2))*(1+FedEx_Markup),2)</f>
        <v>90.76</v>
      </c>
      <c r="F21" s="275">
        <f>ROUND(IF(MinBase1Day&gt;ROUND(((1-(OverNightDiscount_11_to_20+FedExExrpessEarnedDiscount))*'1Day Base'!F18),2),ROUND(MinBase1Day*(1+ExpressFuelSurcharge),2),ROUND(((1-(OverNightDiscount_11_to_20+FedExExrpessEarnedDiscount))*'1Day Base'!F18)*(1+ExpressFuelSurcharge),2))*(1+FedEx_Markup),2)</f>
        <v>97.91</v>
      </c>
      <c r="G21" s="275">
        <f>ROUND(IF(MinBase1Day&gt;ROUND(((1-(OverNightDiscount_11_to_20+FedExExrpessEarnedDiscount))*'1Day Base'!G18),2),ROUND(MinBase1Day*(1+ExpressFuelSurcharge),2),ROUND(((1-(OverNightDiscount_11_to_20+FedExExrpessEarnedDiscount))*'1Day Base'!G18)*(1+ExpressFuelSurcharge),2))*(1+FedEx_Markup),2)</f>
        <v>104.93</v>
      </c>
      <c r="H21" s="275">
        <f>ROUND(IF(MinBase1Day&gt;ROUND(((1-(OverNightDiscount_11_to_20+FedExExrpessEarnedDiscount))*'1Day Base'!H18),2),ROUND(MinBase1Day*(1+ExpressFuelSurcharge),2),ROUND(((1-(OverNightDiscount_11_to_20+FedExExrpessEarnedDiscount))*'1Day Base'!H18)*(1+ExpressFuelSurcharge),2))*(1+FedEx_Markup),2)</f>
        <v>109.54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274">
        <v>17.0</v>
      </c>
      <c r="B22" s="275">
        <f>ROUND(IF(MinBase1Day&gt;ROUND(((1-(OverNightDiscount_11_to_20+FedExExrpessEarnedDiscount))*'1Day Base'!B19),2),ROUND(MinBase1Day*(1+ExpressFuelSurcharge),2),ROUND(((1-(OverNightDiscount_11_to_20+FedExExrpessEarnedDiscount))*'1Day Base'!B19)*(1+ExpressFuelSurcharge),2))*(1+FedEx_Markup),2)</f>
        <v>32</v>
      </c>
      <c r="C22" s="275">
        <f>ROUND(IF(MinBase1Day&gt;ROUND(((1-(OverNightDiscount_11_to_20+FedExExrpessEarnedDiscount))*'1Day Base'!C19),2),ROUND(MinBase1Day*(1+ExpressFuelSurcharge),2),ROUND(((1-(OverNightDiscount_11_to_20+FedExExrpessEarnedDiscount))*'1Day Base'!C19)*(1+ExpressFuelSurcharge),2))*(1+FedEx_Markup),2)</f>
        <v>48.17</v>
      </c>
      <c r="D22" s="275">
        <f>ROUND(IF(MinBase1Day&gt;ROUND(((1-(OverNightDiscount_11_to_20+FedExExrpessEarnedDiscount))*'1Day Base'!D19),2),ROUND(MinBase1Day*(1+ExpressFuelSurcharge),2),ROUND(((1-(OverNightDiscount_11_to_20+FedExExrpessEarnedDiscount))*'1Day Base'!D19)*(1+ExpressFuelSurcharge),2))*(1+FedEx_Markup),2)</f>
        <v>86.91</v>
      </c>
      <c r="E22" s="275">
        <f>ROUND(IF(MinBase1Day&gt;ROUND(((1-(OverNightDiscount_11_to_20+FedExExrpessEarnedDiscount))*'1Day Base'!E19),2),ROUND(MinBase1Day*(1+ExpressFuelSurcharge),2),ROUND(((1-(OverNightDiscount_11_to_20+FedExExrpessEarnedDiscount))*'1Day Base'!E19)*(1+ExpressFuelSurcharge),2))*(1+FedEx_Markup),2)</f>
        <v>94.58</v>
      </c>
      <c r="F22" s="275">
        <f>ROUND(IF(MinBase1Day&gt;ROUND(((1-(OverNightDiscount_11_to_20+FedExExrpessEarnedDiscount))*'1Day Base'!F19),2),ROUND(MinBase1Day*(1+ExpressFuelSurcharge),2),ROUND(((1-(OverNightDiscount_11_to_20+FedExExrpessEarnedDiscount))*'1Day Base'!F19)*(1+ExpressFuelSurcharge),2))*(1+FedEx_Markup),2)</f>
        <v>100.19</v>
      </c>
      <c r="G22" s="275">
        <f>ROUND(IF(MinBase1Day&gt;ROUND(((1-(OverNightDiscount_11_to_20+FedExExrpessEarnedDiscount))*'1Day Base'!G19),2),ROUND(MinBase1Day*(1+ExpressFuelSurcharge),2),ROUND(((1-(OverNightDiscount_11_to_20+FedExExrpessEarnedDiscount))*'1Day Base'!G19)*(1+ExpressFuelSurcharge),2))*(1+FedEx_Markup),2)</f>
        <v>107.31</v>
      </c>
      <c r="H22" s="275">
        <f>ROUND(IF(MinBase1Day&gt;ROUND(((1-(OverNightDiscount_11_to_20+FedExExrpessEarnedDiscount))*'1Day Base'!H19),2),ROUND(MinBase1Day*(1+ExpressFuelSurcharge),2),ROUND(((1-(OverNightDiscount_11_to_20+FedExExrpessEarnedDiscount))*'1Day Base'!H19)*(1+ExpressFuelSurcharge),2))*(1+FedEx_Markup),2)</f>
        <v>111.87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274">
        <v>18.0</v>
      </c>
      <c r="B23" s="275">
        <f>ROUND(IF(MinBase1Day&gt;ROUND(((1-(OverNightDiscount_11_to_20+FedExExrpessEarnedDiscount))*'1Day Base'!B20),2),ROUND(MinBase1Day*(1+ExpressFuelSurcharge),2),ROUND(((1-(OverNightDiscount_11_to_20+FedExExrpessEarnedDiscount))*'1Day Base'!B20)*(1+ExpressFuelSurcharge),2))*(1+FedEx_Markup),2)</f>
        <v>33.91</v>
      </c>
      <c r="C23" s="275">
        <f>ROUND(IF(MinBase1Day&gt;ROUND(((1-(OverNightDiscount_11_to_20+FedExExrpessEarnedDiscount))*'1Day Base'!C20),2),ROUND(MinBase1Day*(1+ExpressFuelSurcharge),2),ROUND(((1-(OverNightDiscount_11_to_20+FedExExrpessEarnedDiscount))*'1Day Base'!C20)*(1+ExpressFuelSurcharge),2))*(1+FedEx_Markup),2)</f>
        <v>48.73</v>
      </c>
      <c r="D23" s="275">
        <f>ROUND(IF(MinBase1Day&gt;ROUND(((1-(OverNightDiscount_11_to_20+FedExExrpessEarnedDiscount))*'1Day Base'!D20),2),ROUND(MinBase1Day*(1+ExpressFuelSurcharge),2),ROUND(((1-(OverNightDiscount_11_to_20+FedExExrpessEarnedDiscount))*'1Day Base'!D20)*(1+ExpressFuelSurcharge),2))*(1+FedEx_Markup),2)</f>
        <v>89.53</v>
      </c>
      <c r="E23" s="275">
        <f>ROUND(IF(MinBase1Day&gt;ROUND(((1-(OverNightDiscount_11_to_20+FedExExrpessEarnedDiscount))*'1Day Base'!E20),2),ROUND(MinBase1Day*(1+ExpressFuelSurcharge),2),ROUND(((1-(OverNightDiscount_11_to_20+FedExExrpessEarnedDiscount))*'1Day Base'!E20)*(1+ExpressFuelSurcharge),2))*(1+FedEx_Markup),2)</f>
        <v>96.53</v>
      </c>
      <c r="F23" s="275">
        <f>ROUND(IF(MinBase1Day&gt;ROUND(((1-(OverNightDiscount_11_to_20+FedExExrpessEarnedDiscount))*'1Day Base'!F20),2),ROUND(MinBase1Day*(1+ExpressFuelSurcharge),2),ROUND(((1-(OverNightDiscount_11_to_20+FedExExrpessEarnedDiscount))*'1Day Base'!F20)*(1+ExpressFuelSurcharge),2))*(1+FedEx_Markup),2)</f>
        <v>102.38</v>
      </c>
      <c r="G23" s="275">
        <f>ROUND(IF(MinBase1Day&gt;ROUND(((1-(OverNightDiscount_11_to_20+FedExExrpessEarnedDiscount))*'1Day Base'!G20),2),ROUND(MinBase1Day*(1+ExpressFuelSurcharge),2),ROUND(((1-(OverNightDiscount_11_to_20+FedExExrpessEarnedDiscount))*'1Day Base'!G20)*(1+ExpressFuelSurcharge),2))*(1+FedEx_Markup),2)</f>
        <v>109.62</v>
      </c>
      <c r="H23" s="275">
        <f>ROUND(IF(MinBase1Day&gt;ROUND(((1-(OverNightDiscount_11_to_20+FedExExrpessEarnedDiscount))*'1Day Base'!H20),2),ROUND(MinBase1Day*(1+ExpressFuelSurcharge),2),ROUND(((1-(OverNightDiscount_11_to_20+FedExExrpessEarnedDiscount))*'1Day Base'!H20)*(1+ExpressFuelSurcharge),2))*(1+FedEx_Markup),2)</f>
        <v>113.79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74">
        <v>19.0</v>
      </c>
      <c r="B24" s="275">
        <f>ROUND(IF(MinBase1Day&gt;ROUND(((1-(OverNightDiscount_11_to_20+FedExExrpessEarnedDiscount))*'1Day Base'!B21),2),ROUND(MinBase1Day*(1+ExpressFuelSurcharge),2),ROUND(((1-(OverNightDiscount_11_to_20+FedExExrpessEarnedDiscount))*'1Day Base'!B21)*(1+ExpressFuelSurcharge),2))*(1+FedEx_Markup),2)</f>
        <v>34.82</v>
      </c>
      <c r="C24" s="275">
        <f>ROUND(IF(MinBase1Day&gt;ROUND(((1-(OverNightDiscount_11_to_20+FedExExrpessEarnedDiscount))*'1Day Base'!C21),2),ROUND(MinBase1Day*(1+ExpressFuelSurcharge),2),ROUND(((1-(OverNightDiscount_11_to_20+FedExExrpessEarnedDiscount))*'1Day Base'!C21)*(1+ExpressFuelSurcharge),2))*(1+FedEx_Markup),2)</f>
        <v>50.8</v>
      </c>
      <c r="D24" s="275">
        <f>ROUND(IF(MinBase1Day&gt;ROUND(((1-(OverNightDiscount_11_to_20+FedExExrpessEarnedDiscount))*'1Day Base'!D21),2),ROUND(MinBase1Day*(1+ExpressFuelSurcharge),2),ROUND(((1-(OverNightDiscount_11_to_20+FedExExrpessEarnedDiscount))*'1Day Base'!D21)*(1+ExpressFuelSurcharge),2))*(1+FedEx_Markup),2)</f>
        <v>91.66</v>
      </c>
      <c r="E24" s="275">
        <f>ROUND(IF(MinBase1Day&gt;ROUND(((1-(OverNightDiscount_11_to_20+FedExExrpessEarnedDiscount))*'1Day Base'!E21),2),ROUND(MinBase1Day*(1+ExpressFuelSurcharge),2),ROUND(((1-(OverNightDiscount_11_to_20+FedExExrpessEarnedDiscount))*'1Day Base'!E21)*(1+ExpressFuelSurcharge),2))*(1+FedEx_Markup),2)</f>
        <v>98.58</v>
      </c>
      <c r="F24" s="275">
        <f>ROUND(IF(MinBase1Day&gt;ROUND(((1-(OverNightDiscount_11_to_20+FedExExrpessEarnedDiscount))*'1Day Base'!F21),2),ROUND(MinBase1Day*(1+ExpressFuelSurcharge),2),ROUND(((1-(OverNightDiscount_11_to_20+FedExExrpessEarnedDiscount))*'1Day Base'!F21)*(1+ExpressFuelSurcharge),2))*(1+FedEx_Markup),2)</f>
        <v>104.71</v>
      </c>
      <c r="G24" s="275">
        <f>ROUND(IF(MinBase1Day&gt;ROUND(((1-(OverNightDiscount_11_to_20+FedExExrpessEarnedDiscount))*'1Day Base'!G21),2),ROUND(MinBase1Day*(1+ExpressFuelSurcharge),2),ROUND(((1-(OverNightDiscount_11_to_20+FedExExrpessEarnedDiscount))*'1Day Base'!G21)*(1+ExpressFuelSurcharge),2))*(1+FedEx_Markup),2)</f>
        <v>112.07</v>
      </c>
      <c r="H24" s="275">
        <f>ROUND(IF(MinBase1Day&gt;ROUND(((1-(OverNightDiscount_11_to_20+FedExExrpessEarnedDiscount))*'1Day Base'!H21),2),ROUND(MinBase1Day*(1+ExpressFuelSurcharge),2),ROUND(((1-(OverNightDiscount_11_to_20+FedExExrpessEarnedDiscount))*'1Day Base'!H21)*(1+ExpressFuelSurcharge),2))*(1+FedEx_Markup),2)</f>
        <v>117.83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74">
        <v>20.0</v>
      </c>
      <c r="B25" s="275">
        <f>ROUND(IF(MinBase1Day&gt;ROUND(((1-(OverNightDiscount_11_to_20+FedExExrpessEarnedDiscount))*'1Day Base'!B22),2),ROUND(MinBase1Day*(1+ExpressFuelSurcharge),2),ROUND(((1-(OverNightDiscount_11_to_20+FedExExrpessEarnedDiscount))*'1Day Base'!B22)*(1+ExpressFuelSurcharge),2))*(1+FedEx_Markup),2)</f>
        <v>35.47</v>
      </c>
      <c r="C25" s="275">
        <f>ROUND(IF(MinBase1Day&gt;ROUND(((1-(OverNightDiscount_11_to_20+FedExExrpessEarnedDiscount))*'1Day Base'!C22),2),ROUND(MinBase1Day*(1+ExpressFuelSurcharge),2),ROUND(((1-(OverNightDiscount_11_to_20+FedExExrpessEarnedDiscount))*'1Day Base'!C22)*(1+ExpressFuelSurcharge),2))*(1+FedEx_Markup),2)</f>
        <v>52.29</v>
      </c>
      <c r="D25" s="275">
        <f>ROUND(IF(MinBase1Day&gt;ROUND(((1-(OverNightDiscount_11_to_20+FedExExrpessEarnedDiscount))*'1Day Base'!D22),2),ROUND(MinBase1Day*(1+ExpressFuelSurcharge),2),ROUND(((1-(OverNightDiscount_11_to_20+FedExExrpessEarnedDiscount))*'1Day Base'!D22)*(1+ExpressFuelSurcharge),2))*(1+FedEx_Markup),2)</f>
        <v>94</v>
      </c>
      <c r="E25" s="275">
        <f>ROUND(IF(MinBase1Day&gt;ROUND(((1-(OverNightDiscount_11_to_20+FedExExrpessEarnedDiscount))*'1Day Base'!E22),2),ROUND(MinBase1Day*(1+ExpressFuelSurcharge),2),ROUND(((1-(OverNightDiscount_11_to_20+FedExExrpessEarnedDiscount))*'1Day Base'!E22)*(1+ExpressFuelSurcharge),2))*(1+FedEx_Markup),2)</f>
        <v>102.37</v>
      </c>
      <c r="F25" s="275">
        <f>ROUND(IF(MinBase1Day&gt;ROUND(((1-(OverNightDiscount_11_to_20+FedExExrpessEarnedDiscount))*'1Day Base'!F22),2),ROUND(MinBase1Day*(1+ExpressFuelSurcharge),2),ROUND(((1-(OverNightDiscount_11_to_20+FedExExrpessEarnedDiscount))*'1Day Base'!F22)*(1+ExpressFuelSurcharge),2))*(1+FedEx_Markup),2)</f>
        <v>105.35</v>
      </c>
      <c r="G25" s="275">
        <f>ROUND(IF(MinBase1Day&gt;ROUND(((1-(OverNightDiscount_11_to_20+FedExExrpessEarnedDiscount))*'1Day Base'!G22),2),ROUND(MinBase1Day*(1+ExpressFuelSurcharge),2),ROUND(((1-(OverNightDiscount_11_to_20+FedExExrpessEarnedDiscount))*'1Day Base'!G22)*(1+ExpressFuelSurcharge),2))*(1+FedEx_Markup),2)</f>
        <v>115.68</v>
      </c>
      <c r="H25" s="275">
        <f>ROUND(IF(MinBase1Day&gt;ROUND(((1-(OverNightDiscount_11_to_20+FedExExrpessEarnedDiscount))*'1Day Base'!H22),2),ROUND(MinBase1Day*(1+ExpressFuelSurcharge),2),ROUND(((1-(OverNightDiscount_11_to_20+FedExExrpessEarnedDiscount))*'1Day Base'!H22)*(1+ExpressFuelSurcharge),2))*(1+FedEx_Markup),2)</f>
        <v>118.31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74">
        <v>21.0</v>
      </c>
      <c r="B26" s="275">
        <f>ROUND(IF(MinBase1Day&gt;ROUND(((1-(OverNightDiscount_21_Up+FedExExrpessEarnedDiscount))*'1Day Base'!B23),2),ROUND(MinBase1Day*(1+ExpressFuelSurcharge),2),ROUND(((1-(OverNightDiscount_21_Up+FedExExrpessEarnedDiscount))*'1Day Base'!B23)*(1+ExpressFuelSurcharge),2))*(1+FedEx_Markup),2)</f>
        <v>34.14</v>
      </c>
      <c r="C26" s="275">
        <f>ROUND(IF(MinBase1Day&gt;ROUND(((1-(OverNightDiscount_21_Up+FedExExrpessEarnedDiscount))*'1Day Base'!C23),2),ROUND(MinBase1Day*(1+ExpressFuelSurcharge),2),ROUND(((1-(OverNightDiscount_21_Up+FedExExrpessEarnedDiscount))*'1Day Base'!C23)*(1+ExpressFuelSurcharge),2))*(1+FedEx_Markup),2)</f>
        <v>49.97</v>
      </c>
      <c r="D26" s="275">
        <f>ROUND(IF(MinBase1Day&gt;ROUND(((1-(OverNightDiscount_21_Up+FedExExrpessEarnedDiscount))*'1Day Base'!D23),2),ROUND(MinBase1Day*(1+ExpressFuelSurcharge),2),ROUND(((1-(OverNightDiscount_21_Up+FedExExrpessEarnedDiscount))*'1Day Base'!D23)*(1+ExpressFuelSurcharge),2))*(1+FedEx_Markup),2)</f>
        <v>93.52</v>
      </c>
      <c r="E26" s="275">
        <f>ROUND(IF(MinBase1Day&gt;ROUND(((1-(OverNightDiscount_21_Up+FedExExrpessEarnedDiscount))*'1Day Base'!E23),2),ROUND(MinBase1Day*(1+ExpressFuelSurcharge),2),ROUND(((1-(OverNightDiscount_21_Up+FedExExrpessEarnedDiscount))*'1Day Base'!E23)*(1+ExpressFuelSurcharge),2))*(1+FedEx_Markup),2)</f>
        <v>99.13</v>
      </c>
      <c r="F26" s="275">
        <f>ROUND(IF(MinBase1Day&gt;ROUND(((1-(OverNightDiscount_21_Up+FedExExrpessEarnedDiscount))*'1Day Base'!F23),2),ROUND(MinBase1Day*(1+ExpressFuelSurcharge),2),ROUND(((1-(OverNightDiscount_21_Up+FedExExrpessEarnedDiscount))*'1Day Base'!F23)*(1+ExpressFuelSurcharge),2))*(1+FedEx_Markup),2)</f>
        <v>106.31</v>
      </c>
      <c r="G26" s="275">
        <f>ROUND(IF(MinBase1Day&gt;ROUND(((1-(OverNightDiscount_21_Up+FedExExrpessEarnedDiscount))*'1Day Base'!G23),2),ROUND(MinBase1Day*(1+ExpressFuelSurcharge),2),ROUND(((1-(OverNightDiscount_21_Up+FedExExrpessEarnedDiscount))*'1Day Base'!G23)*(1+ExpressFuelSurcharge),2))*(1+FedEx_Markup),2)</f>
        <v>112.44</v>
      </c>
      <c r="H26" s="275">
        <f>ROUND(IF(MinBase1Day&gt;ROUND(((1-(OverNightDiscount_21_Up+FedExExrpessEarnedDiscount))*'1Day Base'!H23),2),ROUND(MinBase1Day*(1+ExpressFuelSurcharge),2),ROUND(((1-(OverNightDiscount_21_Up+FedExExrpessEarnedDiscount))*'1Day Base'!H23)*(1+ExpressFuelSurcharge),2))*(1+FedEx_Markup),2)</f>
        <v>118.69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74">
        <v>22.0</v>
      </c>
      <c r="B27" s="275">
        <f>ROUND(IF(MinBase1Day&gt;ROUND(((1-(OverNightDiscount_21_Up+FedExExrpessEarnedDiscount))*'1Day Base'!B24),2),ROUND(MinBase1Day*(1+ExpressFuelSurcharge),2),ROUND(((1-(OverNightDiscount_21_Up+FedExExrpessEarnedDiscount))*'1Day Base'!B24)*(1+ExpressFuelSurcharge),2))*(1+FedEx_Markup),2)</f>
        <v>35.34</v>
      </c>
      <c r="C27" s="275">
        <f>ROUND(IF(MinBase1Day&gt;ROUND(((1-(OverNightDiscount_21_Up+FedExExrpessEarnedDiscount))*'1Day Base'!C24),2),ROUND(MinBase1Day*(1+ExpressFuelSurcharge),2),ROUND(((1-(OverNightDiscount_21_Up+FedExExrpessEarnedDiscount))*'1Day Base'!C24)*(1+ExpressFuelSurcharge),2))*(1+FedEx_Markup),2)</f>
        <v>51.03</v>
      </c>
      <c r="D27" s="275">
        <f>ROUND(IF(MinBase1Day&gt;ROUND(((1-(OverNightDiscount_21_Up+FedExExrpessEarnedDiscount))*'1Day Base'!D24),2),ROUND(MinBase1Day*(1+ExpressFuelSurcharge),2),ROUND(((1-(OverNightDiscount_21_Up+FedExExrpessEarnedDiscount))*'1Day Base'!D24)*(1+ExpressFuelSurcharge),2))*(1+FedEx_Markup),2)</f>
        <v>95.93</v>
      </c>
      <c r="E27" s="275">
        <f>ROUND(IF(MinBase1Day&gt;ROUND(((1-(OverNightDiscount_21_Up+FedExExrpessEarnedDiscount))*'1Day Base'!E24),2),ROUND(MinBase1Day*(1+ExpressFuelSurcharge),2),ROUND(((1-(OverNightDiscount_21_Up+FedExExrpessEarnedDiscount))*'1Day Base'!E24)*(1+ExpressFuelSurcharge),2))*(1+FedEx_Markup),2)</f>
        <v>104.36</v>
      </c>
      <c r="F27" s="275">
        <f>ROUND(IF(MinBase1Day&gt;ROUND(((1-(OverNightDiscount_21_Up+FedExExrpessEarnedDiscount))*'1Day Base'!F24),2),ROUND(MinBase1Day*(1+ExpressFuelSurcharge),2),ROUND(((1-(OverNightDiscount_21_Up+FedExExrpessEarnedDiscount))*'1Day Base'!F24)*(1+ExpressFuelSurcharge),2))*(1+FedEx_Markup),2)</f>
        <v>107.07</v>
      </c>
      <c r="G27" s="275">
        <f>ROUND(IF(MinBase1Day&gt;ROUND(((1-(OverNightDiscount_21_Up+FedExExrpessEarnedDiscount))*'1Day Base'!G24),2),ROUND(MinBase1Day*(1+ExpressFuelSurcharge),2),ROUND(((1-(OverNightDiscount_21_Up+FedExExrpessEarnedDiscount))*'1Day Base'!G24)*(1+ExpressFuelSurcharge),2))*(1+FedEx_Markup),2)</f>
        <v>120.47</v>
      </c>
      <c r="H27" s="275">
        <f>ROUND(IF(MinBase1Day&gt;ROUND(((1-(OverNightDiscount_21_Up+FedExExrpessEarnedDiscount))*'1Day Base'!H24),2),ROUND(MinBase1Day*(1+ExpressFuelSurcharge),2),ROUND(((1-(OverNightDiscount_21_Up+FedExExrpessEarnedDiscount))*'1Day Base'!H24)*(1+ExpressFuelSurcharge),2))*(1+FedEx_Markup),2)</f>
        <v>123.72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74">
        <v>23.0</v>
      </c>
      <c r="B28" s="275">
        <f>ROUND(IF(MinBase1Day&gt;ROUND(((1-(OverNightDiscount_21_Up+FedExExrpessEarnedDiscount))*'1Day Base'!B25),2),ROUND(MinBase1Day*(1+ExpressFuelSurcharge),2),ROUND(((1-(OverNightDiscount_21_Up+FedExExrpessEarnedDiscount))*'1Day Base'!B25)*(1+ExpressFuelSurcharge),2))*(1+FedEx_Markup),2)</f>
        <v>35.94</v>
      </c>
      <c r="C28" s="275">
        <f>ROUND(IF(MinBase1Day&gt;ROUND(((1-(OverNightDiscount_21_Up+FedExExrpessEarnedDiscount))*'1Day Base'!C25),2),ROUND(MinBase1Day*(1+ExpressFuelSurcharge),2),ROUND(((1-(OverNightDiscount_21_Up+FedExExrpessEarnedDiscount))*'1Day Base'!C25)*(1+ExpressFuelSurcharge),2))*(1+FedEx_Markup),2)</f>
        <v>52</v>
      </c>
      <c r="D28" s="275">
        <f>ROUND(IF(MinBase1Day&gt;ROUND(((1-(OverNightDiscount_21_Up+FedExExrpessEarnedDiscount))*'1Day Base'!D25),2),ROUND(MinBase1Day*(1+ExpressFuelSurcharge),2),ROUND(((1-(OverNightDiscount_21_Up+FedExExrpessEarnedDiscount))*'1Day Base'!D25)*(1+ExpressFuelSurcharge),2))*(1+FedEx_Markup),2)</f>
        <v>98.54</v>
      </c>
      <c r="E28" s="275">
        <f>ROUND(IF(MinBase1Day&gt;ROUND(((1-(OverNightDiscount_21_Up+FedExExrpessEarnedDiscount))*'1Day Base'!E25),2),ROUND(MinBase1Day*(1+ExpressFuelSurcharge),2),ROUND(((1-(OverNightDiscount_21_Up+FedExExrpessEarnedDiscount))*'1Day Base'!E25)*(1+ExpressFuelSurcharge),2))*(1+FedEx_Markup),2)</f>
        <v>107.9</v>
      </c>
      <c r="F28" s="275">
        <f>ROUND(IF(MinBase1Day&gt;ROUND(((1-(OverNightDiscount_21_Up+FedExExrpessEarnedDiscount))*'1Day Base'!F25),2),ROUND(MinBase1Day*(1+ExpressFuelSurcharge),2),ROUND(((1-(OverNightDiscount_21_Up+FedExExrpessEarnedDiscount))*'1Day Base'!F25)*(1+ExpressFuelSurcharge),2))*(1+FedEx_Markup),2)</f>
        <v>111.26</v>
      </c>
      <c r="G28" s="275">
        <f>ROUND(IF(MinBase1Day&gt;ROUND(((1-(OverNightDiscount_21_Up+FedExExrpessEarnedDiscount))*'1Day Base'!G25),2),ROUND(MinBase1Day*(1+ExpressFuelSurcharge),2),ROUND(((1-(OverNightDiscount_21_Up+FedExExrpessEarnedDiscount))*'1Day Base'!G25)*(1+ExpressFuelSurcharge),2))*(1+FedEx_Markup),2)</f>
        <v>121.79</v>
      </c>
      <c r="H28" s="275">
        <f>ROUND(IF(MinBase1Day&gt;ROUND(((1-(OverNightDiscount_21_Up+FedExExrpessEarnedDiscount))*'1Day Base'!H25),2),ROUND(MinBase1Day*(1+ExpressFuelSurcharge),2),ROUND(((1-(OverNightDiscount_21_Up+FedExExrpessEarnedDiscount))*'1Day Base'!H25)*(1+ExpressFuelSurcharge),2))*(1+FedEx_Markup),2)</f>
        <v>124.22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74">
        <v>24.0</v>
      </c>
      <c r="B29" s="275">
        <f>ROUND(IF(MinBase1Day&gt;ROUND(((1-(OverNightDiscount_21_Up+FedExExrpessEarnedDiscount))*'1Day Base'!B26),2),ROUND(MinBase1Day*(1+ExpressFuelSurcharge),2),ROUND(((1-(OverNightDiscount_21_Up+FedExExrpessEarnedDiscount))*'1Day Base'!B26)*(1+ExpressFuelSurcharge),2))*(1+FedEx_Markup),2)</f>
        <v>36.85</v>
      </c>
      <c r="C29" s="275">
        <f>ROUND(IF(MinBase1Day&gt;ROUND(((1-(OverNightDiscount_21_Up+FedExExrpessEarnedDiscount))*'1Day Base'!C26),2),ROUND(MinBase1Day*(1+ExpressFuelSurcharge),2),ROUND(((1-(OverNightDiscount_21_Up+FedExExrpessEarnedDiscount))*'1Day Base'!C26)*(1+ExpressFuelSurcharge),2))*(1+FedEx_Markup),2)</f>
        <v>52.11</v>
      </c>
      <c r="D29" s="275">
        <f>ROUND(IF(MinBase1Day&gt;ROUND(((1-(OverNightDiscount_21_Up+FedExExrpessEarnedDiscount))*'1Day Base'!D26),2),ROUND(MinBase1Day*(1+ExpressFuelSurcharge),2),ROUND(((1-(OverNightDiscount_21_Up+FedExExrpessEarnedDiscount))*'1Day Base'!D26)*(1+ExpressFuelSurcharge),2))*(1+FedEx_Markup),2)</f>
        <v>98.81</v>
      </c>
      <c r="E29" s="275">
        <f>ROUND(IF(MinBase1Day&gt;ROUND(((1-(OverNightDiscount_21_Up+FedExExrpessEarnedDiscount))*'1Day Base'!E26),2),ROUND(MinBase1Day*(1+ExpressFuelSurcharge),2),ROUND(((1-(OverNightDiscount_21_Up+FedExExrpessEarnedDiscount))*'1Day Base'!E26)*(1+ExpressFuelSurcharge),2))*(1+FedEx_Markup),2)</f>
        <v>108.26</v>
      </c>
      <c r="F29" s="275">
        <f>ROUND(IF(MinBase1Day&gt;ROUND(((1-(OverNightDiscount_21_Up+FedExExrpessEarnedDiscount))*'1Day Base'!F26),2),ROUND(MinBase1Day*(1+ExpressFuelSurcharge),2),ROUND(((1-(OverNightDiscount_21_Up+FedExExrpessEarnedDiscount))*'1Day Base'!F26)*(1+ExpressFuelSurcharge),2))*(1+FedEx_Markup),2)</f>
        <v>112.3</v>
      </c>
      <c r="G29" s="275">
        <f>ROUND(IF(MinBase1Day&gt;ROUND(((1-(OverNightDiscount_21_Up+FedExExrpessEarnedDiscount))*'1Day Base'!G26),2),ROUND(MinBase1Day*(1+ExpressFuelSurcharge),2),ROUND(((1-(OverNightDiscount_21_Up+FedExExrpessEarnedDiscount))*'1Day Base'!G26)*(1+ExpressFuelSurcharge),2))*(1+FedEx_Markup),2)</f>
        <v>123.37</v>
      </c>
      <c r="H29" s="275">
        <f>ROUND(IF(MinBase1Day&gt;ROUND(((1-(OverNightDiscount_21_Up+FedExExrpessEarnedDiscount))*'1Day Base'!H26),2),ROUND(MinBase1Day*(1+ExpressFuelSurcharge),2),ROUND(((1-(OverNightDiscount_21_Up+FedExExrpessEarnedDiscount))*'1Day Base'!H26)*(1+ExpressFuelSurcharge),2))*(1+FedEx_Markup),2)</f>
        <v>126.97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74">
        <v>25.0</v>
      </c>
      <c r="B30" s="275">
        <f>ROUND(IF(MinBase1Day&gt;ROUND(((1-(OverNightDiscount_21_Up+FedExExrpessEarnedDiscount))*'1Day Base'!B27),2),ROUND(MinBase1Day*(1+ExpressFuelSurcharge),2),ROUND(((1-(OverNightDiscount_21_Up+FedExExrpessEarnedDiscount))*'1Day Base'!B27)*(1+ExpressFuelSurcharge),2))*(1+FedEx_Markup),2)</f>
        <v>37.34</v>
      </c>
      <c r="C30" s="275">
        <f>ROUND(IF(MinBase1Day&gt;ROUND(((1-(OverNightDiscount_21_Up+FedExExrpessEarnedDiscount))*'1Day Base'!C27),2),ROUND(MinBase1Day*(1+ExpressFuelSurcharge),2),ROUND(((1-(OverNightDiscount_21_Up+FedExExrpessEarnedDiscount))*'1Day Base'!C27)*(1+ExpressFuelSurcharge),2))*(1+FedEx_Markup),2)</f>
        <v>53.97</v>
      </c>
      <c r="D30" s="275">
        <f>ROUND(IF(MinBase1Day&gt;ROUND(((1-(OverNightDiscount_21_Up+FedExExrpessEarnedDiscount))*'1Day Base'!D27),2),ROUND(MinBase1Day*(1+ExpressFuelSurcharge),2),ROUND(((1-(OverNightDiscount_21_Up+FedExExrpessEarnedDiscount))*'1Day Base'!D27)*(1+ExpressFuelSurcharge),2))*(1+FedEx_Markup),2)</f>
        <v>100.86</v>
      </c>
      <c r="E30" s="275">
        <f>ROUND(IF(MinBase1Day&gt;ROUND(((1-(OverNightDiscount_21_Up+FedExExrpessEarnedDiscount))*'1Day Base'!E27),2),ROUND(MinBase1Day*(1+ExpressFuelSurcharge),2),ROUND(((1-(OverNightDiscount_21_Up+FedExExrpessEarnedDiscount))*'1Day Base'!E27)*(1+ExpressFuelSurcharge),2))*(1+FedEx_Markup),2)</f>
        <v>109.64</v>
      </c>
      <c r="F30" s="275">
        <f>ROUND(IF(MinBase1Day&gt;ROUND(((1-(OverNightDiscount_21_Up+FedExExrpessEarnedDiscount))*'1Day Base'!F27),2),ROUND(MinBase1Day*(1+ExpressFuelSurcharge),2),ROUND(((1-(OverNightDiscount_21_Up+FedExExrpessEarnedDiscount))*'1Day Base'!F27)*(1+ExpressFuelSurcharge),2))*(1+FedEx_Markup),2)</f>
        <v>113.85</v>
      </c>
      <c r="G30" s="275">
        <f>ROUND(IF(MinBase1Day&gt;ROUND(((1-(OverNightDiscount_21_Up+FedExExrpessEarnedDiscount))*'1Day Base'!G27),2),ROUND(MinBase1Day*(1+ExpressFuelSurcharge),2),ROUND(((1-(OverNightDiscount_21_Up+FedExExrpessEarnedDiscount))*'1Day Base'!G27)*(1+ExpressFuelSurcharge),2))*(1+FedEx_Markup),2)</f>
        <v>124.81</v>
      </c>
      <c r="H30" s="275">
        <f>ROUND(IF(MinBase1Day&gt;ROUND(((1-(OverNightDiscount_21_Up+FedExExrpessEarnedDiscount))*'1Day Base'!H27),2),ROUND(MinBase1Day*(1+ExpressFuelSurcharge),2),ROUND(((1-(OverNightDiscount_21_Up+FedExExrpessEarnedDiscount))*'1Day Base'!H27)*(1+ExpressFuelSurcharge),2))*(1+FedEx_Markup),2)</f>
        <v>128.67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74">
        <v>26.0</v>
      </c>
      <c r="B31" s="275">
        <f>ROUND(IF(MinBase1Day&gt;ROUND(((1-(OverNightDiscount_21_Up+FedExExrpessEarnedDiscount))*'1Day Base'!B28),2),ROUND(MinBase1Day*(1+ExpressFuelSurcharge),2),ROUND(((1-(OverNightDiscount_21_Up+FedExExrpessEarnedDiscount))*'1Day Base'!B28)*(1+ExpressFuelSurcharge),2))*(1+FedEx_Markup),2)</f>
        <v>37.44</v>
      </c>
      <c r="C31" s="275">
        <f>ROUND(IF(MinBase1Day&gt;ROUND(((1-(OverNightDiscount_21_Up+FedExExrpessEarnedDiscount))*'1Day Base'!C28),2),ROUND(MinBase1Day*(1+ExpressFuelSurcharge),2),ROUND(((1-(OverNightDiscount_21_Up+FedExExrpessEarnedDiscount))*'1Day Base'!C28)*(1+ExpressFuelSurcharge),2))*(1+FedEx_Markup),2)</f>
        <v>55.5</v>
      </c>
      <c r="D31" s="275">
        <f>ROUND(IF(MinBase1Day&gt;ROUND(((1-(OverNightDiscount_21_Up+FedExExrpessEarnedDiscount))*'1Day Base'!D28),2),ROUND(MinBase1Day*(1+ExpressFuelSurcharge),2),ROUND(((1-(OverNightDiscount_21_Up+FedExExrpessEarnedDiscount))*'1Day Base'!D28)*(1+ExpressFuelSurcharge),2))*(1+FedEx_Markup),2)</f>
        <v>107.16</v>
      </c>
      <c r="E31" s="275">
        <f>ROUND(IF(MinBase1Day&gt;ROUND(((1-(OverNightDiscount_21_Up+FedExExrpessEarnedDiscount))*'1Day Base'!E28),2),ROUND(MinBase1Day*(1+ExpressFuelSurcharge),2),ROUND(((1-(OverNightDiscount_21_Up+FedExExrpessEarnedDiscount))*'1Day Base'!E28)*(1+ExpressFuelSurcharge),2))*(1+FedEx_Markup),2)</f>
        <v>116.55</v>
      </c>
      <c r="F31" s="275">
        <f>ROUND(IF(MinBase1Day&gt;ROUND(((1-(OverNightDiscount_21_Up+FedExExrpessEarnedDiscount))*'1Day Base'!F28),2),ROUND(MinBase1Day*(1+ExpressFuelSurcharge),2),ROUND(((1-(OverNightDiscount_21_Up+FedExExrpessEarnedDiscount))*'1Day Base'!F28)*(1+ExpressFuelSurcharge),2))*(1+FedEx_Markup),2)</f>
        <v>123.51</v>
      </c>
      <c r="G31" s="275">
        <f>ROUND(IF(MinBase1Day&gt;ROUND(((1-(OverNightDiscount_21_Up+FedExExrpessEarnedDiscount))*'1Day Base'!G28),2),ROUND(MinBase1Day*(1+ExpressFuelSurcharge),2),ROUND(((1-(OverNightDiscount_21_Up+FedExExrpessEarnedDiscount))*'1Day Base'!G28)*(1+ExpressFuelSurcharge),2))*(1+FedEx_Markup),2)</f>
        <v>129.35</v>
      </c>
      <c r="H31" s="275">
        <f>ROUND(IF(MinBase1Day&gt;ROUND(((1-(OverNightDiscount_21_Up+FedExExrpessEarnedDiscount))*'1Day Base'!H28),2),ROUND(MinBase1Day*(1+ExpressFuelSurcharge),2),ROUND(((1-(OverNightDiscount_21_Up+FedExExrpessEarnedDiscount))*'1Day Base'!H28)*(1+ExpressFuelSurcharge),2))*(1+FedEx_Markup),2)</f>
        <v>134.19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274">
        <v>27.0</v>
      </c>
      <c r="B32" s="275">
        <f>ROUND(IF(MinBase1Day&gt;ROUND(((1-(OverNightDiscount_21_Up+FedExExrpessEarnedDiscount))*'1Day Base'!B29),2),ROUND(MinBase1Day*(1+ExpressFuelSurcharge),2),ROUND(((1-(OverNightDiscount_21_Up+FedExExrpessEarnedDiscount))*'1Day Base'!B29)*(1+ExpressFuelSurcharge),2))*(1+FedEx_Markup),2)</f>
        <v>39.15</v>
      </c>
      <c r="C32" s="275">
        <f>ROUND(IF(MinBase1Day&gt;ROUND(((1-(OverNightDiscount_21_Up+FedExExrpessEarnedDiscount))*'1Day Base'!C29),2),ROUND(MinBase1Day*(1+ExpressFuelSurcharge),2),ROUND(((1-(OverNightDiscount_21_Up+FedExExrpessEarnedDiscount))*'1Day Base'!C29)*(1+ExpressFuelSurcharge),2))*(1+FedEx_Markup),2)</f>
        <v>57.03</v>
      </c>
      <c r="D32" s="275">
        <f>ROUND(IF(MinBase1Day&gt;ROUND(((1-(OverNightDiscount_21_Up+FedExExrpessEarnedDiscount))*'1Day Base'!D29),2),ROUND(MinBase1Day*(1+ExpressFuelSurcharge),2),ROUND(((1-(OverNightDiscount_21_Up+FedExExrpessEarnedDiscount))*'1Day Base'!D29)*(1+ExpressFuelSurcharge),2))*(1+FedEx_Markup),2)</f>
        <v>108.96</v>
      </c>
      <c r="E32" s="275">
        <f>ROUND(IF(MinBase1Day&gt;ROUND(((1-(OverNightDiscount_21_Up+FedExExrpessEarnedDiscount))*'1Day Base'!E29),2),ROUND(MinBase1Day*(1+ExpressFuelSurcharge),2),ROUND(((1-(OverNightDiscount_21_Up+FedExExrpessEarnedDiscount))*'1Day Base'!E29)*(1+ExpressFuelSurcharge),2))*(1+FedEx_Markup),2)</f>
        <v>117.45</v>
      </c>
      <c r="F32" s="275">
        <f>ROUND(IF(MinBase1Day&gt;ROUND(((1-(OverNightDiscount_21_Up+FedExExrpessEarnedDiscount))*'1Day Base'!F29),2),ROUND(MinBase1Day*(1+ExpressFuelSurcharge),2),ROUND(((1-(OverNightDiscount_21_Up+FedExExrpessEarnedDiscount))*'1Day Base'!F29)*(1+ExpressFuelSurcharge),2))*(1+FedEx_Markup),2)</f>
        <v>124.94</v>
      </c>
      <c r="G32" s="275">
        <f>ROUND(IF(MinBase1Day&gt;ROUND(((1-(OverNightDiscount_21_Up+FedExExrpessEarnedDiscount))*'1Day Base'!G29),2),ROUND(MinBase1Day*(1+ExpressFuelSurcharge),2),ROUND(((1-(OverNightDiscount_21_Up+FedExExrpessEarnedDiscount))*'1Day Base'!G29)*(1+ExpressFuelSurcharge),2))*(1+FedEx_Markup),2)</f>
        <v>131.46</v>
      </c>
      <c r="H32" s="275">
        <f>ROUND(IF(MinBase1Day&gt;ROUND(((1-(OverNightDiscount_21_Up+FedExExrpessEarnedDiscount))*'1Day Base'!H29),2),ROUND(MinBase1Day*(1+ExpressFuelSurcharge),2),ROUND(((1-(OverNightDiscount_21_Up+FedExExrpessEarnedDiscount))*'1Day Base'!H29)*(1+ExpressFuelSurcharge),2))*(1+FedEx_Markup),2)</f>
        <v>140.54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274">
        <v>28.0</v>
      </c>
      <c r="B33" s="275">
        <f>ROUND(IF(MinBase1Day&gt;ROUND(((1-(OverNightDiscount_21_Up+FedExExrpessEarnedDiscount))*'1Day Base'!B30),2),ROUND(MinBase1Day*(1+ExpressFuelSurcharge),2),ROUND(((1-(OverNightDiscount_21_Up+FedExExrpessEarnedDiscount))*'1Day Base'!B30)*(1+ExpressFuelSurcharge),2))*(1+FedEx_Markup),2)</f>
        <v>39.32</v>
      </c>
      <c r="C33" s="275">
        <f>ROUND(IF(MinBase1Day&gt;ROUND(((1-(OverNightDiscount_21_Up+FedExExrpessEarnedDiscount))*'1Day Base'!C30),2),ROUND(MinBase1Day*(1+ExpressFuelSurcharge),2),ROUND(((1-(OverNightDiscount_21_Up+FedExExrpessEarnedDiscount))*'1Day Base'!C30)*(1+ExpressFuelSurcharge),2))*(1+FedEx_Markup),2)</f>
        <v>58.51</v>
      </c>
      <c r="D33" s="275">
        <f>ROUND(IF(MinBase1Day&gt;ROUND(((1-(OverNightDiscount_21_Up+FedExExrpessEarnedDiscount))*'1Day Base'!D30),2),ROUND(MinBase1Day*(1+ExpressFuelSurcharge),2),ROUND(((1-(OverNightDiscount_21_Up+FedExExrpessEarnedDiscount))*'1Day Base'!D30)*(1+ExpressFuelSurcharge),2))*(1+FedEx_Markup),2)</f>
        <v>112.1</v>
      </c>
      <c r="E33" s="275">
        <f>ROUND(IF(MinBase1Day&gt;ROUND(((1-(OverNightDiscount_21_Up+FedExExrpessEarnedDiscount))*'1Day Base'!E30),2),ROUND(MinBase1Day*(1+ExpressFuelSurcharge),2),ROUND(((1-(OverNightDiscount_21_Up+FedExExrpessEarnedDiscount))*'1Day Base'!E30)*(1+ExpressFuelSurcharge),2))*(1+FedEx_Markup),2)</f>
        <v>120.8</v>
      </c>
      <c r="F33" s="275">
        <f>ROUND(IF(MinBase1Day&gt;ROUND(((1-(OverNightDiscount_21_Up+FedExExrpessEarnedDiscount))*'1Day Base'!F30),2),ROUND(MinBase1Day*(1+ExpressFuelSurcharge),2),ROUND(((1-(OverNightDiscount_21_Up+FedExExrpessEarnedDiscount))*'1Day Base'!F30)*(1+ExpressFuelSurcharge),2))*(1+FedEx_Markup),2)</f>
        <v>125.84</v>
      </c>
      <c r="G33" s="275">
        <f>ROUND(IF(MinBase1Day&gt;ROUND(((1-(OverNightDiscount_21_Up+FedExExrpessEarnedDiscount))*'1Day Base'!G30),2),ROUND(MinBase1Day*(1+ExpressFuelSurcharge),2),ROUND(((1-(OverNightDiscount_21_Up+FedExExrpessEarnedDiscount))*'1Day Base'!G30)*(1+ExpressFuelSurcharge),2))*(1+FedEx_Markup),2)</f>
        <v>134.54</v>
      </c>
      <c r="H33" s="275">
        <f>ROUND(IF(MinBase1Day&gt;ROUND(((1-(OverNightDiscount_21_Up+FedExExrpessEarnedDiscount))*'1Day Base'!H30),2),ROUND(MinBase1Day*(1+ExpressFuelSurcharge),2),ROUND(((1-(OverNightDiscount_21_Up+FedExExrpessEarnedDiscount))*'1Day Base'!H30)*(1+ExpressFuelSurcharge),2))*(1+FedEx_Markup),2)</f>
        <v>144.23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274">
        <v>29.0</v>
      </c>
      <c r="B34" s="275">
        <f>ROUND(IF(MinBase1Day&gt;ROUND(((1-(OverNightDiscount_21_Up+FedExExrpessEarnedDiscount))*'1Day Base'!B31),2),ROUND(MinBase1Day*(1+ExpressFuelSurcharge),2),ROUND(((1-(OverNightDiscount_21_Up+FedExExrpessEarnedDiscount))*'1Day Base'!B31)*(1+ExpressFuelSurcharge),2))*(1+FedEx_Markup),2)</f>
        <v>40.08</v>
      </c>
      <c r="C34" s="275">
        <f>ROUND(IF(MinBase1Day&gt;ROUND(((1-(OverNightDiscount_21_Up+FedExExrpessEarnedDiscount))*'1Day Base'!C31),2),ROUND(MinBase1Day*(1+ExpressFuelSurcharge),2),ROUND(((1-(OverNightDiscount_21_Up+FedExExrpessEarnedDiscount))*'1Day Base'!C31)*(1+ExpressFuelSurcharge),2))*(1+FedEx_Markup),2)</f>
        <v>58.66</v>
      </c>
      <c r="D34" s="275">
        <f>ROUND(IF(MinBase1Day&gt;ROUND(((1-(OverNightDiscount_21_Up+FedExExrpessEarnedDiscount))*'1Day Base'!D31),2),ROUND(MinBase1Day*(1+ExpressFuelSurcharge),2),ROUND(((1-(OverNightDiscount_21_Up+FedExExrpessEarnedDiscount))*'1Day Base'!D31)*(1+ExpressFuelSurcharge),2))*(1+FedEx_Markup),2)</f>
        <v>114.84</v>
      </c>
      <c r="E34" s="275">
        <f>ROUND(IF(MinBase1Day&gt;ROUND(((1-(OverNightDiscount_21_Up+FedExExrpessEarnedDiscount))*'1Day Base'!E31),2),ROUND(MinBase1Day*(1+ExpressFuelSurcharge),2),ROUND(((1-(OverNightDiscount_21_Up+FedExExrpessEarnedDiscount))*'1Day Base'!E31)*(1+ExpressFuelSurcharge),2))*(1+FedEx_Markup),2)</f>
        <v>121.5</v>
      </c>
      <c r="F34" s="275">
        <f>ROUND(IF(MinBase1Day&gt;ROUND(((1-(OverNightDiscount_21_Up+FedExExrpessEarnedDiscount))*'1Day Base'!F31),2),ROUND(MinBase1Day*(1+ExpressFuelSurcharge),2),ROUND(((1-(OverNightDiscount_21_Up+FedExExrpessEarnedDiscount))*'1Day Base'!F31)*(1+ExpressFuelSurcharge),2))*(1+FedEx_Markup),2)</f>
        <v>125.96</v>
      </c>
      <c r="G34" s="275">
        <f>ROUND(IF(MinBase1Day&gt;ROUND(((1-(OverNightDiscount_21_Up+FedExExrpessEarnedDiscount))*'1Day Base'!G31),2),ROUND(MinBase1Day*(1+ExpressFuelSurcharge),2),ROUND(((1-(OverNightDiscount_21_Up+FedExExrpessEarnedDiscount))*'1Day Base'!G31)*(1+ExpressFuelSurcharge),2))*(1+FedEx_Markup),2)</f>
        <v>138.64</v>
      </c>
      <c r="H34" s="275">
        <f>ROUND(IF(MinBase1Day&gt;ROUND(((1-(OverNightDiscount_21_Up+FedExExrpessEarnedDiscount))*'1Day Base'!H31),2),ROUND(MinBase1Day*(1+ExpressFuelSurcharge),2),ROUND(((1-(OverNightDiscount_21_Up+FedExExrpessEarnedDiscount))*'1Day Base'!H31)*(1+ExpressFuelSurcharge),2))*(1+FedEx_Markup),2)</f>
        <v>145.03</v>
      </c>
    </row>
    <row r="35" ht="12.75" customHeight="1">
      <c r="A35" s="274">
        <v>30.0</v>
      </c>
      <c r="B35" s="275">
        <f>ROUND(IF(MinBase1Day&gt;ROUND(((1-(OverNightDiscount_21_Up+FedExExrpessEarnedDiscount))*'1Day Base'!B32),2),ROUND(MinBase1Day*(1+ExpressFuelSurcharge),2),ROUND(((1-(OverNightDiscount_21_Up+FedExExrpessEarnedDiscount))*'1Day Base'!B32)*(1+ExpressFuelSurcharge),2))*(1+FedEx_Markup),2)</f>
        <v>41.91</v>
      </c>
      <c r="C35" s="275">
        <f>ROUND(IF(MinBase1Day&gt;ROUND(((1-(OverNightDiscount_21_Up+FedExExrpessEarnedDiscount))*'1Day Base'!C32),2),ROUND(MinBase1Day*(1+ExpressFuelSurcharge),2),ROUND(((1-(OverNightDiscount_21_Up+FedExExrpessEarnedDiscount))*'1Day Base'!C32)*(1+ExpressFuelSurcharge),2))*(1+FedEx_Markup),2)</f>
        <v>60.26</v>
      </c>
      <c r="D35" s="275">
        <f>ROUND(IF(MinBase1Day&gt;ROUND(((1-(OverNightDiscount_21_Up+FedExExrpessEarnedDiscount))*'1Day Base'!D32),2),ROUND(MinBase1Day*(1+ExpressFuelSurcharge),2),ROUND(((1-(OverNightDiscount_21_Up+FedExExrpessEarnedDiscount))*'1Day Base'!D32)*(1+ExpressFuelSurcharge),2))*(1+FedEx_Markup),2)</f>
        <v>116.21</v>
      </c>
      <c r="E35" s="275">
        <f>ROUND(IF(MinBase1Day&gt;ROUND(((1-(OverNightDiscount_21_Up+FedExExrpessEarnedDiscount))*'1Day Base'!E32),2),ROUND(MinBase1Day*(1+ExpressFuelSurcharge),2),ROUND(((1-(OverNightDiscount_21_Up+FedExExrpessEarnedDiscount))*'1Day Base'!E32)*(1+ExpressFuelSurcharge),2))*(1+FedEx_Markup),2)</f>
        <v>122.64</v>
      </c>
      <c r="F35" s="275">
        <f>ROUND(IF(MinBase1Day&gt;ROUND(((1-(OverNightDiscount_21_Up+FedExExrpessEarnedDiscount))*'1Day Base'!F32),2),ROUND(MinBase1Day*(1+ExpressFuelSurcharge),2),ROUND(((1-(OverNightDiscount_21_Up+FedExExrpessEarnedDiscount))*'1Day Base'!F32)*(1+ExpressFuelSurcharge),2))*(1+FedEx_Markup),2)</f>
        <v>127.74</v>
      </c>
      <c r="G35" s="275">
        <f>ROUND(IF(MinBase1Day&gt;ROUND(((1-(OverNightDiscount_21_Up+FedExExrpessEarnedDiscount))*'1Day Base'!G32),2),ROUND(MinBase1Day*(1+ExpressFuelSurcharge),2),ROUND(((1-(OverNightDiscount_21_Up+FedExExrpessEarnedDiscount))*'1Day Base'!G32)*(1+ExpressFuelSurcharge),2))*(1+FedEx_Markup),2)</f>
        <v>139.27</v>
      </c>
      <c r="H35" s="275">
        <f>ROUND(IF(MinBase1Day&gt;ROUND(((1-(OverNightDiscount_21_Up+FedExExrpessEarnedDiscount))*'1Day Base'!H32),2),ROUND(MinBase1Day*(1+ExpressFuelSurcharge),2),ROUND(((1-(OverNightDiscount_21_Up+FedExExrpessEarnedDiscount))*'1Day Base'!H32)*(1+ExpressFuelSurcharge),2))*(1+FedEx_Markup),2)</f>
        <v>146.69</v>
      </c>
    </row>
    <row r="36" ht="12.75" customHeight="1">
      <c r="A36" s="274">
        <v>31.0</v>
      </c>
      <c r="B36" s="275">
        <f>ROUND(IF(MinBase1Day&gt;ROUND(((1-(OverNightDiscount_21_Up+FedExExrpessEarnedDiscount))*'1Day Base'!B33),2),ROUND(MinBase1Day*(1+ExpressFuelSurcharge),2),ROUND(((1-(OverNightDiscount_21_Up+FedExExrpessEarnedDiscount))*'1Day Base'!B33)*(1+ExpressFuelSurcharge),2))*(1+FedEx_Markup),2)</f>
        <v>42.69</v>
      </c>
      <c r="C36" s="275">
        <f>ROUND(IF(MinBase1Day&gt;ROUND(((1-(OverNightDiscount_21_Up+FedExExrpessEarnedDiscount))*'1Day Base'!C33),2),ROUND(MinBase1Day*(1+ExpressFuelSurcharge),2),ROUND(((1-(OverNightDiscount_21_Up+FedExExrpessEarnedDiscount))*'1Day Base'!C33)*(1+ExpressFuelSurcharge),2))*(1+FedEx_Markup),2)</f>
        <v>60.96</v>
      </c>
      <c r="D36" s="275">
        <f>ROUND(IF(MinBase1Day&gt;ROUND(((1-(OverNightDiscount_21_Up+FedExExrpessEarnedDiscount))*'1Day Base'!D33),2),ROUND(MinBase1Day*(1+ExpressFuelSurcharge),2),ROUND(((1-(OverNightDiscount_21_Up+FedExExrpessEarnedDiscount))*'1Day Base'!D33)*(1+ExpressFuelSurcharge),2))*(1+FedEx_Markup),2)</f>
        <v>120.07</v>
      </c>
      <c r="E36" s="275">
        <f>ROUND(IF(MinBase1Day&gt;ROUND(((1-(OverNightDiscount_21_Up+FedExExrpessEarnedDiscount))*'1Day Base'!E33),2),ROUND(MinBase1Day*(1+ExpressFuelSurcharge),2),ROUND(((1-(OverNightDiscount_21_Up+FedExExrpessEarnedDiscount))*'1Day Base'!E33)*(1+ExpressFuelSurcharge),2))*(1+FedEx_Markup),2)</f>
        <v>128.46</v>
      </c>
      <c r="F36" s="275">
        <f>ROUND(IF(MinBase1Day&gt;ROUND(((1-(OverNightDiscount_21_Up+FedExExrpessEarnedDiscount))*'1Day Base'!F33),2),ROUND(MinBase1Day*(1+ExpressFuelSurcharge),2),ROUND(((1-(OverNightDiscount_21_Up+FedExExrpessEarnedDiscount))*'1Day Base'!F33)*(1+ExpressFuelSurcharge),2))*(1+FedEx_Markup),2)</f>
        <v>137.76</v>
      </c>
      <c r="G36" s="275">
        <f>ROUND(IF(MinBase1Day&gt;ROUND(((1-(OverNightDiscount_21_Up+FedExExrpessEarnedDiscount))*'1Day Base'!G33),2),ROUND(MinBase1Day*(1+ExpressFuelSurcharge),2),ROUND(((1-(OverNightDiscount_21_Up+FedExExrpessEarnedDiscount))*'1Day Base'!G33)*(1+ExpressFuelSurcharge),2))*(1+FedEx_Markup),2)</f>
        <v>144.3</v>
      </c>
      <c r="H36" s="275">
        <f>ROUND(IF(MinBase1Day&gt;ROUND(((1-(OverNightDiscount_21_Up+FedExExrpessEarnedDiscount))*'1Day Base'!H33),2),ROUND(MinBase1Day*(1+ExpressFuelSurcharge),2),ROUND(((1-(OverNightDiscount_21_Up+FedExExrpessEarnedDiscount))*'1Day Base'!H33)*(1+ExpressFuelSurcharge),2))*(1+FedEx_Markup),2)</f>
        <v>151.01</v>
      </c>
    </row>
    <row r="37" ht="12.75" customHeight="1">
      <c r="A37" s="274">
        <v>32.0</v>
      </c>
      <c r="B37" s="275">
        <f>ROUND(IF(MinBase1Day&gt;ROUND(((1-(OverNightDiscount_21_Up+FedExExrpessEarnedDiscount))*'1Day Base'!B34),2),ROUND(MinBase1Day*(1+ExpressFuelSurcharge),2),ROUND(((1-(OverNightDiscount_21_Up+FedExExrpessEarnedDiscount))*'1Day Base'!B34)*(1+ExpressFuelSurcharge),2))*(1+FedEx_Markup),2)</f>
        <v>43.57</v>
      </c>
      <c r="C37" s="275">
        <f>ROUND(IF(MinBase1Day&gt;ROUND(((1-(OverNightDiscount_21_Up+FedExExrpessEarnedDiscount))*'1Day Base'!C34),2),ROUND(MinBase1Day*(1+ExpressFuelSurcharge),2),ROUND(((1-(OverNightDiscount_21_Up+FedExExrpessEarnedDiscount))*'1Day Base'!C34)*(1+ExpressFuelSurcharge),2))*(1+FedEx_Markup),2)</f>
        <v>62.01</v>
      </c>
      <c r="D37" s="275">
        <f>ROUND(IF(MinBase1Day&gt;ROUND(((1-(OverNightDiscount_21_Up+FedExExrpessEarnedDiscount))*'1Day Base'!D34),2),ROUND(MinBase1Day*(1+ExpressFuelSurcharge),2),ROUND(((1-(OverNightDiscount_21_Up+FedExExrpessEarnedDiscount))*'1Day Base'!D34)*(1+ExpressFuelSurcharge),2))*(1+FedEx_Markup),2)</f>
        <v>122.68</v>
      </c>
      <c r="E37" s="275">
        <f>ROUND(IF(MinBase1Day&gt;ROUND(((1-(OverNightDiscount_21_Up+FedExExrpessEarnedDiscount))*'1Day Base'!E34),2),ROUND(MinBase1Day*(1+ExpressFuelSurcharge),2),ROUND(((1-(OverNightDiscount_21_Up+FedExExrpessEarnedDiscount))*'1Day Base'!E34)*(1+ExpressFuelSurcharge),2))*(1+FedEx_Markup),2)</f>
        <v>130.27</v>
      </c>
      <c r="F37" s="275">
        <f>ROUND(IF(MinBase1Day&gt;ROUND(((1-(OverNightDiscount_21_Up+FedExExrpessEarnedDiscount))*'1Day Base'!F34),2),ROUND(MinBase1Day*(1+ExpressFuelSurcharge),2),ROUND(((1-(OverNightDiscount_21_Up+FedExExrpessEarnedDiscount))*'1Day Base'!F34)*(1+ExpressFuelSurcharge),2))*(1+FedEx_Markup),2)</f>
        <v>140.5</v>
      </c>
      <c r="G37" s="275">
        <f>ROUND(IF(MinBase1Day&gt;ROUND(((1-(OverNightDiscount_21_Up+FedExExrpessEarnedDiscount))*'1Day Base'!G34),2),ROUND(MinBase1Day*(1+ExpressFuelSurcharge),2),ROUND(((1-(OverNightDiscount_21_Up+FedExExrpessEarnedDiscount))*'1Day Base'!G34)*(1+ExpressFuelSurcharge),2))*(1+FedEx_Markup),2)</f>
        <v>145.04</v>
      </c>
      <c r="H37" s="275">
        <f>ROUND(IF(MinBase1Day&gt;ROUND(((1-(OverNightDiscount_21_Up+FedExExrpessEarnedDiscount))*'1Day Base'!H34),2),ROUND(MinBase1Day*(1+ExpressFuelSurcharge),2),ROUND(((1-(OverNightDiscount_21_Up+FedExExrpessEarnedDiscount))*'1Day Base'!H34)*(1+ExpressFuelSurcharge),2))*(1+FedEx_Markup),2)</f>
        <v>155.03</v>
      </c>
    </row>
    <row r="38" ht="12.75" customHeight="1">
      <c r="A38" s="274">
        <v>33.0</v>
      </c>
      <c r="B38" s="275">
        <f>ROUND(IF(MinBase1Day&gt;ROUND(((1-(OverNightDiscount_21_Up+FedExExrpessEarnedDiscount))*'1Day Base'!B35),2),ROUND(MinBase1Day*(1+ExpressFuelSurcharge),2),ROUND(((1-(OverNightDiscount_21_Up+FedExExrpessEarnedDiscount))*'1Day Base'!B35)*(1+ExpressFuelSurcharge),2))*(1+FedEx_Markup),2)</f>
        <v>44.53</v>
      </c>
      <c r="C38" s="275">
        <f>ROUND(IF(MinBase1Day&gt;ROUND(((1-(OverNightDiscount_21_Up+FedExExrpessEarnedDiscount))*'1Day Base'!C35),2),ROUND(MinBase1Day*(1+ExpressFuelSurcharge),2),ROUND(((1-(OverNightDiscount_21_Up+FedExExrpessEarnedDiscount))*'1Day Base'!C35)*(1+ExpressFuelSurcharge),2))*(1+FedEx_Markup),2)</f>
        <v>63.25</v>
      </c>
      <c r="D38" s="275">
        <f>ROUND(IF(MinBase1Day&gt;ROUND(((1-(OverNightDiscount_21_Up+FedExExrpessEarnedDiscount))*'1Day Base'!D35),2),ROUND(MinBase1Day*(1+ExpressFuelSurcharge),2),ROUND(((1-(OverNightDiscount_21_Up+FedExExrpessEarnedDiscount))*'1Day Base'!D35)*(1+ExpressFuelSurcharge),2))*(1+FedEx_Markup),2)</f>
        <v>126.39</v>
      </c>
      <c r="E38" s="275">
        <f>ROUND(IF(MinBase1Day&gt;ROUND(((1-(OverNightDiscount_21_Up+FedExExrpessEarnedDiscount))*'1Day Base'!E35),2),ROUND(MinBase1Day*(1+ExpressFuelSurcharge),2),ROUND(((1-(OverNightDiscount_21_Up+FedExExrpessEarnedDiscount))*'1Day Base'!E35)*(1+ExpressFuelSurcharge),2))*(1+FedEx_Markup),2)</f>
        <v>134.63</v>
      </c>
      <c r="F38" s="275">
        <f>ROUND(IF(MinBase1Day&gt;ROUND(((1-(OverNightDiscount_21_Up+FedExExrpessEarnedDiscount))*'1Day Base'!F35),2),ROUND(MinBase1Day*(1+ExpressFuelSurcharge),2),ROUND(((1-(OverNightDiscount_21_Up+FedExExrpessEarnedDiscount))*'1Day Base'!F35)*(1+ExpressFuelSurcharge),2))*(1+FedEx_Markup),2)</f>
        <v>141.78</v>
      </c>
      <c r="G38" s="275">
        <f>ROUND(IF(MinBase1Day&gt;ROUND(((1-(OverNightDiscount_21_Up+FedExExrpessEarnedDiscount))*'1Day Base'!G35),2),ROUND(MinBase1Day*(1+ExpressFuelSurcharge),2),ROUND(((1-(OverNightDiscount_21_Up+FedExExrpessEarnedDiscount))*'1Day Base'!G35)*(1+ExpressFuelSurcharge),2))*(1+FedEx_Markup),2)</f>
        <v>152.66</v>
      </c>
      <c r="H38" s="275">
        <f>ROUND(IF(MinBase1Day&gt;ROUND(((1-(OverNightDiscount_21_Up+FedExExrpessEarnedDiscount))*'1Day Base'!H35),2),ROUND(MinBase1Day*(1+ExpressFuelSurcharge),2),ROUND(((1-(OverNightDiscount_21_Up+FedExExrpessEarnedDiscount))*'1Day Base'!H35)*(1+ExpressFuelSurcharge),2))*(1+FedEx_Markup),2)</f>
        <v>159.99</v>
      </c>
    </row>
    <row r="39" ht="12.75" customHeight="1">
      <c r="A39" s="274">
        <v>34.0</v>
      </c>
      <c r="B39" s="275">
        <f>ROUND(IF(MinBase1Day&gt;ROUND(((1-(OverNightDiscount_21_Up+FedExExrpessEarnedDiscount))*'1Day Base'!B36),2),ROUND(MinBase1Day*(1+ExpressFuelSurcharge),2),ROUND(((1-(OverNightDiscount_21_Up+FedExExrpessEarnedDiscount))*'1Day Base'!B36)*(1+ExpressFuelSurcharge),2))*(1+FedEx_Markup),2)</f>
        <v>45.31</v>
      </c>
      <c r="C39" s="275">
        <f>ROUND(IF(MinBase1Day&gt;ROUND(((1-(OverNightDiscount_21_Up+FedExExrpessEarnedDiscount))*'1Day Base'!C36),2),ROUND(MinBase1Day*(1+ExpressFuelSurcharge),2),ROUND(((1-(OverNightDiscount_21_Up+FedExExrpessEarnedDiscount))*'1Day Base'!C36)*(1+ExpressFuelSurcharge),2))*(1+FedEx_Markup),2)</f>
        <v>64.66</v>
      </c>
      <c r="D39" s="275">
        <f>ROUND(IF(MinBase1Day&gt;ROUND(((1-(OverNightDiscount_21_Up+FedExExrpessEarnedDiscount))*'1Day Base'!D36),2),ROUND(MinBase1Day*(1+ExpressFuelSurcharge),2),ROUND(((1-(OverNightDiscount_21_Up+FedExExrpessEarnedDiscount))*'1Day Base'!D36)*(1+ExpressFuelSurcharge),2))*(1+FedEx_Markup),2)</f>
        <v>129.25</v>
      </c>
      <c r="E39" s="275">
        <f>ROUND(IF(MinBase1Day&gt;ROUND(((1-(OverNightDiscount_21_Up+FedExExrpessEarnedDiscount))*'1Day Base'!E36),2),ROUND(MinBase1Day*(1+ExpressFuelSurcharge),2),ROUND(((1-(OverNightDiscount_21_Up+FedExExrpessEarnedDiscount))*'1Day Base'!E36)*(1+ExpressFuelSurcharge),2))*(1+FedEx_Markup),2)</f>
        <v>138.36</v>
      </c>
      <c r="F39" s="275">
        <f>ROUND(IF(MinBase1Day&gt;ROUND(((1-(OverNightDiscount_21_Up+FedExExrpessEarnedDiscount))*'1Day Base'!F36),2),ROUND(MinBase1Day*(1+ExpressFuelSurcharge),2),ROUND(((1-(OverNightDiscount_21_Up+FedExExrpessEarnedDiscount))*'1Day Base'!F36)*(1+ExpressFuelSurcharge),2))*(1+FedEx_Markup),2)</f>
        <v>143.41</v>
      </c>
      <c r="G39" s="275">
        <f>ROUND(IF(MinBase1Day&gt;ROUND(((1-(OverNightDiscount_21_Up+FedExExrpessEarnedDiscount))*'1Day Base'!G36),2),ROUND(MinBase1Day*(1+ExpressFuelSurcharge),2),ROUND(((1-(OverNightDiscount_21_Up+FedExExrpessEarnedDiscount))*'1Day Base'!G36)*(1+ExpressFuelSurcharge),2))*(1+FedEx_Markup),2)</f>
        <v>157.47</v>
      </c>
      <c r="H39" s="275">
        <f>ROUND(IF(MinBase1Day&gt;ROUND(((1-(OverNightDiscount_21_Up+FedExExrpessEarnedDiscount))*'1Day Base'!H36),2),ROUND(MinBase1Day*(1+ExpressFuelSurcharge),2),ROUND(((1-(OverNightDiscount_21_Up+FedExExrpessEarnedDiscount))*'1Day Base'!H36)*(1+ExpressFuelSurcharge),2))*(1+FedEx_Markup),2)</f>
        <v>162.28</v>
      </c>
    </row>
    <row r="40" ht="12.75" customHeight="1">
      <c r="A40" s="274">
        <v>35.0</v>
      </c>
      <c r="B40" s="275">
        <f>ROUND(IF(MinBase1Day&gt;ROUND(((1-(OverNightDiscount_21_Up+FedExExrpessEarnedDiscount))*'1Day Base'!B37),2),ROUND(MinBase1Day*(1+ExpressFuelSurcharge),2),ROUND(((1-(OverNightDiscount_21_Up+FedExExrpessEarnedDiscount))*'1Day Base'!B37)*(1+ExpressFuelSurcharge),2))*(1+FedEx_Markup),2)</f>
        <v>46.6</v>
      </c>
      <c r="C40" s="275">
        <f>ROUND(IF(MinBase1Day&gt;ROUND(((1-(OverNightDiscount_21_Up+FedExExrpessEarnedDiscount))*'1Day Base'!C37),2),ROUND(MinBase1Day*(1+ExpressFuelSurcharge),2),ROUND(((1-(OverNightDiscount_21_Up+FedExExrpessEarnedDiscount))*'1Day Base'!C37)*(1+ExpressFuelSurcharge),2))*(1+FedEx_Markup),2)</f>
        <v>65.94</v>
      </c>
      <c r="D40" s="275">
        <f>ROUND(IF(MinBase1Day&gt;ROUND(((1-(OverNightDiscount_21_Up+FedExExrpessEarnedDiscount))*'1Day Base'!D37),2),ROUND(MinBase1Day*(1+ExpressFuelSurcharge),2),ROUND(((1-(OverNightDiscount_21_Up+FedExExrpessEarnedDiscount))*'1Day Base'!D37)*(1+ExpressFuelSurcharge),2))*(1+FedEx_Markup),2)</f>
        <v>129.54</v>
      </c>
      <c r="E40" s="275">
        <f>ROUND(IF(MinBase1Day&gt;ROUND(((1-(OverNightDiscount_21_Up+FedExExrpessEarnedDiscount))*'1Day Base'!E37),2),ROUND(MinBase1Day*(1+ExpressFuelSurcharge),2),ROUND(((1-(OverNightDiscount_21_Up+FedExExrpessEarnedDiscount))*'1Day Base'!E37)*(1+ExpressFuelSurcharge),2))*(1+FedEx_Markup),2)</f>
        <v>140.6</v>
      </c>
      <c r="F40" s="275">
        <f>ROUND(IF(MinBase1Day&gt;ROUND(((1-(OverNightDiscount_21_Up+FedExExrpessEarnedDiscount))*'1Day Base'!F37),2),ROUND(MinBase1Day*(1+ExpressFuelSurcharge),2),ROUND(((1-(OverNightDiscount_21_Up+FedExExrpessEarnedDiscount))*'1Day Base'!F37)*(1+ExpressFuelSurcharge),2))*(1+FedEx_Markup),2)</f>
        <v>143.67</v>
      </c>
      <c r="G40" s="275">
        <f>ROUND(IF(MinBase1Day&gt;ROUND(((1-(OverNightDiscount_21_Up+FedExExrpessEarnedDiscount))*'1Day Base'!G37),2),ROUND(MinBase1Day*(1+ExpressFuelSurcharge),2),ROUND(((1-(OverNightDiscount_21_Up+FedExExrpessEarnedDiscount))*'1Day Base'!G37)*(1+ExpressFuelSurcharge),2))*(1+FedEx_Markup),2)</f>
        <v>160.48</v>
      </c>
      <c r="H40" s="275">
        <f>ROUND(IF(MinBase1Day&gt;ROUND(((1-(OverNightDiscount_21_Up+FedExExrpessEarnedDiscount))*'1Day Base'!H37),2),ROUND(MinBase1Day*(1+ExpressFuelSurcharge),2),ROUND(((1-(OverNightDiscount_21_Up+FedExExrpessEarnedDiscount))*'1Day Base'!H37)*(1+ExpressFuelSurcharge),2))*(1+FedEx_Markup),2)</f>
        <v>163.86</v>
      </c>
    </row>
    <row r="41" ht="12.75" customHeight="1">
      <c r="A41" s="274">
        <v>36.0</v>
      </c>
      <c r="B41" s="275">
        <f>ROUND(IF(MinBase1Day&gt;ROUND(((1-(OverNightDiscount_21_Up+FedExExrpessEarnedDiscount))*'1Day Base'!B38),2),ROUND(MinBase1Day*(1+ExpressFuelSurcharge),2),ROUND(((1-(OverNightDiscount_21_Up+FedExExrpessEarnedDiscount))*'1Day Base'!B38)*(1+ExpressFuelSurcharge),2))*(1+FedEx_Markup),2)</f>
        <v>46.89</v>
      </c>
      <c r="C41" s="275">
        <f>ROUND(IF(MinBase1Day&gt;ROUND(((1-(OverNightDiscount_21_Up+FedExExrpessEarnedDiscount))*'1Day Base'!C38),2),ROUND(MinBase1Day*(1+ExpressFuelSurcharge),2),ROUND(((1-(OverNightDiscount_21_Up+FedExExrpessEarnedDiscount))*'1Day Base'!C38)*(1+ExpressFuelSurcharge),2))*(1+FedEx_Markup),2)</f>
        <v>67.36</v>
      </c>
      <c r="D41" s="275">
        <f>ROUND(IF(MinBase1Day&gt;ROUND(((1-(OverNightDiscount_21_Up+FedExExrpessEarnedDiscount))*'1Day Base'!D38),2),ROUND(MinBase1Day*(1+ExpressFuelSurcharge),2),ROUND(((1-(OverNightDiscount_21_Up+FedExExrpessEarnedDiscount))*'1Day Base'!D38)*(1+ExpressFuelSurcharge),2))*(1+FedEx_Markup),2)</f>
        <v>134.98</v>
      </c>
      <c r="E41" s="275">
        <f>ROUND(IF(MinBase1Day&gt;ROUND(((1-(OverNightDiscount_21_Up+FedExExrpessEarnedDiscount))*'1Day Base'!E38),2),ROUND(MinBase1Day*(1+ExpressFuelSurcharge),2),ROUND(((1-(OverNightDiscount_21_Up+FedExExrpessEarnedDiscount))*'1Day Base'!E38)*(1+ExpressFuelSurcharge),2))*(1+FedEx_Markup),2)</f>
        <v>142.24</v>
      </c>
      <c r="F41" s="275">
        <f>ROUND(IF(MinBase1Day&gt;ROUND(((1-(OverNightDiscount_21_Up+FedExExrpessEarnedDiscount))*'1Day Base'!F38),2),ROUND(MinBase1Day*(1+ExpressFuelSurcharge),2),ROUND(((1-(OverNightDiscount_21_Up+FedExExrpessEarnedDiscount))*'1Day Base'!F38)*(1+ExpressFuelSurcharge),2))*(1+FedEx_Markup),2)</f>
        <v>148.97</v>
      </c>
      <c r="G41" s="275">
        <f>ROUND(IF(MinBase1Day&gt;ROUND(((1-(OverNightDiscount_21_Up+FedExExrpessEarnedDiscount))*'1Day Base'!G38),2),ROUND(MinBase1Day*(1+ExpressFuelSurcharge),2),ROUND(((1-(OverNightDiscount_21_Up+FedExExrpessEarnedDiscount))*'1Day Base'!G38)*(1+ExpressFuelSurcharge),2))*(1+FedEx_Markup),2)</f>
        <v>161.43</v>
      </c>
      <c r="H41" s="275">
        <f>ROUND(IF(MinBase1Day&gt;ROUND(((1-(OverNightDiscount_21_Up+FedExExrpessEarnedDiscount))*'1Day Base'!H38),2),ROUND(MinBase1Day*(1+ExpressFuelSurcharge),2),ROUND(((1-(OverNightDiscount_21_Up+FedExExrpessEarnedDiscount))*'1Day Base'!H38)*(1+ExpressFuelSurcharge),2))*(1+FedEx_Markup),2)</f>
        <v>165.92</v>
      </c>
      <c r="L41" s="4"/>
    </row>
    <row r="42" ht="12.75" customHeight="1">
      <c r="A42" s="274">
        <v>37.0</v>
      </c>
      <c r="B42" s="275">
        <f>ROUND(IF(MinBase1Day&gt;ROUND(((1-(OverNightDiscount_21_Up+FedExExrpessEarnedDiscount))*'1Day Base'!B39),2),ROUND(MinBase1Day*(1+ExpressFuelSurcharge),2),ROUND(((1-(OverNightDiscount_21_Up+FedExExrpessEarnedDiscount))*'1Day Base'!B39)*(1+ExpressFuelSurcharge),2))*(1+FedEx_Markup),2)</f>
        <v>47</v>
      </c>
      <c r="C42" s="275">
        <f>ROUND(IF(MinBase1Day&gt;ROUND(((1-(OverNightDiscount_21_Up+FedExExrpessEarnedDiscount))*'1Day Base'!C39),2),ROUND(MinBase1Day*(1+ExpressFuelSurcharge),2),ROUND(((1-(OverNightDiscount_21_Up+FedExExrpessEarnedDiscount))*'1Day Base'!C39)*(1+ExpressFuelSurcharge),2))*(1+FedEx_Markup),2)</f>
        <v>68.26</v>
      </c>
      <c r="D42" s="275">
        <f>ROUND(IF(MinBase1Day&gt;ROUND(((1-(OverNightDiscount_21_Up+FedExExrpessEarnedDiscount))*'1Day Base'!D39),2),ROUND(MinBase1Day*(1+ExpressFuelSurcharge),2),ROUND(((1-(OverNightDiscount_21_Up+FedExExrpessEarnedDiscount))*'1Day Base'!D39)*(1+ExpressFuelSurcharge),2))*(1+FedEx_Markup),2)</f>
        <v>138.3</v>
      </c>
      <c r="E42" s="275">
        <f>ROUND(IF(MinBase1Day&gt;ROUND(((1-(OverNightDiscount_21_Up+FedExExrpessEarnedDiscount))*'1Day Base'!E39),2),ROUND(MinBase1Day*(1+ExpressFuelSurcharge),2),ROUND(((1-(OverNightDiscount_21_Up+FedExExrpessEarnedDiscount))*'1Day Base'!E39)*(1+ExpressFuelSurcharge),2))*(1+FedEx_Markup),2)</f>
        <v>146.14</v>
      </c>
      <c r="F42" s="275">
        <f>ROUND(IF(MinBase1Day&gt;ROUND(((1-(OverNightDiscount_21_Up+FedExExrpessEarnedDiscount))*'1Day Base'!F39),2),ROUND(MinBase1Day*(1+ExpressFuelSurcharge),2),ROUND(((1-(OverNightDiscount_21_Up+FedExExrpessEarnedDiscount))*'1Day Base'!F39)*(1+ExpressFuelSurcharge),2))*(1+FedEx_Markup),2)</f>
        <v>156.61</v>
      </c>
      <c r="G42" s="275">
        <f>ROUND(IF(MinBase1Day&gt;ROUND(((1-(OverNightDiscount_21_Up+FedExExrpessEarnedDiscount))*'1Day Base'!G39),2),ROUND(MinBase1Day*(1+ExpressFuelSurcharge),2),ROUND(((1-(OverNightDiscount_21_Up+FedExExrpessEarnedDiscount))*'1Day Base'!G39)*(1+ExpressFuelSurcharge),2))*(1+FedEx_Markup),2)</f>
        <v>166.76</v>
      </c>
      <c r="H42" s="275">
        <f>ROUND(IF(MinBase1Day&gt;ROUND(((1-(OverNightDiscount_21_Up+FedExExrpessEarnedDiscount))*'1Day Base'!H39),2),ROUND(MinBase1Day*(1+ExpressFuelSurcharge),2),ROUND(((1-(OverNightDiscount_21_Up+FedExExrpessEarnedDiscount))*'1Day Base'!H39)*(1+ExpressFuelSurcharge),2))*(1+FedEx_Markup),2)</f>
        <v>173.32</v>
      </c>
    </row>
    <row r="43" ht="12.75" customHeight="1">
      <c r="A43" s="274">
        <v>38.0</v>
      </c>
      <c r="B43" s="275">
        <f>ROUND(IF(MinBase1Day&gt;ROUND(((1-(OverNightDiscount_21_Up+FedExExrpessEarnedDiscount))*'1Day Base'!B40),2),ROUND(MinBase1Day*(1+ExpressFuelSurcharge),2),ROUND(((1-(OverNightDiscount_21_Up+FedExExrpessEarnedDiscount))*'1Day Base'!B40)*(1+ExpressFuelSurcharge),2))*(1+FedEx_Markup),2)</f>
        <v>47.83</v>
      </c>
      <c r="C43" s="275">
        <f>ROUND(IF(MinBase1Day&gt;ROUND(((1-(OverNightDiscount_21_Up+FedExExrpessEarnedDiscount))*'1Day Base'!C40),2),ROUND(MinBase1Day*(1+ExpressFuelSurcharge),2),ROUND(((1-(OverNightDiscount_21_Up+FedExExrpessEarnedDiscount))*'1Day Base'!C40)*(1+ExpressFuelSurcharge),2))*(1+FedEx_Markup),2)</f>
        <v>69.64</v>
      </c>
      <c r="D43" s="275">
        <f>ROUND(IF(MinBase1Day&gt;ROUND(((1-(OverNightDiscount_21_Up+FedExExrpessEarnedDiscount))*'1Day Base'!D40),2),ROUND(MinBase1Day*(1+ExpressFuelSurcharge),2),ROUND(((1-(OverNightDiscount_21_Up+FedExExrpessEarnedDiscount))*'1Day Base'!D40)*(1+ExpressFuelSurcharge),2))*(1+FedEx_Markup),2)</f>
        <v>140.59</v>
      </c>
      <c r="E43" s="275">
        <f>ROUND(IF(MinBase1Day&gt;ROUND(((1-(OverNightDiscount_21_Up+FedExExrpessEarnedDiscount))*'1Day Base'!E40),2),ROUND(MinBase1Day*(1+ExpressFuelSurcharge),2),ROUND(((1-(OverNightDiscount_21_Up+FedExExrpessEarnedDiscount))*'1Day Base'!E40)*(1+ExpressFuelSurcharge),2))*(1+FedEx_Markup),2)</f>
        <v>151.05</v>
      </c>
      <c r="F43" s="275">
        <f>ROUND(IF(MinBase1Day&gt;ROUND(((1-(OverNightDiscount_21_Up+FedExExrpessEarnedDiscount))*'1Day Base'!F40),2),ROUND(MinBase1Day*(1+ExpressFuelSurcharge),2),ROUND(((1-(OverNightDiscount_21_Up+FedExExrpessEarnedDiscount))*'1Day Base'!F40)*(1+ExpressFuelSurcharge),2))*(1+FedEx_Markup),2)</f>
        <v>159.25</v>
      </c>
      <c r="G43" s="275">
        <f>ROUND(IF(MinBase1Day&gt;ROUND(((1-(OverNightDiscount_21_Up+FedExExrpessEarnedDiscount))*'1Day Base'!G40),2),ROUND(MinBase1Day*(1+ExpressFuelSurcharge),2),ROUND(((1-(OverNightDiscount_21_Up+FedExExrpessEarnedDiscount))*'1Day Base'!G40)*(1+ExpressFuelSurcharge),2))*(1+FedEx_Markup),2)</f>
        <v>169.15</v>
      </c>
      <c r="H43" s="275">
        <f>ROUND(IF(MinBase1Day&gt;ROUND(((1-(OverNightDiscount_21_Up+FedExExrpessEarnedDiscount))*'1Day Base'!H40),2),ROUND(MinBase1Day*(1+ExpressFuelSurcharge),2),ROUND(((1-(OverNightDiscount_21_Up+FedExExrpessEarnedDiscount))*'1Day Base'!H40)*(1+ExpressFuelSurcharge),2))*(1+FedEx_Markup),2)</f>
        <v>174.06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274">
        <v>39.0</v>
      </c>
      <c r="B44" s="275">
        <f>ROUND(IF(MinBase1Day&gt;ROUND(((1-(OverNightDiscount_21_Up+FedExExrpessEarnedDiscount))*'1Day Base'!B41),2),ROUND(MinBase1Day*(1+ExpressFuelSurcharge),2),ROUND(((1-(OverNightDiscount_21_Up+FedExExrpessEarnedDiscount))*'1Day Base'!B41)*(1+ExpressFuelSurcharge),2))*(1+FedEx_Markup),2)</f>
        <v>49.05</v>
      </c>
      <c r="C44" s="275">
        <f>ROUND(IF(MinBase1Day&gt;ROUND(((1-(OverNightDiscount_21_Up+FedExExrpessEarnedDiscount))*'1Day Base'!C41),2),ROUND(MinBase1Day*(1+ExpressFuelSurcharge),2),ROUND(((1-(OverNightDiscount_21_Up+FedExExrpessEarnedDiscount))*'1Day Base'!C41)*(1+ExpressFuelSurcharge),2))*(1+FedEx_Markup),2)</f>
        <v>69.78</v>
      </c>
      <c r="D44" s="275">
        <f>ROUND(IF(MinBase1Day&gt;ROUND(((1-(OverNightDiscount_21_Up+FedExExrpessEarnedDiscount))*'1Day Base'!D41),2),ROUND(MinBase1Day*(1+ExpressFuelSurcharge),2),ROUND(((1-(OverNightDiscount_21_Up+FedExExrpessEarnedDiscount))*'1Day Base'!D41)*(1+ExpressFuelSurcharge),2))*(1+FedEx_Markup),2)</f>
        <v>141.82</v>
      </c>
      <c r="E44" s="275">
        <f>ROUND(IF(MinBase1Day&gt;ROUND(((1-(OverNightDiscount_21_Up+FedExExrpessEarnedDiscount))*'1Day Base'!E41),2),ROUND(MinBase1Day*(1+ExpressFuelSurcharge),2),ROUND(((1-(OverNightDiscount_21_Up+FedExExrpessEarnedDiscount))*'1Day Base'!E41)*(1+ExpressFuelSurcharge),2))*(1+FedEx_Markup),2)</f>
        <v>152.2</v>
      </c>
      <c r="F44" s="275">
        <f>ROUND(IF(MinBase1Day&gt;ROUND(((1-(OverNightDiscount_21_Up+FedExExrpessEarnedDiscount))*'1Day Base'!F41),2),ROUND(MinBase1Day*(1+ExpressFuelSurcharge),2),ROUND(((1-(OverNightDiscount_21_Up+FedExExrpessEarnedDiscount))*'1Day Base'!F41)*(1+ExpressFuelSurcharge),2))*(1+FedEx_Markup),2)</f>
        <v>159.52</v>
      </c>
      <c r="G44" s="275">
        <f>ROUND(IF(MinBase1Day&gt;ROUND(((1-(OverNightDiscount_21_Up+FedExExrpessEarnedDiscount))*'1Day Base'!G41),2),ROUND(MinBase1Day*(1+ExpressFuelSurcharge),2),ROUND(((1-(OverNightDiscount_21_Up+FedExExrpessEarnedDiscount))*'1Day Base'!G41)*(1+ExpressFuelSurcharge),2))*(1+FedEx_Markup),2)</f>
        <v>170.52</v>
      </c>
      <c r="H44" s="275">
        <f>ROUND(IF(MinBase1Day&gt;ROUND(((1-(OverNightDiscount_21_Up+FedExExrpessEarnedDiscount))*'1Day Base'!H41),2),ROUND(MinBase1Day*(1+ExpressFuelSurcharge),2),ROUND(((1-(OverNightDiscount_21_Up+FedExExrpessEarnedDiscount))*'1Day Base'!H41)*(1+ExpressFuelSurcharge),2))*(1+FedEx_Markup),2)</f>
        <v>175.63</v>
      </c>
    </row>
    <row r="45" ht="12.75" customHeight="1">
      <c r="A45" s="274">
        <v>40.0</v>
      </c>
      <c r="B45" s="275">
        <f>ROUND(IF(MinBase1Day&gt;ROUND(((1-(OverNightDiscount_21_Up+FedExExrpessEarnedDiscount))*'1Day Base'!B42),2),ROUND(MinBase1Day*(1+ExpressFuelSurcharge),2),ROUND(((1-(OverNightDiscount_21_Up+FedExExrpessEarnedDiscount))*'1Day Base'!B42)*(1+ExpressFuelSurcharge),2))*(1+FedEx_Markup),2)</f>
        <v>51.27</v>
      </c>
      <c r="C45" s="275">
        <f>ROUND(IF(MinBase1Day&gt;ROUND(((1-(OverNightDiscount_21_Up+FedExExrpessEarnedDiscount))*'1Day Base'!C42),2),ROUND(MinBase1Day*(1+ExpressFuelSurcharge),2),ROUND(((1-(OverNightDiscount_21_Up+FedExExrpessEarnedDiscount))*'1Day Base'!C42)*(1+ExpressFuelSurcharge),2))*(1+FedEx_Markup),2)</f>
        <v>69.86</v>
      </c>
      <c r="D45" s="275">
        <f>ROUND(IF(MinBase1Day&gt;ROUND(((1-(OverNightDiscount_21_Up+FedExExrpessEarnedDiscount))*'1Day Base'!D42),2),ROUND(MinBase1Day*(1+ExpressFuelSurcharge),2),ROUND(((1-(OverNightDiscount_21_Up+FedExExrpessEarnedDiscount))*'1Day Base'!D42)*(1+ExpressFuelSurcharge),2))*(1+FedEx_Markup),2)</f>
        <v>142.08</v>
      </c>
      <c r="E45" s="275">
        <f>ROUND(IF(MinBase1Day&gt;ROUND(((1-(OverNightDiscount_21_Up+FedExExrpessEarnedDiscount))*'1Day Base'!E42),2),ROUND(MinBase1Day*(1+ExpressFuelSurcharge),2),ROUND(((1-(OverNightDiscount_21_Up+FedExExrpessEarnedDiscount))*'1Day Base'!E42)*(1+ExpressFuelSurcharge),2))*(1+FedEx_Markup),2)</f>
        <v>153.92</v>
      </c>
      <c r="F45" s="275">
        <f>ROUND(IF(MinBase1Day&gt;ROUND(((1-(OverNightDiscount_21_Up+FedExExrpessEarnedDiscount))*'1Day Base'!F42),2),ROUND(MinBase1Day*(1+ExpressFuelSurcharge),2),ROUND(((1-(OverNightDiscount_21_Up+FedExExrpessEarnedDiscount))*'1Day Base'!F42)*(1+ExpressFuelSurcharge),2))*(1+FedEx_Markup),2)</f>
        <v>159.99</v>
      </c>
      <c r="G45" s="275">
        <f>ROUND(IF(MinBase1Day&gt;ROUND(((1-(OverNightDiscount_21_Up+FedExExrpessEarnedDiscount))*'1Day Base'!G42),2),ROUND(MinBase1Day*(1+ExpressFuelSurcharge),2),ROUND(((1-(OverNightDiscount_21_Up+FedExExrpessEarnedDiscount))*'1Day Base'!G42)*(1+ExpressFuelSurcharge),2))*(1+FedEx_Markup),2)</f>
        <v>172.42</v>
      </c>
      <c r="H45" s="275">
        <f>ROUND(IF(MinBase1Day&gt;ROUND(((1-(OverNightDiscount_21_Up+FedExExrpessEarnedDiscount))*'1Day Base'!H42),2),ROUND(MinBase1Day*(1+ExpressFuelSurcharge),2),ROUND(((1-(OverNightDiscount_21_Up+FedExExrpessEarnedDiscount))*'1Day Base'!H42)*(1+ExpressFuelSurcharge),2))*(1+FedEx_Markup),2)</f>
        <v>176.03</v>
      </c>
    </row>
    <row r="46" ht="12.75" customHeight="1">
      <c r="A46" s="274">
        <v>41.0</v>
      </c>
      <c r="B46" s="275">
        <f>ROUND(IF(MinBase1Day&gt;ROUND(((1-(OverNightDiscount_21_Up+FedExExrpessEarnedDiscount))*'1Day Base'!B43),2),ROUND(MinBase1Day*(1+ExpressFuelSurcharge),2),ROUND(((1-(OverNightDiscount_21_Up+FedExExrpessEarnedDiscount))*'1Day Base'!B43)*(1+ExpressFuelSurcharge),2))*(1+FedEx_Markup),2)</f>
        <v>52.14</v>
      </c>
      <c r="C46" s="275">
        <f>ROUND(IF(MinBase1Day&gt;ROUND(((1-(OverNightDiscount_21_Up+FedExExrpessEarnedDiscount))*'1Day Base'!C43),2),ROUND(MinBase1Day*(1+ExpressFuelSurcharge),2),ROUND(((1-(OverNightDiscount_21_Up+FedExExrpessEarnedDiscount))*'1Day Base'!C43)*(1+ExpressFuelSurcharge),2))*(1+FedEx_Markup),2)</f>
        <v>70.51</v>
      </c>
      <c r="D46" s="275">
        <f>ROUND(IF(MinBase1Day&gt;ROUND(((1-(OverNightDiscount_21_Up+FedExExrpessEarnedDiscount))*'1Day Base'!D43),2),ROUND(MinBase1Day*(1+ExpressFuelSurcharge),2),ROUND(((1-(OverNightDiscount_21_Up+FedExExrpessEarnedDiscount))*'1Day Base'!D43)*(1+ExpressFuelSurcharge),2))*(1+FedEx_Markup),2)</f>
        <v>147.28</v>
      </c>
      <c r="E46" s="275">
        <f>ROUND(IF(MinBase1Day&gt;ROUND(((1-(OverNightDiscount_21_Up+FedExExrpessEarnedDiscount))*'1Day Base'!E43),2),ROUND(MinBase1Day*(1+ExpressFuelSurcharge),2),ROUND(((1-(OverNightDiscount_21_Up+FedExExrpessEarnedDiscount))*'1Day Base'!E43)*(1+ExpressFuelSurcharge),2))*(1+FedEx_Markup),2)</f>
        <v>156.56</v>
      </c>
      <c r="F46" s="275">
        <f>ROUND(IF(MinBase1Day&gt;ROUND(((1-(OverNightDiscount_21_Up+FedExExrpessEarnedDiscount))*'1Day Base'!F43),2),ROUND(MinBase1Day*(1+ExpressFuelSurcharge),2),ROUND(((1-(OverNightDiscount_21_Up+FedExExrpessEarnedDiscount))*'1Day Base'!F43)*(1+ExpressFuelSurcharge),2))*(1+FedEx_Markup),2)</f>
        <v>167.68</v>
      </c>
      <c r="G46" s="275">
        <f>ROUND(IF(MinBase1Day&gt;ROUND(((1-(OverNightDiscount_21_Up+FedExExrpessEarnedDiscount))*'1Day Base'!G43),2),ROUND(MinBase1Day*(1+ExpressFuelSurcharge),2),ROUND(((1-(OverNightDiscount_21_Up+FedExExrpessEarnedDiscount))*'1Day Base'!G43)*(1+ExpressFuelSurcharge),2))*(1+FedEx_Markup),2)</f>
        <v>174.97</v>
      </c>
      <c r="H46" s="275">
        <f>ROUND(IF(MinBase1Day&gt;ROUND(((1-(OverNightDiscount_21_Up+FedExExrpessEarnedDiscount))*'1Day Base'!H43),2),ROUND(MinBase1Day*(1+ExpressFuelSurcharge),2),ROUND(((1-(OverNightDiscount_21_Up+FedExExrpessEarnedDiscount))*'1Day Base'!H43)*(1+ExpressFuelSurcharge),2))*(1+FedEx_Markup),2)</f>
        <v>184</v>
      </c>
    </row>
    <row r="47" ht="12.75" customHeight="1">
      <c r="A47" s="274">
        <v>42.0</v>
      </c>
      <c r="B47" s="275">
        <f>ROUND(IF(MinBase1Day&gt;ROUND(((1-(OverNightDiscount_21_Up+FedExExrpessEarnedDiscount))*'1Day Base'!B44),2),ROUND(MinBase1Day*(1+ExpressFuelSurcharge),2),ROUND(((1-(OverNightDiscount_21_Up+FedExExrpessEarnedDiscount))*'1Day Base'!B44)*(1+ExpressFuelSurcharge),2))*(1+FedEx_Markup),2)</f>
        <v>53.11</v>
      </c>
      <c r="C47" s="275">
        <f>ROUND(IF(MinBase1Day&gt;ROUND(((1-(OverNightDiscount_21_Up+FedExExrpessEarnedDiscount))*'1Day Base'!C44),2),ROUND(MinBase1Day*(1+ExpressFuelSurcharge),2),ROUND(((1-(OverNightDiscount_21_Up+FedExExrpessEarnedDiscount))*'1Day Base'!C44)*(1+ExpressFuelSurcharge),2))*(1+FedEx_Markup),2)</f>
        <v>75.03</v>
      </c>
      <c r="D47" s="275">
        <f>ROUND(IF(MinBase1Day&gt;ROUND(((1-(OverNightDiscount_21_Up+FedExExrpessEarnedDiscount))*'1Day Base'!D44),2),ROUND(MinBase1Day*(1+ExpressFuelSurcharge),2),ROUND(((1-(OverNightDiscount_21_Up+FedExExrpessEarnedDiscount))*'1Day Base'!D44)*(1+ExpressFuelSurcharge),2))*(1+FedEx_Markup),2)</f>
        <v>149.27</v>
      </c>
      <c r="E47" s="275">
        <f>ROUND(IF(MinBase1Day&gt;ROUND(((1-(OverNightDiscount_21_Up+FedExExrpessEarnedDiscount))*'1Day Base'!E44),2),ROUND(MinBase1Day*(1+ExpressFuelSurcharge),2),ROUND(((1-(OverNightDiscount_21_Up+FedExExrpessEarnedDiscount))*'1Day Base'!E44)*(1+ExpressFuelSurcharge),2))*(1+FedEx_Markup),2)</f>
        <v>160.59</v>
      </c>
      <c r="F47" s="275">
        <f>ROUND(IF(MinBase1Day&gt;ROUND(((1-(OverNightDiscount_21_Up+FedExExrpessEarnedDiscount))*'1Day Base'!F44),2),ROUND(MinBase1Day*(1+ExpressFuelSurcharge),2),ROUND(((1-(OverNightDiscount_21_Up+FedExExrpessEarnedDiscount))*'1Day Base'!F44)*(1+ExpressFuelSurcharge),2))*(1+FedEx_Markup),2)</f>
        <v>170.2</v>
      </c>
      <c r="G47" s="275">
        <f>ROUND(IF(MinBase1Day&gt;ROUND(((1-(OverNightDiscount_21_Up+FedExExrpessEarnedDiscount))*'1Day Base'!G44),2),ROUND(MinBase1Day*(1+ExpressFuelSurcharge),2),ROUND(((1-(OverNightDiscount_21_Up+FedExExrpessEarnedDiscount))*'1Day Base'!G44)*(1+ExpressFuelSurcharge),2))*(1+FedEx_Markup),2)</f>
        <v>175.65</v>
      </c>
      <c r="H47" s="275">
        <f>ROUND(IF(MinBase1Day&gt;ROUND(((1-(OverNightDiscount_21_Up+FedExExrpessEarnedDiscount))*'1Day Base'!H44),2),ROUND(MinBase1Day*(1+ExpressFuelSurcharge),2),ROUND(((1-(OverNightDiscount_21_Up+FedExExrpessEarnedDiscount))*'1Day Base'!H44)*(1+ExpressFuelSurcharge),2))*(1+FedEx_Markup),2)</f>
        <v>188.23</v>
      </c>
    </row>
    <row r="48" ht="12.75" customHeight="1">
      <c r="A48" s="274">
        <v>43.0</v>
      </c>
      <c r="B48" s="275">
        <f>ROUND(IF(MinBase1Day&gt;ROUND(((1-(OverNightDiscount_21_Up+FedExExrpessEarnedDiscount))*'1Day Base'!B45),2),ROUND(MinBase1Day*(1+ExpressFuelSurcharge),2),ROUND(((1-(OverNightDiscount_21_Up+FedExExrpessEarnedDiscount))*'1Day Base'!B45)*(1+ExpressFuelSurcharge),2))*(1+FedEx_Markup),2)</f>
        <v>53.99</v>
      </c>
      <c r="C48" s="275">
        <f>ROUND(IF(MinBase1Day&gt;ROUND(((1-(OverNightDiscount_21_Up+FedExExrpessEarnedDiscount))*'1Day Base'!C45),2),ROUND(MinBase1Day*(1+ExpressFuelSurcharge),2),ROUND(((1-(OverNightDiscount_21_Up+FedExExrpessEarnedDiscount))*'1Day Base'!C45)*(1+ExpressFuelSurcharge),2))*(1+FedEx_Markup),2)</f>
        <v>75.49</v>
      </c>
      <c r="D48" s="275">
        <f>ROUND(IF(MinBase1Day&gt;ROUND(((1-(OverNightDiscount_21_Up+FedExExrpessEarnedDiscount))*'1Day Base'!D45),2),ROUND(MinBase1Day*(1+ExpressFuelSurcharge),2),ROUND(((1-(OverNightDiscount_21_Up+FedExExrpessEarnedDiscount))*'1Day Base'!D45)*(1+ExpressFuelSurcharge),2))*(1+FedEx_Markup),2)</f>
        <v>153.3</v>
      </c>
      <c r="E48" s="275">
        <f>ROUND(IF(MinBase1Day&gt;ROUND(((1-(OverNightDiscount_21_Up+FedExExrpessEarnedDiscount))*'1Day Base'!E45),2),ROUND(MinBase1Day*(1+ExpressFuelSurcharge),2),ROUND(((1-(OverNightDiscount_21_Up+FedExExrpessEarnedDiscount))*'1Day Base'!E45)*(1+ExpressFuelSurcharge),2))*(1+FedEx_Markup),2)</f>
        <v>163.54</v>
      </c>
      <c r="F48" s="275">
        <f>ROUND(IF(MinBase1Day&gt;ROUND(((1-(OverNightDiscount_21_Up+FedExExrpessEarnedDiscount))*'1Day Base'!F45),2),ROUND(MinBase1Day*(1+ExpressFuelSurcharge),2),ROUND(((1-(OverNightDiscount_21_Up+FedExExrpessEarnedDiscount))*'1Day Base'!F45)*(1+ExpressFuelSurcharge),2))*(1+FedEx_Markup),2)</f>
        <v>171.81</v>
      </c>
      <c r="G48" s="275">
        <f>ROUND(IF(MinBase1Day&gt;ROUND(((1-(OverNightDiscount_21_Up+FedExExrpessEarnedDiscount))*'1Day Base'!G45),2),ROUND(MinBase1Day*(1+ExpressFuelSurcharge),2),ROUND(((1-(OverNightDiscount_21_Up+FedExExrpessEarnedDiscount))*'1Day Base'!G45)*(1+ExpressFuelSurcharge),2))*(1+FedEx_Markup),2)</f>
        <v>184.6</v>
      </c>
      <c r="H48" s="275">
        <f>ROUND(IF(MinBase1Day&gt;ROUND(((1-(OverNightDiscount_21_Up+FedExExrpessEarnedDiscount))*'1Day Base'!H45),2),ROUND(MinBase1Day*(1+ExpressFuelSurcharge),2),ROUND(((1-(OverNightDiscount_21_Up+FedExExrpessEarnedDiscount))*'1Day Base'!H45)*(1+ExpressFuelSurcharge),2))*(1+FedEx_Markup),2)</f>
        <v>196.59</v>
      </c>
    </row>
    <row r="49" ht="12.75" customHeight="1">
      <c r="A49" s="274">
        <v>44.0</v>
      </c>
      <c r="B49" s="275">
        <f>ROUND(IF(MinBase1Day&gt;ROUND(((1-(OverNightDiscount_21_Up+FedExExrpessEarnedDiscount))*'1Day Base'!B46),2),ROUND(MinBase1Day*(1+ExpressFuelSurcharge),2),ROUND(((1-(OverNightDiscount_21_Up+FedExExrpessEarnedDiscount))*'1Day Base'!B46)*(1+ExpressFuelSurcharge),2))*(1+FedEx_Markup),2)</f>
        <v>54.92</v>
      </c>
      <c r="C49" s="275">
        <f>ROUND(IF(MinBase1Day&gt;ROUND(((1-(OverNightDiscount_21_Up+FedExExrpessEarnedDiscount))*'1Day Base'!C46),2),ROUND(MinBase1Day*(1+ExpressFuelSurcharge),2),ROUND(((1-(OverNightDiscount_21_Up+FedExExrpessEarnedDiscount))*'1Day Base'!C46)*(1+ExpressFuelSurcharge),2))*(1+FedEx_Markup),2)</f>
        <v>75.75</v>
      </c>
      <c r="D49" s="275">
        <f>ROUND(IF(MinBase1Day&gt;ROUND(((1-(OverNightDiscount_21_Up+FedExExrpessEarnedDiscount))*'1Day Base'!D46),2),ROUND(MinBase1Day*(1+ExpressFuelSurcharge),2),ROUND(((1-(OverNightDiscount_21_Up+FedExExrpessEarnedDiscount))*'1Day Base'!D46)*(1+ExpressFuelSurcharge),2))*(1+FedEx_Markup),2)</f>
        <v>155.99</v>
      </c>
      <c r="E49" s="275">
        <f>ROUND(IF(MinBase1Day&gt;ROUND(((1-(OverNightDiscount_21_Up+FedExExrpessEarnedDiscount))*'1Day Base'!E46),2),ROUND(MinBase1Day*(1+ExpressFuelSurcharge),2),ROUND(((1-(OverNightDiscount_21_Up+FedExExrpessEarnedDiscount))*'1Day Base'!E46)*(1+ExpressFuelSurcharge),2))*(1+FedEx_Markup),2)</f>
        <v>168.22</v>
      </c>
      <c r="F49" s="275">
        <f>ROUND(IF(MinBase1Day&gt;ROUND(((1-(OverNightDiscount_21_Up+FedExExrpessEarnedDiscount))*'1Day Base'!F46),2),ROUND(MinBase1Day*(1+ExpressFuelSurcharge),2),ROUND(((1-(OverNightDiscount_21_Up+FedExExrpessEarnedDiscount))*'1Day Base'!F46)*(1+ExpressFuelSurcharge),2))*(1+FedEx_Markup),2)</f>
        <v>176.47</v>
      </c>
      <c r="G49" s="275">
        <f>ROUND(IF(MinBase1Day&gt;ROUND(((1-(OverNightDiscount_21_Up+FedExExrpessEarnedDiscount))*'1Day Base'!G46),2),ROUND(MinBase1Day*(1+ExpressFuelSurcharge),2),ROUND(((1-(OverNightDiscount_21_Up+FedExExrpessEarnedDiscount))*'1Day Base'!G46)*(1+ExpressFuelSurcharge),2))*(1+FedEx_Markup),2)</f>
        <v>187.71</v>
      </c>
      <c r="H49" s="275">
        <f>ROUND(IF(MinBase1Day&gt;ROUND(((1-(OverNightDiscount_21_Up+FedExExrpessEarnedDiscount))*'1Day Base'!H46),2),ROUND(MinBase1Day*(1+ExpressFuelSurcharge),2),ROUND(((1-(OverNightDiscount_21_Up+FedExExrpessEarnedDiscount))*'1Day Base'!H46)*(1+ExpressFuelSurcharge),2))*(1+FedEx_Markup),2)</f>
        <v>201.89</v>
      </c>
    </row>
    <row r="50" ht="12.75" customHeight="1">
      <c r="A50" s="274">
        <v>45.0</v>
      </c>
      <c r="B50" s="275">
        <f>ROUND(IF(MinBase1Day&gt;ROUND(((1-(OverNightDiscount_21_Up+FedExExrpessEarnedDiscount))*'1Day Base'!B47),2),ROUND(MinBase1Day*(1+ExpressFuelSurcharge),2),ROUND(((1-(OverNightDiscount_21_Up+FedExExrpessEarnedDiscount))*'1Day Base'!B47)*(1+ExpressFuelSurcharge),2))*(1+FedEx_Markup),2)</f>
        <v>55.82</v>
      </c>
      <c r="C50" s="275">
        <f>ROUND(IF(MinBase1Day&gt;ROUND(((1-(OverNightDiscount_21_Up+FedExExrpessEarnedDiscount))*'1Day Base'!C47),2),ROUND(MinBase1Day*(1+ExpressFuelSurcharge),2),ROUND(((1-(OverNightDiscount_21_Up+FedExExrpessEarnedDiscount))*'1Day Base'!C47)*(1+ExpressFuelSurcharge),2))*(1+FedEx_Markup),2)</f>
        <v>75.99</v>
      </c>
      <c r="D50" s="275">
        <f>ROUND(IF(MinBase1Day&gt;ROUND(((1-(OverNightDiscount_21_Up+FedExExrpessEarnedDiscount))*'1Day Base'!D47),2),ROUND(MinBase1Day*(1+ExpressFuelSurcharge),2),ROUND(((1-(OverNightDiscount_21_Up+FedExExrpessEarnedDiscount))*'1Day Base'!D47)*(1+ExpressFuelSurcharge),2))*(1+FedEx_Markup),2)</f>
        <v>159.28</v>
      </c>
      <c r="E50" s="275">
        <f>ROUND(IF(MinBase1Day&gt;ROUND(((1-(OverNightDiscount_21_Up+FedExExrpessEarnedDiscount))*'1Day Base'!E47),2),ROUND(MinBase1Day*(1+ExpressFuelSurcharge),2),ROUND(((1-(OverNightDiscount_21_Up+FedExExrpessEarnedDiscount))*'1Day Base'!E47)*(1+ExpressFuelSurcharge),2))*(1+FedEx_Markup),2)</f>
        <v>171.59</v>
      </c>
      <c r="F50" s="275">
        <f>ROUND(IF(MinBase1Day&gt;ROUND(((1-(OverNightDiscount_21_Up+FedExExrpessEarnedDiscount))*'1Day Base'!F47),2),ROUND(MinBase1Day*(1+ExpressFuelSurcharge),2),ROUND(((1-(OverNightDiscount_21_Up+FedExExrpessEarnedDiscount))*'1Day Base'!F47)*(1+ExpressFuelSurcharge),2))*(1+FedEx_Markup),2)</f>
        <v>176.94</v>
      </c>
      <c r="G50" s="275">
        <f>ROUND(IF(MinBase1Day&gt;ROUND(((1-(OverNightDiscount_21_Up+FedExExrpessEarnedDiscount))*'1Day Base'!G47),2),ROUND(MinBase1Day*(1+ExpressFuelSurcharge),2),ROUND(((1-(OverNightDiscount_21_Up+FedExExrpessEarnedDiscount))*'1Day Base'!G47)*(1+ExpressFuelSurcharge),2))*(1+FedEx_Markup),2)</f>
        <v>192.65</v>
      </c>
      <c r="H50" s="275">
        <f>ROUND(IF(MinBase1Day&gt;ROUND(((1-(OverNightDiscount_21_Up+FedExExrpessEarnedDiscount))*'1Day Base'!H47),2),ROUND(MinBase1Day*(1+ExpressFuelSurcharge),2),ROUND(((1-(OverNightDiscount_21_Up+FedExExrpessEarnedDiscount))*'1Day Base'!H47)*(1+ExpressFuelSurcharge),2))*(1+FedEx_Markup),2)</f>
        <v>202.43</v>
      </c>
    </row>
    <row r="51" ht="12.75" customHeight="1">
      <c r="A51" s="274">
        <v>46.0</v>
      </c>
      <c r="B51" s="275">
        <f>ROUND(IF(MinBase1Day&gt;ROUND(((1-(OverNightDiscount_21_Up+FedExExrpessEarnedDiscount))*'1Day Base'!B48),2),ROUND(MinBase1Day*(1+ExpressFuelSurcharge),2),ROUND(((1-(OverNightDiscount_21_Up+FedExExrpessEarnedDiscount))*'1Day Base'!B48)*(1+ExpressFuelSurcharge),2))*(1+FedEx_Markup),2)</f>
        <v>56.66</v>
      </c>
      <c r="C51" s="275">
        <f>ROUND(IF(MinBase1Day&gt;ROUND(((1-(OverNightDiscount_21_Up+FedExExrpessEarnedDiscount))*'1Day Base'!C48),2),ROUND(MinBase1Day*(1+ExpressFuelSurcharge),2),ROUND(((1-(OverNightDiscount_21_Up+FedExExrpessEarnedDiscount))*'1Day Base'!C48)*(1+ExpressFuelSurcharge),2))*(1+FedEx_Markup),2)</f>
        <v>81.04</v>
      </c>
      <c r="D51" s="275">
        <f>ROUND(IF(MinBase1Day&gt;ROUND(((1-(OverNightDiscount_21_Up+FedExExrpessEarnedDiscount))*'1Day Base'!D48),2),ROUND(MinBase1Day*(1+ExpressFuelSurcharge),2),ROUND(((1-(OverNightDiscount_21_Up+FedExExrpessEarnedDiscount))*'1Day Base'!D48)*(1+ExpressFuelSurcharge),2))*(1+FedEx_Markup),2)</f>
        <v>161.94</v>
      </c>
      <c r="E51" s="275">
        <f>ROUND(IF(MinBase1Day&gt;ROUND(((1-(OverNightDiscount_21_Up+FedExExrpessEarnedDiscount))*'1Day Base'!E48),2),ROUND(MinBase1Day*(1+ExpressFuelSurcharge),2),ROUND(((1-(OverNightDiscount_21_Up+FedExExrpessEarnedDiscount))*'1Day Base'!E48)*(1+ExpressFuelSurcharge),2))*(1+FedEx_Markup),2)</f>
        <v>176.49</v>
      </c>
      <c r="F51" s="275">
        <f>ROUND(IF(MinBase1Day&gt;ROUND(((1-(OverNightDiscount_21_Up+FedExExrpessEarnedDiscount))*'1Day Base'!F48),2),ROUND(MinBase1Day*(1+ExpressFuelSurcharge),2),ROUND(((1-(OverNightDiscount_21_Up+FedExExrpessEarnedDiscount))*'1Day Base'!F48)*(1+ExpressFuelSurcharge),2))*(1+FedEx_Markup),2)</f>
        <v>183.32</v>
      </c>
      <c r="G51" s="275">
        <f>ROUND(IF(MinBase1Day&gt;ROUND(((1-(OverNightDiscount_21_Up+FedExExrpessEarnedDiscount))*'1Day Base'!G48),2),ROUND(MinBase1Day*(1+ExpressFuelSurcharge),2),ROUND(((1-(OverNightDiscount_21_Up+FedExExrpessEarnedDiscount))*'1Day Base'!G48)*(1+ExpressFuelSurcharge),2))*(1+FedEx_Markup),2)</f>
        <v>193.14</v>
      </c>
      <c r="H51" s="275">
        <f>ROUND(IF(MinBase1Day&gt;ROUND(((1-(OverNightDiscount_21_Up+FedExExrpessEarnedDiscount))*'1Day Base'!H48),2),ROUND(MinBase1Day*(1+ExpressFuelSurcharge),2),ROUND(((1-(OverNightDiscount_21_Up+FedExExrpessEarnedDiscount))*'1Day Base'!H48)*(1+ExpressFuelSurcharge),2))*(1+FedEx_Markup),2)</f>
        <v>208.6</v>
      </c>
    </row>
    <row r="52" ht="12.75" customHeight="1">
      <c r="A52" s="274">
        <v>47.0</v>
      </c>
      <c r="B52" s="275">
        <f>ROUND(IF(MinBase1Day&gt;ROUND(((1-(OverNightDiscount_21_Up+FedExExrpessEarnedDiscount))*'1Day Base'!B49),2),ROUND(MinBase1Day*(1+ExpressFuelSurcharge),2),ROUND(((1-(OverNightDiscount_21_Up+FedExExrpessEarnedDiscount))*'1Day Base'!B49)*(1+ExpressFuelSurcharge),2))*(1+FedEx_Markup),2)</f>
        <v>57.88</v>
      </c>
      <c r="C52" s="275">
        <f>ROUND(IF(MinBase1Day&gt;ROUND(((1-(OverNightDiscount_21_Up+FedExExrpessEarnedDiscount))*'1Day Base'!C49),2),ROUND(MinBase1Day*(1+ExpressFuelSurcharge),2),ROUND(((1-(OverNightDiscount_21_Up+FedExExrpessEarnedDiscount))*'1Day Base'!C49)*(1+ExpressFuelSurcharge),2))*(1+FedEx_Markup),2)</f>
        <v>82.71</v>
      </c>
      <c r="D52" s="275">
        <f>ROUND(IF(MinBase1Day&gt;ROUND(((1-(OverNightDiscount_21_Up+FedExExrpessEarnedDiscount))*'1Day Base'!D49),2),ROUND(MinBase1Day*(1+ExpressFuelSurcharge),2),ROUND(((1-(OverNightDiscount_21_Up+FedExExrpessEarnedDiscount))*'1Day Base'!D49)*(1+ExpressFuelSurcharge),2))*(1+FedEx_Markup),2)</f>
        <v>162.22</v>
      </c>
      <c r="E52" s="275">
        <f>ROUND(IF(MinBase1Day&gt;ROUND(((1-(OverNightDiscount_21_Up+FedExExrpessEarnedDiscount))*'1Day Base'!E49),2),ROUND(MinBase1Day*(1+ExpressFuelSurcharge),2),ROUND(((1-(OverNightDiscount_21_Up+FedExExrpessEarnedDiscount))*'1Day Base'!E49)*(1+ExpressFuelSurcharge),2))*(1+FedEx_Markup),2)</f>
        <v>176.97</v>
      </c>
      <c r="F52" s="275">
        <f>ROUND(IF(MinBase1Day&gt;ROUND(((1-(OverNightDiscount_21_Up+FedExExrpessEarnedDiscount))*'1Day Base'!F49),2),ROUND(MinBase1Day*(1+ExpressFuelSurcharge),2),ROUND(((1-(OverNightDiscount_21_Up+FedExExrpessEarnedDiscount))*'1Day Base'!F49)*(1+ExpressFuelSurcharge),2))*(1+FedEx_Markup),2)</f>
        <v>184.22</v>
      </c>
      <c r="G52" s="275">
        <f>ROUND(IF(MinBase1Day&gt;ROUND(((1-(OverNightDiscount_21_Up+FedExExrpessEarnedDiscount))*'1Day Base'!G49),2),ROUND(MinBase1Day*(1+ExpressFuelSurcharge),2),ROUND(((1-(OverNightDiscount_21_Up+FedExExrpessEarnedDiscount))*'1Day Base'!G49)*(1+ExpressFuelSurcharge),2))*(1+FedEx_Markup),2)</f>
        <v>195.58</v>
      </c>
      <c r="H52" s="275">
        <f>ROUND(IF(MinBase1Day&gt;ROUND(((1-(OverNightDiscount_21_Up+FedExExrpessEarnedDiscount))*'1Day Base'!H49),2),ROUND(MinBase1Day*(1+ExpressFuelSurcharge),2),ROUND(((1-(OverNightDiscount_21_Up+FedExExrpessEarnedDiscount))*'1Day Base'!H49)*(1+ExpressFuelSurcharge),2))*(1+FedEx_Markup),2)</f>
        <v>209.44</v>
      </c>
    </row>
    <row r="53" ht="12.75" customHeight="1">
      <c r="A53" s="274">
        <v>48.0</v>
      </c>
      <c r="B53" s="275">
        <f>ROUND(IF(MinBase1Day&gt;ROUND(((1-(OverNightDiscount_21_Up+FedExExrpessEarnedDiscount))*'1Day Base'!B50),2),ROUND(MinBase1Day*(1+ExpressFuelSurcharge),2),ROUND(((1-(OverNightDiscount_21_Up+FedExExrpessEarnedDiscount))*'1Day Base'!B50)*(1+ExpressFuelSurcharge),2))*(1+FedEx_Markup),2)</f>
        <v>58.72</v>
      </c>
      <c r="C53" s="275">
        <f>ROUND(IF(MinBase1Day&gt;ROUND(((1-(OverNightDiscount_21_Up+FedExExrpessEarnedDiscount))*'1Day Base'!C50),2),ROUND(MinBase1Day*(1+ExpressFuelSurcharge),2),ROUND(((1-(OverNightDiscount_21_Up+FedExExrpessEarnedDiscount))*'1Day Base'!C50)*(1+ExpressFuelSurcharge),2))*(1+FedEx_Markup),2)</f>
        <v>84.34</v>
      </c>
      <c r="D53" s="275">
        <f>ROUND(IF(MinBase1Day&gt;ROUND(((1-(OverNightDiscount_21_Up+FedExExrpessEarnedDiscount))*'1Day Base'!D50),2),ROUND(MinBase1Day*(1+ExpressFuelSurcharge),2),ROUND(((1-(OverNightDiscount_21_Up+FedExExrpessEarnedDiscount))*'1Day Base'!D50)*(1+ExpressFuelSurcharge),2))*(1+FedEx_Markup),2)</f>
        <v>162.33</v>
      </c>
      <c r="E53" s="275">
        <f>ROUND(IF(MinBase1Day&gt;ROUND(((1-(OverNightDiscount_21_Up+FedExExrpessEarnedDiscount))*'1Day Base'!E50),2),ROUND(MinBase1Day*(1+ExpressFuelSurcharge),2),ROUND(((1-(OverNightDiscount_21_Up+FedExExrpessEarnedDiscount))*'1Day Base'!E50)*(1+ExpressFuelSurcharge),2))*(1+FedEx_Markup),2)</f>
        <v>177.07</v>
      </c>
      <c r="F53" s="275">
        <f>ROUND(IF(MinBase1Day&gt;ROUND(((1-(OverNightDiscount_21_Up+FedExExrpessEarnedDiscount))*'1Day Base'!F50),2),ROUND(MinBase1Day*(1+ExpressFuelSurcharge),2),ROUND(((1-(OverNightDiscount_21_Up+FedExExrpessEarnedDiscount))*'1Day Base'!F50)*(1+ExpressFuelSurcharge),2))*(1+FedEx_Markup),2)</f>
        <v>184.31</v>
      </c>
      <c r="G53" s="275">
        <f>ROUND(IF(MinBase1Day&gt;ROUND(((1-(OverNightDiscount_21_Up+FedExExrpessEarnedDiscount))*'1Day Base'!G50),2),ROUND(MinBase1Day*(1+ExpressFuelSurcharge),2),ROUND(((1-(OverNightDiscount_21_Up+FedExExrpessEarnedDiscount))*'1Day Base'!G50)*(1+ExpressFuelSurcharge),2))*(1+FedEx_Markup),2)</f>
        <v>197.4</v>
      </c>
      <c r="H53" s="275">
        <f>ROUND(IF(MinBase1Day&gt;ROUND(((1-(OverNightDiscount_21_Up+FedExExrpessEarnedDiscount))*'1Day Base'!H50),2),ROUND(MinBase1Day*(1+ExpressFuelSurcharge),2),ROUND(((1-(OverNightDiscount_21_Up+FedExExrpessEarnedDiscount))*'1Day Base'!H50)*(1+ExpressFuelSurcharge),2))*(1+FedEx_Markup),2)</f>
        <v>209.53</v>
      </c>
    </row>
    <row r="54" ht="12.75" customHeight="1">
      <c r="A54" s="274">
        <v>49.0</v>
      </c>
      <c r="B54" s="275">
        <f>ROUND(IF(MinBase1Day&gt;ROUND(((1-(OverNightDiscount_21_Up+FedExExrpessEarnedDiscount))*'1Day Base'!B51),2),ROUND(MinBase1Day*(1+ExpressFuelSurcharge),2),ROUND(((1-(OverNightDiscount_21_Up+FedExExrpessEarnedDiscount))*'1Day Base'!B51)*(1+ExpressFuelSurcharge),2))*(1+FedEx_Markup),2)</f>
        <v>59.62</v>
      </c>
      <c r="C54" s="275">
        <f>ROUND(IF(MinBase1Day&gt;ROUND(((1-(OverNightDiscount_21_Up+FedExExrpessEarnedDiscount))*'1Day Base'!C51),2),ROUND(MinBase1Day*(1+ExpressFuelSurcharge),2),ROUND(((1-(OverNightDiscount_21_Up+FedExExrpessEarnedDiscount))*'1Day Base'!C51)*(1+ExpressFuelSurcharge),2))*(1+FedEx_Markup),2)</f>
        <v>86.02</v>
      </c>
      <c r="D54" s="275">
        <f>ROUND(IF(MinBase1Day&gt;ROUND(((1-(OverNightDiscount_21_Up+FedExExrpessEarnedDiscount))*'1Day Base'!D51),2),ROUND(MinBase1Day*(1+ExpressFuelSurcharge),2),ROUND(((1-(OverNightDiscount_21_Up+FedExExrpessEarnedDiscount))*'1Day Base'!D51)*(1+ExpressFuelSurcharge),2))*(1+FedEx_Markup),2)</f>
        <v>162.44</v>
      </c>
      <c r="E54" s="275">
        <f>ROUND(IF(MinBase1Day&gt;ROUND(((1-(OverNightDiscount_21_Up+FedExExrpessEarnedDiscount))*'1Day Base'!E51),2),ROUND(MinBase1Day*(1+ExpressFuelSurcharge),2),ROUND(((1-(OverNightDiscount_21_Up+FedExExrpessEarnedDiscount))*'1Day Base'!E51)*(1+ExpressFuelSurcharge),2))*(1+FedEx_Markup),2)</f>
        <v>178.74</v>
      </c>
      <c r="F54" s="275">
        <f>ROUND(IF(MinBase1Day&gt;ROUND(((1-(OverNightDiscount_21_Up+FedExExrpessEarnedDiscount))*'1Day Base'!F51),2),ROUND(MinBase1Day*(1+ExpressFuelSurcharge),2),ROUND(((1-(OverNightDiscount_21_Up+FedExExrpessEarnedDiscount))*'1Day Base'!F51)*(1+ExpressFuelSurcharge),2))*(1+FedEx_Markup),2)</f>
        <v>184.39</v>
      </c>
      <c r="G54" s="275">
        <f>ROUND(IF(MinBase1Day&gt;ROUND(((1-(OverNightDiscount_21_Up+FedExExrpessEarnedDiscount))*'1Day Base'!G51),2),ROUND(MinBase1Day*(1+ExpressFuelSurcharge),2),ROUND(((1-(OverNightDiscount_21_Up+FedExExrpessEarnedDiscount))*'1Day Base'!G51)*(1+ExpressFuelSurcharge),2))*(1+FedEx_Markup),2)</f>
        <v>199.61</v>
      </c>
      <c r="H54" s="275">
        <f>ROUND(IF(MinBase1Day&gt;ROUND(((1-(OverNightDiscount_21_Up+FedExExrpessEarnedDiscount))*'1Day Base'!H51),2),ROUND(MinBase1Day*(1+ExpressFuelSurcharge),2),ROUND(((1-(OverNightDiscount_21_Up+FedExExrpessEarnedDiscount))*'1Day Base'!H51)*(1+ExpressFuelSurcharge),2))*(1+FedEx_Markup),2)</f>
        <v>209.66</v>
      </c>
    </row>
    <row r="55" ht="12.75" customHeight="1">
      <c r="A55" s="274">
        <v>50.0</v>
      </c>
      <c r="B55" s="275">
        <f>ROUND(IF(MinBase1Day&gt;ROUND(((1-(OverNightDiscount_21_Up+FedExExrpessEarnedDiscount))*'1Day Base'!B52),2),ROUND(MinBase1Day*(1+ExpressFuelSurcharge),2),ROUND(((1-(OverNightDiscount_21_Up+FedExExrpessEarnedDiscount))*'1Day Base'!B52)*(1+ExpressFuelSurcharge),2))*(1+FedEx_Markup),2)</f>
        <v>60.79</v>
      </c>
      <c r="C55" s="275">
        <f>ROUND(IF(MinBase1Day&gt;ROUND(((1-(OverNightDiscount_21_Up+FedExExrpessEarnedDiscount))*'1Day Base'!C52),2),ROUND(MinBase1Day*(1+ExpressFuelSurcharge),2),ROUND(((1-(OverNightDiscount_21_Up+FedExExrpessEarnedDiscount))*'1Day Base'!C52)*(1+ExpressFuelSurcharge),2))*(1+FedEx_Markup),2)</f>
        <v>87.27</v>
      </c>
      <c r="D55" s="275">
        <f>ROUND(IF(MinBase1Day&gt;ROUND(((1-(OverNightDiscount_21_Up+FedExExrpessEarnedDiscount))*'1Day Base'!D52),2),ROUND(MinBase1Day*(1+ExpressFuelSurcharge),2),ROUND(((1-(OverNightDiscount_21_Up+FedExExrpessEarnedDiscount))*'1Day Base'!D52)*(1+ExpressFuelSurcharge),2))*(1+FedEx_Markup),2)</f>
        <v>162.9</v>
      </c>
      <c r="E55" s="275">
        <f>ROUND(IF(MinBase1Day&gt;ROUND(((1-(OverNightDiscount_21_Up+FedExExrpessEarnedDiscount))*'1Day Base'!E52),2),ROUND(MinBase1Day*(1+ExpressFuelSurcharge),2),ROUND(((1-(OverNightDiscount_21_Up+FedExExrpessEarnedDiscount))*'1Day Base'!E52)*(1+ExpressFuelSurcharge),2))*(1+FedEx_Markup),2)</f>
        <v>179.58</v>
      </c>
      <c r="F55" s="275">
        <f>ROUND(IF(MinBase1Day&gt;ROUND(((1-(OverNightDiscount_21_Up+FedExExrpessEarnedDiscount))*'1Day Base'!F52),2),ROUND(MinBase1Day*(1+ExpressFuelSurcharge),2),ROUND(((1-(OverNightDiscount_21_Up+FedExExrpessEarnedDiscount))*'1Day Base'!F52)*(1+ExpressFuelSurcharge),2))*(1+FedEx_Markup),2)</f>
        <v>185.21</v>
      </c>
      <c r="G55" s="275">
        <f>ROUND(IF(MinBase1Day&gt;ROUND(((1-(OverNightDiscount_21_Up+FedExExrpessEarnedDiscount))*'1Day Base'!G52),2),ROUND(MinBase1Day*(1+ExpressFuelSurcharge),2),ROUND(((1-(OverNightDiscount_21_Up+FedExExrpessEarnedDiscount))*'1Day Base'!G52)*(1+ExpressFuelSurcharge),2))*(1+FedEx_Markup),2)</f>
        <v>200.51</v>
      </c>
      <c r="H55" s="275">
        <f>ROUND(IF(MinBase1Day&gt;ROUND(((1-(OverNightDiscount_21_Up+FedExExrpessEarnedDiscount))*'1Day Base'!H52),2),ROUND(MinBase1Day*(1+ExpressFuelSurcharge),2),ROUND(((1-(OverNightDiscount_21_Up+FedExExrpessEarnedDiscount))*'1Day Base'!H52)*(1+ExpressFuelSurcharge),2))*(1+FedEx_Markup),2)</f>
        <v>212.27</v>
      </c>
    </row>
    <row r="56" ht="12.75" customHeight="1">
      <c r="A56" s="274">
        <v>51.0</v>
      </c>
      <c r="B56" s="275">
        <f>ROUND(IF(MinBase1Day&gt;ROUND(((1-(OverNightDiscount_21_Up+FedExExrpessEarnedDiscount))*'1Day Base'!B53),2),ROUND(MinBase1Day*(1+ExpressFuelSurcharge),2),ROUND(((1-(OverNightDiscount_21_Up+FedExExrpessEarnedDiscount))*'1Day Base'!B53)*(1+ExpressFuelSurcharge),2))*(1+FedEx_Markup),2)</f>
        <v>61.65</v>
      </c>
      <c r="C56" s="275">
        <f>ROUND(IF(MinBase1Day&gt;ROUND(((1-(OverNightDiscount_21_Up+FedExExrpessEarnedDiscount))*'1Day Base'!C53),2),ROUND(MinBase1Day*(1+ExpressFuelSurcharge),2),ROUND(((1-(OverNightDiscount_21_Up+FedExExrpessEarnedDiscount))*'1Day Base'!C53)*(1+ExpressFuelSurcharge),2))*(1+FedEx_Markup),2)</f>
        <v>87.45</v>
      </c>
      <c r="D56" s="275">
        <f>ROUND(IF(MinBase1Day&gt;ROUND(((1-(OverNightDiscount_21_Up+FedExExrpessEarnedDiscount))*'1Day Base'!D53),2),ROUND(MinBase1Day*(1+ExpressFuelSurcharge),2),ROUND(((1-(OverNightDiscount_21_Up+FedExExrpessEarnedDiscount))*'1Day Base'!D53)*(1+ExpressFuelSurcharge),2))*(1+FedEx_Markup),2)</f>
        <v>170.06</v>
      </c>
      <c r="E56" s="275">
        <f>ROUND(IF(MinBase1Day&gt;ROUND(((1-(OverNightDiscount_21_Up+FedExExrpessEarnedDiscount))*'1Day Base'!E53),2),ROUND(MinBase1Day*(1+ExpressFuelSurcharge),2),ROUND(((1-(OverNightDiscount_21_Up+FedExExrpessEarnedDiscount))*'1Day Base'!E53)*(1+ExpressFuelSurcharge),2))*(1+FedEx_Markup),2)</f>
        <v>194.43</v>
      </c>
      <c r="F56" s="275">
        <f>ROUND(IF(MinBase1Day&gt;ROUND(((1-(OverNightDiscount_21_Up+FedExExrpessEarnedDiscount))*'1Day Base'!F53),2),ROUND(MinBase1Day*(1+ExpressFuelSurcharge),2),ROUND(((1-(OverNightDiscount_21_Up+FedExExrpessEarnedDiscount))*'1Day Base'!F53)*(1+ExpressFuelSurcharge),2))*(1+FedEx_Markup),2)</f>
        <v>201.39</v>
      </c>
      <c r="G56" s="275">
        <f>ROUND(IF(MinBase1Day&gt;ROUND(((1-(OverNightDiscount_21_Up+FedExExrpessEarnedDiscount))*'1Day Base'!G53),2),ROUND(MinBase1Day*(1+ExpressFuelSurcharge),2),ROUND(((1-(OverNightDiscount_21_Up+FedExExrpessEarnedDiscount))*'1Day Base'!G53)*(1+ExpressFuelSurcharge),2))*(1+FedEx_Markup),2)</f>
        <v>218.43</v>
      </c>
      <c r="H56" s="275">
        <f>ROUND(IF(MinBase1Day&gt;ROUND(((1-(OverNightDiscount_21_Up+FedExExrpessEarnedDiscount))*'1Day Base'!H53),2),ROUND(MinBase1Day*(1+ExpressFuelSurcharge),2),ROUND(((1-(OverNightDiscount_21_Up+FedExExrpessEarnedDiscount))*'1Day Base'!H53)*(1+ExpressFuelSurcharge),2))*(1+FedEx_Markup),2)</f>
        <v>222.8</v>
      </c>
    </row>
    <row r="57" ht="12.75" customHeight="1">
      <c r="A57" s="274">
        <v>52.0</v>
      </c>
      <c r="B57" s="275">
        <f>ROUND(IF(MinBase1Day&gt;ROUND(((1-(OverNightDiscount_21_Up+FedExExrpessEarnedDiscount))*'1Day Base'!B54),2),ROUND(MinBase1Day*(1+ExpressFuelSurcharge),2),ROUND(((1-(OverNightDiscount_21_Up+FedExExrpessEarnedDiscount))*'1Day Base'!B54)*(1+ExpressFuelSurcharge),2))*(1+FedEx_Markup),2)</f>
        <v>62.89</v>
      </c>
      <c r="C57" s="275">
        <f>ROUND(IF(MinBase1Day&gt;ROUND(((1-(OverNightDiscount_21_Up+FedExExrpessEarnedDiscount))*'1Day Base'!C54),2),ROUND(MinBase1Day*(1+ExpressFuelSurcharge),2),ROUND(((1-(OverNightDiscount_21_Up+FedExExrpessEarnedDiscount))*'1Day Base'!C54)*(1+ExpressFuelSurcharge),2))*(1+FedEx_Markup),2)</f>
        <v>90.38</v>
      </c>
      <c r="D57" s="275">
        <f>ROUND(IF(MinBase1Day&gt;ROUND(((1-(OverNightDiscount_21_Up+FedExExrpessEarnedDiscount))*'1Day Base'!D54),2),ROUND(MinBase1Day*(1+ExpressFuelSurcharge),2),ROUND(((1-(OverNightDiscount_21_Up+FedExExrpessEarnedDiscount))*'1Day Base'!D54)*(1+ExpressFuelSurcharge),2))*(1+FedEx_Markup),2)</f>
        <v>185.07</v>
      </c>
      <c r="E57" s="275">
        <f>ROUND(IF(MinBase1Day&gt;ROUND(((1-(OverNightDiscount_21_Up+FedExExrpessEarnedDiscount))*'1Day Base'!E54),2),ROUND(MinBase1Day*(1+ExpressFuelSurcharge),2),ROUND(((1-(OverNightDiscount_21_Up+FedExExrpessEarnedDiscount))*'1Day Base'!E54)*(1+ExpressFuelSurcharge),2))*(1+FedEx_Markup),2)</f>
        <v>198.4</v>
      </c>
      <c r="F57" s="275">
        <f>ROUND(IF(MinBase1Day&gt;ROUND(((1-(OverNightDiscount_21_Up+FedExExrpessEarnedDiscount))*'1Day Base'!F54),2),ROUND(MinBase1Day*(1+ExpressFuelSurcharge),2),ROUND(((1-(OverNightDiscount_21_Up+FedExExrpessEarnedDiscount))*'1Day Base'!F54)*(1+ExpressFuelSurcharge),2))*(1+FedEx_Markup),2)</f>
        <v>206.11</v>
      </c>
      <c r="G57" s="275">
        <f>ROUND(IF(MinBase1Day&gt;ROUND(((1-(OverNightDiscount_21_Up+FedExExrpessEarnedDiscount))*'1Day Base'!G54),2),ROUND(MinBase1Day*(1+ExpressFuelSurcharge),2),ROUND(((1-(OverNightDiscount_21_Up+FedExExrpessEarnedDiscount))*'1Day Base'!G54)*(1+ExpressFuelSurcharge),2))*(1+FedEx_Markup),2)</f>
        <v>223.23</v>
      </c>
      <c r="H57" s="275">
        <f>ROUND(IF(MinBase1Day&gt;ROUND(((1-(OverNightDiscount_21_Up+FedExExrpessEarnedDiscount))*'1Day Base'!H54),2),ROUND(MinBase1Day*(1+ExpressFuelSurcharge),2),ROUND(((1-(OverNightDiscount_21_Up+FedExExrpessEarnedDiscount))*'1Day Base'!H54)*(1+ExpressFuelSurcharge),2))*(1+FedEx_Markup),2)</f>
        <v>238.88</v>
      </c>
    </row>
    <row r="58" ht="12.75" customHeight="1">
      <c r="A58" s="274">
        <v>53.0</v>
      </c>
      <c r="B58" s="275">
        <f>ROUND(IF(MinBase1Day&gt;ROUND(((1-(OverNightDiscount_21_Up+FedExExrpessEarnedDiscount))*'1Day Base'!B55),2),ROUND(MinBase1Day*(1+ExpressFuelSurcharge),2),ROUND(((1-(OverNightDiscount_21_Up+FedExExrpessEarnedDiscount))*'1Day Base'!B55)*(1+ExpressFuelSurcharge),2))*(1+FedEx_Markup),2)</f>
        <v>64.03</v>
      </c>
      <c r="C58" s="275">
        <f>ROUND(IF(MinBase1Day&gt;ROUND(((1-(OverNightDiscount_21_Up+FedExExrpessEarnedDiscount))*'1Day Base'!C55),2),ROUND(MinBase1Day*(1+ExpressFuelSurcharge),2),ROUND(((1-(OverNightDiscount_21_Up+FedExExrpessEarnedDiscount))*'1Day Base'!C55)*(1+ExpressFuelSurcharge),2))*(1+FedEx_Markup),2)</f>
        <v>90.68</v>
      </c>
      <c r="D58" s="275">
        <f>ROUND(IF(MinBase1Day&gt;ROUND(((1-(OverNightDiscount_21_Up+FedExExrpessEarnedDiscount))*'1Day Base'!D55),2),ROUND(MinBase1Day*(1+ExpressFuelSurcharge),2),ROUND(((1-(OverNightDiscount_21_Up+FedExExrpessEarnedDiscount))*'1Day Base'!D55)*(1+ExpressFuelSurcharge),2))*(1+FedEx_Markup),2)</f>
        <v>186.58</v>
      </c>
      <c r="E58" s="275">
        <f>ROUND(IF(MinBase1Day&gt;ROUND(((1-(OverNightDiscount_21_Up+FedExExrpessEarnedDiscount))*'1Day Base'!E55),2),ROUND(MinBase1Day*(1+ExpressFuelSurcharge),2),ROUND(((1-(OverNightDiscount_21_Up+FedExExrpessEarnedDiscount))*'1Day Base'!E55)*(1+ExpressFuelSurcharge),2))*(1+FedEx_Markup),2)</f>
        <v>205.09</v>
      </c>
      <c r="F58" s="275">
        <f>ROUND(IF(MinBase1Day&gt;ROUND(((1-(OverNightDiscount_21_Up+FedExExrpessEarnedDiscount))*'1Day Base'!F55),2),ROUND(MinBase1Day*(1+ExpressFuelSurcharge),2),ROUND(((1-(OverNightDiscount_21_Up+FedExExrpessEarnedDiscount))*'1Day Base'!F55)*(1+ExpressFuelSurcharge),2))*(1+FedEx_Markup),2)</f>
        <v>209.68</v>
      </c>
      <c r="G58" s="275">
        <f>ROUND(IF(MinBase1Day&gt;ROUND(((1-(OverNightDiscount_21_Up+FedExExrpessEarnedDiscount))*'1Day Base'!G55),2),ROUND(MinBase1Day*(1+ExpressFuelSurcharge),2),ROUND(((1-(OverNightDiscount_21_Up+FedExExrpessEarnedDiscount))*'1Day Base'!G55)*(1+ExpressFuelSurcharge),2))*(1+FedEx_Markup),2)</f>
        <v>224.85</v>
      </c>
      <c r="H58" s="275">
        <f>ROUND(IF(MinBase1Day&gt;ROUND(((1-(OverNightDiscount_21_Up+FedExExrpessEarnedDiscount))*'1Day Base'!H55),2),ROUND(MinBase1Day*(1+ExpressFuelSurcharge),2),ROUND(((1-(OverNightDiscount_21_Up+FedExExrpessEarnedDiscount))*'1Day Base'!H55)*(1+ExpressFuelSurcharge),2))*(1+FedEx_Markup),2)</f>
        <v>240.8</v>
      </c>
    </row>
    <row r="59" ht="12.75" customHeight="1">
      <c r="A59" s="274">
        <v>54.0</v>
      </c>
      <c r="B59" s="275">
        <f>ROUND(IF(MinBase1Day&gt;ROUND(((1-(OverNightDiscount_21_Up+FedExExrpessEarnedDiscount))*'1Day Base'!B56),2),ROUND(MinBase1Day*(1+ExpressFuelSurcharge),2),ROUND(((1-(OverNightDiscount_21_Up+FedExExrpessEarnedDiscount))*'1Day Base'!B56)*(1+ExpressFuelSurcharge),2))*(1+FedEx_Markup),2)</f>
        <v>64.87</v>
      </c>
      <c r="C59" s="275">
        <f>ROUND(IF(MinBase1Day&gt;ROUND(((1-(OverNightDiscount_21_Up+FedExExrpessEarnedDiscount))*'1Day Base'!C56),2),ROUND(MinBase1Day*(1+ExpressFuelSurcharge),2),ROUND(((1-(OverNightDiscount_21_Up+FedExExrpessEarnedDiscount))*'1Day Base'!C56)*(1+ExpressFuelSurcharge),2))*(1+FedEx_Markup),2)</f>
        <v>94.1</v>
      </c>
      <c r="D59" s="275">
        <f>ROUND(IF(MinBase1Day&gt;ROUND(((1-(OverNightDiscount_21_Up+FedExExrpessEarnedDiscount))*'1Day Base'!D56),2),ROUND(MinBase1Day*(1+ExpressFuelSurcharge),2),ROUND(((1-(OverNightDiscount_21_Up+FedExExrpessEarnedDiscount))*'1Day Base'!D56)*(1+ExpressFuelSurcharge),2))*(1+FedEx_Markup),2)</f>
        <v>190.99</v>
      </c>
      <c r="E59" s="275">
        <f>ROUND(IF(MinBase1Day&gt;ROUND(((1-(OverNightDiscount_21_Up+FedExExrpessEarnedDiscount))*'1Day Base'!E56),2),ROUND(MinBase1Day*(1+ExpressFuelSurcharge),2),ROUND(((1-(OverNightDiscount_21_Up+FedExExrpessEarnedDiscount))*'1Day Base'!E56)*(1+ExpressFuelSurcharge),2))*(1+FedEx_Markup),2)</f>
        <v>205.77</v>
      </c>
      <c r="F59" s="275">
        <f>ROUND(IF(MinBase1Day&gt;ROUND(((1-(OverNightDiscount_21_Up+FedExExrpessEarnedDiscount))*'1Day Base'!F56),2),ROUND(MinBase1Day*(1+ExpressFuelSurcharge),2),ROUND(((1-(OverNightDiscount_21_Up+FedExExrpessEarnedDiscount))*'1Day Base'!F56)*(1+ExpressFuelSurcharge),2))*(1+FedEx_Markup),2)</f>
        <v>210.04</v>
      </c>
      <c r="G59" s="275">
        <f>ROUND(IF(MinBase1Day&gt;ROUND(((1-(OverNightDiscount_21_Up+FedExExrpessEarnedDiscount))*'1Day Base'!G56),2),ROUND(MinBase1Day*(1+ExpressFuelSurcharge),2),ROUND(((1-(OverNightDiscount_21_Up+FedExExrpessEarnedDiscount))*'1Day Base'!G56)*(1+ExpressFuelSurcharge),2))*(1+FedEx_Markup),2)</f>
        <v>229.9</v>
      </c>
      <c r="H59" s="275">
        <f>ROUND(IF(MinBase1Day&gt;ROUND(((1-(OverNightDiscount_21_Up+FedExExrpessEarnedDiscount))*'1Day Base'!H56),2),ROUND(MinBase1Day*(1+ExpressFuelSurcharge),2),ROUND(((1-(OverNightDiscount_21_Up+FedExExrpessEarnedDiscount))*'1Day Base'!H56)*(1+ExpressFuelSurcharge),2))*(1+FedEx_Markup),2)</f>
        <v>241.04</v>
      </c>
    </row>
    <row r="60" ht="12.75" customHeight="1">
      <c r="A60" s="274">
        <v>55.0</v>
      </c>
      <c r="B60" s="275">
        <f>ROUND(IF(MinBase1Day&gt;ROUND(((1-(OverNightDiscount_21_Up+FedExExrpessEarnedDiscount))*'1Day Base'!B57),2),ROUND(MinBase1Day*(1+ExpressFuelSurcharge),2),ROUND(((1-(OverNightDiscount_21_Up+FedExExrpessEarnedDiscount))*'1Day Base'!B57)*(1+ExpressFuelSurcharge),2))*(1+FedEx_Markup),2)</f>
        <v>66.14</v>
      </c>
      <c r="C60" s="275">
        <f>ROUND(IF(MinBase1Day&gt;ROUND(((1-(OverNightDiscount_21_Up+FedExExrpessEarnedDiscount))*'1Day Base'!C57),2),ROUND(MinBase1Day*(1+ExpressFuelSurcharge),2),ROUND(((1-(OverNightDiscount_21_Up+FedExExrpessEarnedDiscount))*'1Day Base'!C57)*(1+ExpressFuelSurcharge),2))*(1+FedEx_Markup),2)</f>
        <v>94.45</v>
      </c>
      <c r="D60" s="275">
        <f>ROUND(IF(MinBase1Day&gt;ROUND(((1-(OverNightDiscount_21_Up+FedExExrpessEarnedDiscount))*'1Day Base'!D57),2),ROUND(MinBase1Day*(1+ExpressFuelSurcharge),2),ROUND(((1-(OverNightDiscount_21_Up+FedExExrpessEarnedDiscount))*'1Day Base'!D57)*(1+ExpressFuelSurcharge),2))*(1+FedEx_Markup),2)</f>
        <v>192.43</v>
      </c>
      <c r="E60" s="275">
        <f>ROUND(IF(MinBase1Day&gt;ROUND(((1-(OverNightDiscount_21_Up+FedExExrpessEarnedDiscount))*'1Day Base'!E57),2),ROUND(MinBase1Day*(1+ExpressFuelSurcharge),2),ROUND(((1-(OverNightDiscount_21_Up+FedExExrpessEarnedDiscount))*'1Day Base'!E57)*(1+ExpressFuelSurcharge),2))*(1+FedEx_Markup),2)</f>
        <v>206.26</v>
      </c>
      <c r="F60" s="275">
        <f>ROUND(IF(MinBase1Day&gt;ROUND(((1-(OverNightDiscount_21_Up+FedExExrpessEarnedDiscount))*'1Day Base'!F57),2),ROUND(MinBase1Day*(1+ExpressFuelSurcharge),2),ROUND(((1-(OverNightDiscount_21_Up+FedExExrpessEarnedDiscount))*'1Day Base'!F57)*(1+ExpressFuelSurcharge),2))*(1+FedEx_Markup),2)</f>
        <v>210.39</v>
      </c>
      <c r="G60" s="275">
        <f>ROUND(IF(MinBase1Day&gt;ROUND(((1-(OverNightDiscount_21_Up+FedExExrpessEarnedDiscount))*'1Day Base'!G57),2),ROUND(MinBase1Day*(1+ExpressFuelSurcharge),2),ROUND(((1-(OverNightDiscount_21_Up+FedExExrpessEarnedDiscount))*'1Day Base'!G57)*(1+ExpressFuelSurcharge),2))*(1+FedEx_Markup),2)</f>
        <v>236.5</v>
      </c>
      <c r="H60" s="275">
        <f>ROUND(IF(MinBase1Day&gt;ROUND(((1-(OverNightDiscount_21_Up+FedExExrpessEarnedDiscount))*'1Day Base'!H57),2),ROUND(MinBase1Day*(1+ExpressFuelSurcharge),2),ROUND(((1-(OverNightDiscount_21_Up+FedExExrpessEarnedDiscount))*'1Day Base'!H57)*(1+ExpressFuelSurcharge),2))*(1+FedEx_Markup),2)</f>
        <v>241.25</v>
      </c>
    </row>
    <row r="61" ht="12.75" customHeight="1">
      <c r="A61" s="274">
        <v>56.0</v>
      </c>
      <c r="B61" s="275">
        <f>ROUND(IF(MinBase1Day&gt;ROUND(((1-(OverNightDiscount_21_Up+FedExExrpessEarnedDiscount))*'1Day Base'!B58),2),ROUND(MinBase1Day*(1+ExpressFuelSurcharge),2),ROUND(((1-(OverNightDiscount_21_Up+FedExExrpessEarnedDiscount))*'1Day Base'!B58)*(1+ExpressFuelSurcharge),2))*(1+FedEx_Markup),2)</f>
        <v>67.34</v>
      </c>
      <c r="C61" s="275">
        <f>ROUND(IF(MinBase1Day&gt;ROUND(((1-(OverNightDiscount_21_Up+FedExExrpessEarnedDiscount))*'1Day Base'!C58),2),ROUND(MinBase1Day*(1+ExpressFuelSurcharge),2),ROUND(((1-(OverNightDiscount_21_Up+FedExExrpessEarnedDiscount))*'1Day Base'!C58)*(1+ExpressFuelSurcharge),2))*(1+FedEx_Markup),2)</f>
        <v>97.72</v>
      </c>
      <c r="D61" s="275">
        <f>ROUND(IF(MinBase1Day&gt;ROUND(((1-(OverNightDiscount_21_Up+FedExExrpessEarnedDiscount))*'1Day Base'!D58),2),ROUND(MinBase1Day*(1+ExpressFuelSurcharge),2),ROUND(((1-(OverNightDiscount_21_Up+FedExExrpessEarnedDiscount))*'1Day Base'!D58)*(1+ExpressFuelSurcharge),2))*(1+FedEx_Markup),2)</f>
        <v>192.64</v>
      </c>
      <c r="E61" s="275">
        <f>ROUND(IF(MinBase1Day&gt;ROUND(((1-(OverNightDiscount_21_Up+FedExExrpessEarnedDiscount))*'1Day Base'!E58),2),ROUND(MinBase1Day*(1+ExpressFuelSurcharge),2),ROUND(((1-(OverNightDiscount_21_Up+FedExExrpessEarnedDiscount))*'1Day Base'!E58)*(1+ExpressFuelSurcharge),2))*(1+FedEx_Markup),2)</f>
        <v>212.16</v>
      </c>
      <c r="F61" s="275">
        <f>ROUND(IF(MinBase1Day&gt;ROUND(((1-(OverNightDiscount_21_Up+FedExExrpessEarnedDiscount))*'1Day Base'!F58),2),ROUND(MinBase1Day*(1+ExpressFuelSurcharge),2),ROUND(((1-(OverNightDiscount_21_Up+FedExExrpessEarnedDiscount))*'1Day Base'!F58)*(1+ExpressFuelSurcharge),2))*(1+FedEx_Markup),2)</f>
        <v>216.57</v>
      </c>
      <c r="G61" s="275">
        <f>ROUND(IF(MinBase1Day&gt;ROUND(((1-(OverNightDiscount_21_Up+FedExExrpessEarnedDiscount))*'1Day Base'!G58),2),ROUND(MinBase1Day*(1+ExpressFuelSurcharge),2),ROUND(((1-(OverNightDiscount_21_Up+FedExExrpessEarnedDiscount))*'1Day Base'!G58)*(1+ExpressFuelSurcharge),2))*(1+FedEx_Markup),2)</f>
        <v>239.81</v>
      </c>
      <c r="H61" s="275">
        <f>ROUND(IF(MinBase1Day&gt;ROUND(((1-(OverNightDiscount_21_Up+FedExExrpessEarnedDiscount))*'1Day Base'!H58),2),ROUND(MinBase1Day*(1+ExpressFuelSurcharge),2),ROUND(((1-(OverNightDiscount_21_Up+FedExExrpessEarnedDiscount))*'1Day Base'!H58)*(1+ExpressFuelSurcharge),2))*(1+FedEx_Markup),2)</f>
        <v>244.75</v>
      </c>
    </row>
    <row r="62" ht="12.75" customHeight="1">
      <c r="A62" s="274">
        <v>57.0</v>
      </c>
      <c r="B62" s="275">
        <f>ROUND(IF(MinBase1Day&gt;ROUND(((1-(OverNightDiscount_21_Up+FedExExrpessEarnedDiscount))*'1Day Base'!B59),2),ROUND(MinBase1Day*(1+ExpressFuelSurcharge),2),ROUND(((1-(OverNightDiscount_21_Up+FedExExrpessEarnedDiscount))*'1Day Base'!B59)*(1+ExpressFuelSurcharge),2))*(1+FedEx_Markup),2)</f>
        <v>68.8</v>
      </c>
      <c r="C62" s="275">
        <f>ROUND(IF(MinBase1Day&gt;ROUND(((1-(OverNightDiscount_21_Up+FedExExrpessEarnedDiscount))*'1Day Base'!C59),2),ROUND(MinBase1Day*(1+ExpressFuelSurcharge),2),ROUND(((1-(OverNightDiscount_21_Up+FedExExrpessEarnedDiscount))*'1Day Base'!C59)*(1+ExpressFuelSurcharge),2))*(1+FedEx_Markup),2)</f>
        <v>99.77</v>
      </c>
      <c r="D62" s="275">
        <f>ROUND(IF(MinBase1Day&gt;ROUND(((1-(OverNightDiscount_21_Up+FedExExrpessEarnedDiscount))*'1Day Base'!D59),2),ROUND(MinBase1Day*(1+ExpressFuelSurcharge),2),ROUND(((1-(OverNightDiscount_21_Up+FedExExrpessEarnedDiscount))*'1Day Base'!D59)*(1+ExpressFuelSurcharge),2))*(1+FedEx_Markup),2)</f>
        <v>193.02</v>
      </c>
      <c r="E62" s="275">
        <f>ROUND(IF(MinBase1Day&gt;ROUND(((1-(OverNightDiscount_21_Up+FedExExrpessEarnedDiscount))*'1Day Base'!E59),2),ROUND(MinBase1Day*(1+ExpressFuelSurcharge),2),ROUND(((1-(OverNightDiscount_21_Up+FedExExrpessEarnedDiscount))*'1Day Base'!E59)*(1+ExpressFuelSurcharge),2))*(1+FedEx_Markup),2)</f>
        <v>212.75</v>
      </c>
      <c r="F62" s="275">
        <f>ROUND(IF(MinBase1Day&gt;ROUND(((1-(OverNightDiscount_21_Up+FedExExrpessEarnedDiscount))*'1Day Base'!F59),2),ROUND(MinBase1Day*(1+ExpressFuelSurcharge),2),ROUND(((1-(OverNightDiscount_21_Up+FedExExrpessEarnedDiscount))*'1Day Base'!F59)*(1+ExpressFuelSurcharge),2))*(1+FedEx_Markup),2)</f>
        <v>217.59</v>
      </c>
      <c r="G62" s="275">
        <f>ROUND(IF(MinBase1Day&gt;ROUND(((1-(OverNightDiscount_21_Up+FedExExrpessEarnedDiscount))*'1Day Base'!G59),2),ROUND(MinBase1Day*(1+ExpressFuelSurcharge),2),ROUND(((1-(OverNightDiscount_21_Up+FedExExrpessEarnedDiscount))*'1Day Base'!G59)*(1+ExpressFuelSurcharge),2))*(1+FedEx_Markup),2)</f>
        <v>240.14</v>
      </c>
      <c r="H62" s="275">
        <f>ROUND(IF(MinBase1Day&gt;ROUND(((1-(OverNightDiscount_21_Up+FedExExrpessEarnedDiscount))*'1Day Base'!H59),2),ROUND(MinBase1Day*(1+ExpressFuelSurcharge),2),ROUND(((1-(OverNightDiscount_21_Up+FedExExrpessEarnedDiscount))*'1Day Base'!H59)*(1+ExpressFuelSurcharge),2))*(1+FedEx_Markup),2)</f>
        <v>245.11</v>
      </c>
    </row>
    <row r="63" ht="12.75" customHeight="1">
      <c r="A63" s="274">
        <v>58.0</v>
      </c>
      <c r="B63" s="275">
        <f>ROUND(IF(MinBase1Day&gt;ROUND(((1-(OverNightDiscount_21_Up+FedExExrpessEarnedDiscount))*'1Day Base'!B60),2),ROUND(MinBase1Day*(1+ExpressFuelSurcharge),2),ROUND(((1-(OverNightDiscount_21_Up+FedExExrpessEarnedDiscount))*'1Day Base'!B60)*(1+ExpressFuelSurcharge),2))*(1+FedEx_Markup),2)</f>
        <v>69.3</v>
      </c>
      <c r="C63" s="275">
        <f>ROUND(IF(MinBase1Day&gt;ROUND(((1-(OverNightDiscount_21_Up+FedExExrpessEarnedDiscount))*'1Day Base'!C60),2),ROUND(MinBase1Day*(1+ExpressFuelSurcharge),2),ROUND(((1-(OverNightDiscount_21_Up+FedExExrpessEarnedDiscount))*'1Day Base'!C60)*(1+ExpressFuelSurcharge),2))*(1+FedEx_Markup),2)</f>
        <v>102.07</v>
      </c>
      <c r="D63" s="275">
        <f>ROUND(IF(MinBase1Day&gt;ROUND(((1-(OverNightDiscount_21_Up+FedExExrpessEarnedDiscount))*'1Day Base'!D60),2),ROUND(MinBase1Day*(1+ExpressFuelSurcharge),2),ROUND(((1-(OverNightDiscount_21_Up+FedExExrpessEarnedDiscount))*'1Day Base'!D60)*(1+ExpressFuelSurcharge),2))*(1+FedEx_Markup),2)</f>
        <v>193.26</v>
      </c>
      <c r="E63" s="275">
        <f>ROUND(IF(MinBase1Day&gt;ROUND(((1-(OverNightDiscount_21_Up+FedExExrpessEarnedDiscount))*'1Day Base'!E60),2),ROUND(MinBase1Day*(1+ExpressFuelSurcharge),2),ROUND(((1-(OverNightDiscount_21_Up+FedExExrpessEarnedDiscount))*'1Day Base'!E60)*(1+ExpressFuelSurcharge),2))*(1+FedEx_Markup),2)</f>
        <v>212.96</v>
      </c>
      <c r="F63" s="275">
        <f>ROUND(IF(MinBase1Day&gt;ROUND(((1-(OverNightDiscount_21_Up+FedExExrpessEarnedDiscount))*'1Day Base'!F60),2),ROUND(MinBase1Day*(1+ExpressFuelSurcharge),2),ROUND(((1-(OverNightDiscount_21_Up+FedExExrpessEarnedDiscount))*'1Day Base'!F60)*(1+ExpressFuelSurcharge),2))*(1+FedEx_Markup),2)</f>
        <v>222.21</v>
      </c>
      <c r="G63" s="275">
        <f>ROUND(IF(MinBase1Day&gt;ROUND(((1-(OverNightDiscount_21_Up+FedExExrpessEarnedDiscount))*'1Day Base'!G60),2),ROUND(MinBase1Day*(1+ExpressFuelSurcharge),2),ROUND(((1-(OverNightDiscount_21_Up+FedExExrpessEarnedDiscount))*'1Day Base'!G60)*(1+ExpressFuelSurcharge),2))*(1+FedEx_Markup),2)</f>
        <v>240.81</v>
      </c>
      <c r="H63" s="275">
        <f>ROUND(IF(MinBase1Day&gt;ROUND(((1-(OverNightDiscount_21_Up+FedExExrpessEarnedDiscount))*'1Day Base'!H60),2),ROUND(MinBase1Day*(1+ExpressFuelSurcharge),2),ROUND(((1-(OverNightDiscount_21_Up+FedExExrpessEarnedDiscount))*'1Day Base'!H60)*(1+ExpressFuelSurcharge),2))*(1+FedEx_Markup),2)</f>
        <v>245.79</v>
      </c>
    </row>
    <row r="64" ht="12.75" customHeight="1">
      <c r="A64" s="274">
        <v>59.0</v>
      </c>
      <c r="B64" s="275">
        <f>ROUND(IF(MinBase1Day&gt;ROUND(((1-(OverNightDiscount_21_Up+FedExExrpessEarnedDiscount))*'1Day Base'!B61),2),ROUND(MinBase1Day*(1+ExpressFuelSurcharge),2),ROUND(((1-(OverNightDiscount_21_Up+FedExExrpessEarnedDiscount))*'1Day Base'!B61)*(1+ExpressFuelSurcharge),2))*(1+FedEx_Markup),2)</f>
        <v>69.52</v>
      </c>
      <c r="C64" s="275">
        <f>ROUND(IF(MinBase1Day&gt;ROUND(((1-(OverNightDiscount_21_Up+FedExExrpessEarnedDiscount))*'1Day Base'!C61),2),ROUND(MinBase1Day*(1+ExpressFuelSurcharge),2),ROUND(((1-(OverNightDiscount_21_Up+FedExExrpessEarnedDiscount))*'1Day Base'!C61)*(1+ExpressFuelSurcharge),2))*(1+FedEx_Markup),2)</f>
        <v>104.68</v>
      </c>
      <c r="D64" s="275">
        <f>ROUND(IF(MinBase1Day&gt;ROUND(((1-(OverNightDiscount_21_Up+FedExExrpessEarnedDiscount))*'1Day Base'!D61),2),ROUND(MinBase1Day*(1+ExpressFuelSurcharge),2),ROUND(((1-(OverNightDiscount_21_Up+FedExExrpessEarnedDiscount))*'1Day Base'!D61)*(1+ExpressFuelSurcharge),2))*(1+FedEx_Markup),2)</f>
        <v>198.04</v>
      </c>
      <c r="E64" s="275">
        <f>ROUND(IF(MinBase1Day&gt;ROUND(((1-(OverNightDiscount_21_Up+FedExExrpessEarnedDiscount))*'1Day Base'!E61),2),ROUND(MinBase1Day*(1+ExpressFuelSurcharge),2),ROUND(((1-(OverNightDiscount_21_Up+FedExExrpessEarnedDiscount))*'1Day Base'!E61)*(1+ExpressFuelSurcharge),2))*(1+FedEx_Markup),2)</f>
        <v>216.29</v>
      </c>
      <c r="F64" s="275">
        <f>ROUND(IF(MinBase1Day&gt;ROUND(((1-(OverNightDiscount_21_Up+FedExExrpessEarnedDiscount))*'1Day Base'!F61),2),ROUND(MinBase1Day*(1+ExpressFuelSurcharge),2),ROUND(((1-(OverNightDiscount_21_Up+FedExExrpessEarnedDiscount))*'1Day Base'!F61)*(1+ExpressFuelSurcharge),2))*(1+FedEx_Markup),2)</f>
        <v>222.67</v>
      </c>
      <c r="G64" s="275">
        <f>ROUND(IF(MinBase1Day&gt;ROUND(((1-(OverNightDiscount_21_Up+FedExExrpessEarnedDiscount))*'1Day Base'!G61),2),ROUND(MinBase1Day*(1+ExpressFuelSurcharge),2),ROUND(((1-(OverNightDiscount_21_Up+FedExExrpessEarnedDiscount))*'1Day Base'!G61)*(1+ExpressFuelSurcharge),2))*(1+FedEx_Markup),2)</f>
        <v>241.5</v>
      </c>
      <c r="H64" s="275">
        <f>ROUND(IF(MinBase1Day&gt;ROUND(((1-(OverNightDiscount_21_Up+FedExExrpessEarnedDiscount))*'1Day Base'!H61),2),ROUND(MinBase1Day*(1+ExpressFuelSurcharge),2),ROUND(((1-(OverNightDiscount_21_Up+FedExExrpessEarnedDiscount))*'1Day Base'!H61)*(1+ExpressFuelSurcharge),2))*(1+FedEx_Markup),2)</f>
        <v>259.24</v>
      </c>
    </row>
    <row r="65" ht="12.75" customHeight="1">
      <c r="A65" s="274">
        <v>60.0</v>
      </c>
      <c r="B65" s="275">
        <f>ROUND(IF(MinBase1Day&gt;ROUND(((1-(OverNightDiscount_21_Up+FedExExrpessEarnedDiscount))*'1Day Base'!B62),2),ROUND(MinBase1Day*(1+ExpressFuelSurcharge),2),ROUND(((1-(OverNightDiscount_21_Up+FedExExrpessEarnedDiscount))*'1Day Base'!B62)*(1+ExpressFuelSurcharge),2))*(1+FedEx_Markup),2)</f>
        <v>69.91</v>
      </c>
      <c r="C65" s="275">
        <f>ROUND(IF(MinBase1Day&gt;ROUND(((1-(OverNightDiscount_21_Up+FedExExrpessEarnedDiscount))*'1Day Base'!C62),2),ROUND(MinBase1Day*(1+ExpressFuelSurcharge),2),ROUND(((1-(OverNightDiscount_21_Up+FedExExrpessEarnedDiscount))*'1Day Base'!C62)*(1+ExpressFuelSurcharge),2))*(1+FedEx_Markup),2)</f>
        <v>107.02</v>
      </c>
      <c r="D65" s="275">
        <f>ROUND(IF(MinBase1Day&gt;ROUND(((1-(OverNightDiscount_21_Up+FedExExrpessEarnedDiscount))*'1Day Base'!D62),2),ROUND(MinBase1Day*(1+ExpressFuelSurcharge),2),ROUND(((1-(OverNightDiscount_21_Up+FedExExrpessEarnedDiscount))*'1Day Base'!D62)*(1+ExpressFuelSurcharge),2))*(1+FedEx_Markup),2)</f>
        <v>198.52</v>
      </c>
      <c r="E65" s="275">
        <f>ROUND(IF(MinBase1Day&gt;ROUND(((1-(OverNightDiscount_21_Up+FedExExrpessEarnedDiscount))*'1Day Base'!E62),2),ROUND(MinBase1Day*(1+ExpressFuelSurcharge),2),ROUND(((1-(OverNightDiscount_21_Up+FedExExrpessEarnedDiscount))*'1Day Base'!E62)*(1+ExpressFuelSurcharge),2))*(1+FedEx_Markup),2)</f>
        <v>216.63</v>
      </c>
      <c r="F65" s="275">
        <f>ROUND(IF(MinBase1Day&gt;ROUND(((1-(OverNightDiscount_21_Up+FedExExrpessEarnedDiscount))*'1Day Base'!F62),2),ROUND(MinBase1Day*(1+ExpressFuelSurcharge),2),ROUND(((1-(OverNightDiscount_21_Up+FedExExrpessEarnedDiscount))*'1Day Base'!F62)*(1+ExpressFuelSurcharge),2))*(1+FedEx_Markup),2)</f>
        <v>223.16</v>
      </c>
      <c r="G65" s="275">
        <f>ROUND(IF(MinBase1Day&gt;ROUND(((1-(OverNightDiscount_21_Up+FedExExrpessEarnedDiscount))*'1Day Base'!G62),2),ROUND(MinBase1Day*(1+ExpressFuelSurcharge),2),ROUND(((1-(OverNightDiscount_21_Up+FedExExrpessEarnedDiscount))*'1Day Base'!G62)*(1+ExpressFuelSurcharge),2))*(1+FedEx_Markup),2)</f>
        <v>255.33</v>
      </c>
      <c r="H65" s="275">
        <f>ROUND(IF(MinBase1Day&gt;ROUND(((1-(OverNightDiscount_21_Up+FedExExrpessEarnedDiscount))*'1Day Base'!H62),2),ROUND(MinBase1Day*(1+ExpressFuelSurcharge),2),ROUND(((1-(OverNightDiscount_21_Up+FedExExrpessEarnedDiscount))*'1Day Base'!H62)*(1+ExpressFuelSurcharge),2))*(1+FedEx_Markup),2)</f>
        <v>260.59</v>
      </c>
    </row>
    <row r="66" ht="12.75" customHeight="1">
      <c r="A66" s="274">
        <v>61.0</v>
      </c>
      <c r="B66" s="275">
        <f>ROUND(IF(MinBase1Day&gt;ROUND(((1-(OverNightDiscount_21_Up+FedExExrpessEarnedDiscount))*'1Day Base'!B63),2),ROUND(MinBase1Day*(1+ExpressFuelSurcharge),2),ROUND(((1-(OverNightDiscount_21_Up+FedExExrpessEarnedDiscount))*'1Day Base'!B63)*(1+ExpressFuelSurcharge),2))*(1+FedEx_Markup),2)</f>
        <v>70.13</v>
      </c>
      <c r="C66" s="275">
        <f>ROUND(IF(MinBase1Day&gt;ROUND(((1-(OverNightDiscount_21_Up+FedExExrpessEarnedDiscount))*'1Day Base'!C63),2),ROUND(MinBase1Day*(1+ExpressFuelSurcharge),2),ROUND(((1-(OverNightDiscount_21_Up+FedExExrpessEarnedDiscount))*'1Day Base'!C63)*(1+ExpressFuelSurcharge),2))*(1+FedEx_Markup),2)</f>
        <v>109.02</v>
      </c>
      <c r="D66" s="275">
        <f>ROUND(IF(MinBase1Day&gt;ROUND(((1-(OverNightDiscount_21_Up+FedExExrpessEarnedDiscount))*'1Day Base'!D63),2),ROUND(MinBase1Day*(1+ExpressFuelSurcharge),2),ROUND(((1-(OverNightDiscount_21_Up+FedExExrpessEarnedDiscount))*'1Day Base'!D63)*(1+ExpressFuelSurcharge),2))*(1+FedEx_Markup),2)</f>
        <v>206.84</v>
      </c>
      <c r="E66" s="275">
        <f>ROUND(IF(MinBase1Day&gt;ROUND(((1-(OverNightDiscount_21_Up+FedExExrpessEarnedDiscount))*'1Day Base'!E63),2),ROUND(MinBase1Day*(1+ExpressFuelSurcharge),2),ROUND(((1-(OverNightDiscount_21_Up+FedExExrpessEarnedDiscount))*'1Day Base'!E63)*(1+ExpressFuelSurcharge),2))*(1+FedEx_Markup),2)</f>
        <v>223.12</v>
      </c>
      <c r="F66" s="275">
        <f>ROUND(IF(MinBase1Day&gt;ROUND(((1-(OverNightDiscount_21_Up+FedExExrpessEarnedDiscount))*'1Day Base'!F63),2),ROUND(MinBase1Day*(1+ExpressFuelSurcharge),2),ROUND(((1-(OverNightDiscount_21_Up+FedExExrpessEarnedDiscount))*'1Day Base'!F63)*(1+ExpressFuelSurcharge),2))*(1+FedEx_Markup),2)</f>
        <v>232.51</v>
      </c>
      <c r="G66" s="275">
        <f>ROUND(IF(MinBase1Day&gt;ROUND(((1-(OverNightDiscount_21_Up+FedExExrpessEarnedDiscount))*'1Day Base'!G63),2),ROUND(MinBase1Day*(1+ExpressFuelSurcharge),2),ROUND(((1-(OverNightDiscount_21_Up+FedExExrpessEarnedDiscount))*'1Day Base'!G63)*(1+ExpressFuelSurcharge),2))*(1+FedEx_Markup),2)</f>
        <v>263.55</v>
      </c>
      <c r="H66" s="275">
        <f>ROUND(IF(MinBase1Day&gt;ROUND(((1-(OverNightDiscount_21_Up+FedExExrpessEarnedDiscount))*'1Day Base'!H63),2),ROUND(MinBase1Day*(1+ExpressFuelSurcharge),2),ROUND(((1-(OverNightDiscount_21_Up+FedExExrpessEarnedDiscount))*'1Day Base'!H63)*(1+ExpressFuelSurcharge),2))*(1+FedEx_Markup),2)</f>
        <v>268.99</v>
      </c>
    </row>
    <row r="67" ht="12.75" customHeight="1">
      <c r="A67" s="274">
        <v>62.0</v>
      </c>
      <c r="B67" s="275">
        <f>ROUND(IF(MinBase1Day&gt;ROUND(((1-(OverNightDiscount_21_Up+FedExExrpessEarnedDiscount))*'1Day Base'!B64),2),ROUND(MinBase1Day*(1+ExpressFuelSurcharge),2),ROUND(((1-(OverNightDiscount_21_Up+FedExExrpessEarnedDiscount))*'1Day Base'!B64)*(1+ExpressFuelSurcharge),2))*(1+FedEx_Markup),2)</f>
        <v>70.36</v>
      </c>
      <c r="C67" s="275">
        <f>ROUND(IF(MinBase1Day&gt;ROUND(((1-(OverNightDiscount_21_Up+FedExExrpessEarnedDiscount))*'1Day Base'!C64),2),ROUND(MinBase1Day*(1+ExpressFuelSurcharge),2),ROUND(((1-(OverNightDiscount_21_Up+FedExExrpessEarnedDiscount))*'1Day Base'!C64)*(1+ExpressFuelSurcharge),2))*(1+FedEx_Markup),2)</f>
        <v>110.58</v>
      </c>
      <c r="D67" s="275">
        <f>ROUND(IF(MinBase1Day&gt;ROUND(((1-(OverNightDiscount_21_Up+FedExExrpessEarnedDiscount))*'1Day Base'!D64),2),ROUND(MinBase1Day*(1+ExpressFuelSurcharge),2),ROUND(((1-(OverNightDiscount_21_Up+FedExExrpessEarnedDiscount))*'1Day Base'!D64)*(1+ExpressFuelSurcharge),2))*(1+FedEx_Markup),2)</f>
        <v>207.67</v>
      </c>
      <c r="E67" s="275">
        <f>ROUND(IF(MinBase1Day&gt;ROUND(((1-(OverNightDiscount_21_Up+FedExExrpessEarnedDiscount))*'1Day Base'!E64),2),ROUND(MinBase1Day*(1+ExpressFuelSurcharge),2),ROUND(((1-(OverNightDiscount_21_Up+FedExExrpessEarnedDiscount))*'1Day Base'!E64)*(1+ExpressFuelSurcharge),2))*(1+FedEx_Markup),2)</f>
        <v>223.78</v>
      </c>
      <c r="F67" s="275">
        <f>ROUND(IF(MinBase1Day&gt;ROUND(((1-(OverNightDiscount_21_Up+FedExExrpessEarnedDiscount))*'1Day Base'!F64),2),ROUND(MinBase1Day*(1+ExpressFuelSurcharge),2),ROUND(((1-(OverNightDiscount_21_Up+FedExExrpessEarnedDiscount))*'1Day Base'!F64)*(1+ExpressFuelSurcharge),2))*(1+FedEx_Markup),2)</f>
        <v>233.48</v>
      </c>
      <c r="G67" s="275">
        <f>ROUND(IF(MinBase1Day&gt;ROUND(((1-(OverNightDiscount_21_Up+FedExExrpessEarnedDiscount))*'1Day Base'!G64),2),ROUND(MinBase1Day*(1+ExpressFuelSurcharge),2),ROUND(((1-(OverNightDiscount_21_Up+FedExExrpessEarnedDiscount))*'1Day Base'!G64)*(1+ExpressFuelSurcharge),2))*(1+FedEx_Markup),2)</f>
        <v>264.37</v>
      </c>
      <c r="H67" s="275">
        <f>ROUND(IF(MinBase1Day&gt;ROUND(((1-(OverNightDiscount_21_Up+FedExExrpessEarnedDiscount))*'1Day Base'!H64),2),ROUND(MinBase1Day*(1+ExpressFuelSurcharge),2),ROUND(((1-(OverNightDiscount_21_Up+FedExExrpessEarnedDiscount))*'1Day Base'!H64)*(1+ExpressFuelSurcharge),2))*(1+FedEx_Markup),2)</f>
        <v>271.77</v>
      </c>
    </row>
    <row r="68" ht="12.75" customHeight="1">
      <c r="A68" s="274">
        <v>63.0</v>
      </c>
      <c r="B68" s="275">
        <f>ROUND(IF(MinBase1Day&gt;ROUND(((1-(OverNightDiscount_21_Up+FedExExrpessEarnedDiscount))*'1Day Base'!B65),2),ROUND(MinBase1Day*(1+ExpressFuelSurcharge),2),ROUND(((1-(OverNightDiscount_21_Up+FedExExrpessEarnedDiscount))*'1Day Base'!B65)*(1+ExpressFuelSurcharge),2))*(1+FedEx_Markup),2)</f>
        <v>74.85</v>
      </c>
      <c r="C68" s="275">
        <f>ROUND(IF(MinBase1Day&gt;ROUND(((1-(OverNightDiscount_21_Up+FedExExrpessEarnedDiscount))*'1Day Base'!C65),2),ROUND(MinBase1Day*(1+ExpressFuelSurcharge),2),ROUND(((1-(OverNightDiscount_21_Up+FedExExrpessEarnedDiscount))*'1Day Base'!C65)*(1+ExpressFuelSurcharge),2))*(1+FedEx_Markup),2)</f>
        <v>112.78</v>
      </c>
      <c r="D68" s="275">
        <f>ROUND(IF(MinBase1Day&gt;ROUND(((1-(OverNightDiscount_21_Up+FedExExrpessEarnedDiscount))*'1Day Base'!D65),2),ROUND(MinBase1Day*(1+ExpressFuelSurcharge),2),ROUND(((1-(OverNightDiscount_21_Up+FedExExrpessEarnedDiscount))*'1Day Base'!D65)*(1+ExpressFuelSurcharge),2))*(1+FedEx_Markup),2)</f>
        <v>211.85</v>
      </c>
      <c r="E68" s="275">
        <f>ROUND(IF(MinBase1Day&gt;ROUND(((1-(OverNightDiscount_21_Up+FedExExrpessEarnedDiscount))*'1Day Base'!E65),2),ROUND(MinBase1Day*(1+ExpressFuelSurcharge),2),ROUND(((1-(OverNightDiscount_21_Up+FedExExrpessEarnedDiscount))*'1Day Base'!E65)*(1+ExpressFuelSurcharge),2))*(1+FedEx_Markup),2)</f>
        <v>226.33</v>
      </c>
      <c r="F68" s="275">
        <f>ROUND(IF(MinBase1Day&gt;ROUND(((1-(OverNightDiscount_21_Up+FedExExrpessEarnedDiscount))*'1Day Base'!F65),2),ROUND(MinBase1Day*(1+ExpressFuelSurcharge),2),ROUND(((1-(OverNightDiscount_21_Up+FedExExrpessEarnedDiscount))*'1Day Base'!F65)*(1+ExpressFuelSurcharge),2))*(1+FedEx_Markup),2)</f>
        <v>234.6</v>
      </c>
      <c r="G68" s="275">
        <f>ROUND(IF(MinBase1Day&gt;ROUND(((1-(OverNightDiscount_21_Up+FedExExrpessEarnedDiscount))*'1Day Base'!G65),2),ROUND(MinBase1Day*(1+ExpressFuelSurcharge),2),ROUND(((1-(OverNightDiscount_21_Up+FedExExrpessEarnedDiscount))*'1Day Base'!G65)*(1+ExpressFuelSurcharge),2))*(1+FedEx_Markup),2)</f>
        <v>271.35</v>
      </c>
      <c r="H68" s="275">
        <f>ROUND(IF(MinBase1Day&gt;ROUND(((1-(OverNightDiscount_21_Up+FedExExrpessEarnedDiscount))*'1Day Base'!H65),2),ROUND(MinBase1Day*(1+ExpressFuelSurcharge),2),ROUND(((1-(OverNightDiscount_21_Up+FedExExrpessEarnedDiscount))*'1Day Base'!H65)*(1+ExpressFuelSurcharge),2))*(1+FedEx_Markup),2)</f>
        <v>276.94</v>
      </c>
    </row>
    <row r="69" ht="12.75" customHeight="1">
      <c r="A69" s="274">
        <v>64.0</v>
      </c>
      <c r="B69" s="275">
        <f>ROUND(IF(MinBase1Day&gt;ROUND(((1-(OverNightDiscount_21_Up+FedExExrpessEarnedDiscount))*'1Day Base'!B66),2),ROUND(MinBase1Day*(1+ExpressFuelSurcharge),2),ROUND(((1-(OverNightDiscount_21_Up+FedExExrpessEarnedDiscount))*'1Day Base'!B66)*(1+ExpressFuelSurcharge),2))*(1+FedEx_Markup),2)</f>
        <v>77.45</v>
      </c>
      <c r="C69" s="275">
        <f>ROUND(IF(MinBase1Day&gt;ROUND(((1-(OverNightDiscount_21_Up+FedExExrpessEarnedDiscount))*'1Day Base'!C66),2),ROUND(MinBase1Day*(1+ExpressFuelSurcharge),2),ROUND(((1-(OverNightDiscount_21_Up+FedExExrpessEarnedDiscount))*'1Day Base'!C66)*(1+ExpressFuelSurcharge),2))*(1+FedEx_Markup),2)</f>
        <v>113.24</v>
      </c>
      <c r="D69" s="275">
        <f>ROUND(IF(MinBase1Day&gt;ROUND(((1-(OverNightDiscount_21_Up+FedExExrpessEarnedDiscount))*'1Day Base'!D66),2),ROUND(MinBase1Day*(1+ExpressFuelSurcharge),2),ROUND(((1-(OverNightDiscount_21_Up+FedExExrpessEarnedDiscount))*'1Day Base'!D66)*(1+ExpressFuelSurcharge),2))*(1+FedEx_Markup),2)</f>
        <v>212.28</v>
      </c>
      <c r="E69" s="275">
        <f>ROUND(IF(MinBase1Day&gt;ROUND(((1-(OverNightDiscount_21_Up+FedExExrpessEarnedDiscount))*'1Day Base'!E66),2),ROUND(MinBase1Day*(1+ExpressFuelSurcharge),2),ROUND(((1-(OverNightDiscount_21_Up+FedExExrpessEarnedDiscount))*'1Day Base'!E66)*(1+ExpressFuelSurcharge),2))*(1+FedEx_Markup),2)</f>
        <v>232.9</v>
      </c>
      <c r="F69" s="275">
        <f>ROUND(IF(MinBase1Day&gt;ROUND(((1-(OverNightDiscount_21_Up+FedExExrpessEarnedDiscount))*'1Day Base'!F66),2),ROUND(MinBase1Day*(1+ExpressFuelSurcharge),2),ROUND(((1-(OverNightDiscount_21_Up+FedExExrpessEarnedDiscount))*'1Day Base'!F66)*(1+ExpressFuelSurcharge),2))*(1+FedEx_Markup),2)</f>
        <v>242.11</v>
      </c>
      <c r="G69" s="275">
        <f>ROUND(IF(MinBase1Day&gt;ROUND(((1-(OverNightDiscount_21_Up+FedExExrpessEarnedDiscount))*'1Day Base'!G66),2),ROUND(MinBase1Day*(1+ExpressFuelSurcharge),2),ROUND(((1-(OverNightDiscount_21_Up+FedExExrpessEarnedDiscount))*'1Day Base'!G66)*(1+ExpressFuelSurcharge),2))*(1+FedEx_Markup),2)</f>
        <v>276.4</v>
      </c>
      <c r="H69" s="275">
        <f>ROUND(IF(MinBase1Day&gt;ROUND(((1-(OverNightDiscount_21_Up+FedExExrpessEarnedDiscount))*'1Day Base'!H66),2),ROUND(MinBase1Day*(1+ExpressFuelSurcharge),2),ROUND(((1-(OverNightDiscount_21_Up+FedExExrpessEarnedDiscount))*'1Day Base'!H66)*(1+ExpressFuelSurcharge),2))*(1+FedEx_Markup),2)</f>
        <v>287.48</v>
      </c>
    </row>
    <row r="70" ht="12.75" customHeight="1">
      <c r="A70" s="274">
        <v>65.0</v>
      </c>
      <c r="B70" s="275">
        <f>ROUND(IF(MinBase1Day&gt;ROUND(((1-(OverNightDiscount_21_Up+FedExExrpessEarnedDiscount))*'1Day Base'!B67),2),ROUND(MinBase1Day*(1+ExpressFuelSurcharge),2),ROUND(((1-(OverNightDiscount_21_Up+FedExExrpessEarnedDiscount))*'1Day Base'!B67)*(1+ExpressFuelSurcharge),2))*(1+FedEx_Markup),2)</f>
        <v>79.8</v>
      </c>
      <c r="C70" s="275">
        <f>ROUND(IF(MinBase1Day&gt;ROUND(((1-(OverNightDiscount_21_Up+FedExExrpessEarnedDiscount))*'1Day Base'!C67),2),ROUND(MinBase1Day*(1+ExpressFuelSurcharge),2),ROUND(((1-(OverNightDiscount_21_Up+FedExExrpessEarnedDiscount))*'1Day Base'!C67)*(1+ExpressFuelSurcharge),2))*(1+FedEx_Markup),2)</f>
        <v>116.75</v>
      </c>
      <c r="D70" s="275">
        <f>ROUND(IF(MinBase1Day&gt;ROUND(((1-(OverNightDiscount_21_Up+FedExExrpessEarnedDiscount))*'1Day Base'!D67),2),ROUND(MinBase1Day*(1+ExpressFuelSurcharge),2),ROUND(((1-(OverNightDiscount_21_Up+FedExExrpessEarnedDiscount))*'1Day Base'!D67)*(1+ExpressFuelSurcharge),2))*(1+FedEx_Markup),2)</f>
        <v>214.18</v>
      </c>
      <c r="E70" s="275">
        <f>ROUND(IF(MinBase1Day&gt;ROUND(((1-(OverNightDiscount_21_Up+FedExExrpessEarnedDiscount))*'1Day Base'!E67),2),ROUND(MinBase1Day*(1+ExpressFuelSurcharge),2),ROUND(((1-(OverNightDiscount_21_Up+FedExExrpessEarnedDiscount))*'1Day Base'!E67)*(1+ExpressFuelSurcharge),2))*(1+FedEx_Markup),2)</f>
        <v>235.53</v>
      </c>
      <c r="F70" s="275">
        <f>ROUND(IF(MinBase1Day&gt;ROUND(((1-(OverNightDiscount_21_Up+FedExExrpessEarnedDiscount))*'1Day Base'!F67),2),ROUND(MinBase1Day*(1+ExpressFuelSurcharge),2),ROUND(((1-(OverNightDiscount_21_Up+FedExExrpessEarnedDiscount))*'1Day Base'!F67)*(1+ExpressFuelSurcharge),2))*(1+FedEx_Markup),2)</f>
        <v>243.67</v>
      </c>
      <c r="G70" s="275">
        <f>ROUND(IF(MinBase1Day&gt;ROUND(((1-(OverNightDiscount_21_Up+FedExExrpessEarnedDiscount))*'1Day Base'!G67),2),ROUND(MinBase1Day*(1+ExpressFuelSurcharge),2),ROUND(((1-(OverNightDiscount_21_Up+FedExExrpessEarnedDiscount))*'1Day Base'!G67)*(1+ExpressFuelSurcharge),2))*(1+FedEx_Markup),2)</f>
        <v>276.91</v>
      </c>
      <c r="H70" s="275">
        <f>ROUND(IF(MinBase1Day&gt;ROUND(((1-(OverNightDiscount_21_Up+FedExExrpessEarnedDiscount))*'1Day Base'!H67),2),ROUND(MinBase1Day*(1+ExpressFuelSurcharge),2),ROUND(((1-(OverNightDiscount_21_Up+FedExExrpessEarnedDiscount))*'1Day Base'!H67)*(1+ExpressFuelSurcharge),2))*(1+FedEx_Markup),2)</f>
        <v>290.8</v>
      </c>
    </row>
    <row r="71" ht="12.75" customHeight="1">
      <c r="A71" s="274">
        <v>66.0</v>
      </c>
      <c r="B71" s="275">
        <f>ROUND(IF(MinBase1Day&gt;ROUND(((1-(OverNightDiscount_21_Up+FedExExrpessEarnedDiscount))*'1Day Base'!B68),2),ROUND(MinBase1Day*(1+ExpressFuelSurcharge),2),ROUND(((1-(OverNightDiscount_21_Up+FedExExrpessEarnedDiscount))*'1Day Base'!B68)*(1+ExpressFuelSurcharge),2))*(1+FedEx_Markup),2)</f>
        <v>81.26</v>
      </c>
      <c r="C71" s="275">
        <f>ROUND(IF(MinBase1Day&gt;ROUND(((1-(OverNightDiscount_21_Up+FedExExrpessEarnedDiscount))*'1Day Base'!C68),2),ROUND(MinBase1Day*(1+ExpressFuelSurcharge),2),ROUND(((1-(OverNightDiscount_21_Up+FedExExrpessEarnedDiscount))*'1Day Base'!C68)*(1+ExpressFuelSurcharge),2))*(1+FedEx_Markup),2)</f>
        <v>117.1</v>
      </c>
      <c r="D71" s="275">
        <f>ROUND(IF(MinBase1Day&gt;ROUND(((1-(OverNightDiscount_21_Up+FedExExrpessEarnedDiscount))*'1Day Base'!D68),2),ROUND(MinBase1Day*(1+ExpressFuelSurcharge),2),ROUND(((1-(OverNightDiscount_21_Up+FedExExrpessEarnedDiscount))*'1Day Base'!D68)*(1+ExpressFuelSurcharge),2))*(1+FedEx_Markup),2)</f>
        <v>222.19</v>
      </c>
      <c r="E71" s="275">
        <f>ROUND(IF(MinBase1Day&gt;ROUND(((1-(OverNightDiscount_21_Up+FedExExrpessEarnedDiscount))*'1Day Base'!E68),2),ROUND(MinBase1Day*(1+ExpressFuelSurcharge),2),ROUND(((1-(OverNightDiscount_21_Up+FedExExrpessEarnedDiscount))*'1Day Base'!E68)*(1+ExpressFuelSurcharge),2))*(1+FedEx_Markup),2)</f>
        <v>243.12</v>
      </c>
      <c r="F71" s="275">
        <f>ROUND(IF(MinBase1Day&gt;ROUND(((1-(OverNightDiscount_21_Up+FedExExrpessEarnedDiscount))*'1Day Base'!F68),2),ROUND(MinBase1Day*(1+ExpressFuelSurcharge),2),ROUND(((1-(OverNightDiscount_21_Up+FedExExrpessEarnedDiscount))*'1Day Base'!F68)*(1+ExpressFuelSurcharge),2))*(1+FedEx_Markup),2)</f>
        <v>251.39</v>
      </c>
      <c r="G71" s="275">
        <f>ROUND(IF(MinBase1Day&gt;ROUND(((1-(OverNightDiscount_21_Up+FedExExrpessEarnedDiscount))*'1Day Base'!G68),2),ROUND(MinBase1Day*(1+ExpressFuelSurcharge),2),ROUND(((1-(OverNightDiscount_21_Up+FedExExrpessEarnedDiscount))*'1Day Base'!G68)*(1+ExpressFuelSurcharge),2))*(1+FedEx_Markup),2)</f>
        <v>277.3</v>
      </c>
      <c r="H71" s="275">
        <f>ROUND(IF(MinBase1Day&gt;ROUND(((1-(OverNightDiscount_21_Up+FedExExrpessEarnedDiscount))*'1Day Base'!H68),2),ROUND(MinBase1Day*(1+ExpressFuelSurcharge),2),ROUND(((1-(OverNightDiscount_21_Up+FedExExrpessEarnedDiscount))*'1Day Base'!H68)*(1+ExpressFuelSurcharge),2))*(1+FedEx_Markup),2)</f>
        <v>291.41</v>
      </c>
    </row>
    <row r="72" ht="12.75" customHeight="1">
      <c r="A72" s="274">
        <v>67.0</v>
      </c>
      <c r="B72" s="275">
        <f>ROUND(IF(MinBase1Day&gt;ROUND(((1-(OverNightDiscount_21_Up+FedExExrpessEarnedDiscount))*'1Day Base'!B69),2),ROUND(MinBase1Day*(1+ExpressFuelSurcharge),2),ROUND(((1-(OverNightDiscount_21_Up+FedExExrpessEarnedDiscount))*'1Day Base'!B69)*(1+ExpressFuelSurcharge),2))*(1+FedEx_Markup),2)</f>
        <v>82.44</v>
      </c>
      <c r="C72" s="275">
        <f>ROUND(IF(MinBase1Day&gt;ROUND(((1-(OverNightDiscount_21_Up+FedExExrpessEarnedDiscount))*'1Day Base'!C69),2),ROUND(MinBase1Day*(1+ExpressFuelSurcharge),2),ROUND(((1-(OverNightDiscount_21_Up+FedExExrpessEarnedDiscount))*'1Day Base'!C69)*(1+ExpressFuelSurcharge),2))*(1+FedEx_Markup),2)</f>
        <v>121.73</v>
      </c>
      <c r="D72" s="275">
        <f>ROUND(IF(MinBase1Day&gt;ROUND(((1-(OverNightDiscount_21_Up+FedExExrpessEarnedDiscount))*'1Day Base'!D69),2),ROUND(MinBase1Day*(1+ExpressFuelSurcharge),2),ROUND(((1-(OverNightDiscount_21_Up+FedExExrpessEarnedDiscount))*'1Day Base'!D69)*(1+ExpressFuelSurcharge),2))*(1+FedEx_Markup),2)</f>
        <v>224.35</v>
      </c>
      <c r="E72" s="275">
        <f>ROUND(IF(MinBase1Day&gt;ROUND(((1-(OverNightDiscount_21_Up+FedExExrpessEarnedDiscount))*'1Day Base'!E69),2),ROUND(MinBase1Day*(1+ExpressFuelSurcharge),2),ROUND(((1-(OverNightDiscount_21_Up+FedExExrpessEarnedDiscount))*'1Day Base'!E69)*(1+ExpressFuelSurcharge),2))*(1+FedEx_Markup),2)</f>
        <v>243.88</v>
      </c>
      <c r="F72" s="275">
        <f>ROUND(IF(MinBase1Day&gt;ROUND(((1-(OverNightDiscount_21_Up+FedExExrpessEarnedDiscount))*'1Day Base'!F69),2),ROUND(MinBase1Day*(1+ExpressFuelSurcharge),2),ROUND(((1-(OverNightDiscount_21_Up+FedExExrpessEarnedDiscount))*'1Day Base'!F69)*(1+ExpressFuelSurcharge),2))*(1+FedEx_Markup),2)</f>
        <v>252.16</v>
      </c>
      <c r="G72" s="275">
        <f>ROUND(IF(MinBase1Day&gt;ROUND(((1-(OverNightDiscount_21_Up+FedExExrpessEarnedDiscount))*'1Day Base'!G69),2),ROUND(MinBase1Day*(1+ExpressFuelSurcharge),2),ROUND(((1-(OverNightDiscount_21_Up+FedExExrpessEarnedDiscount))*'1Day Base'!G69)*(1+ExpressFuelSurcharge),2))*(1+FedEx_Markup),2)</f>
        <v>281.27</v>
      </c>
      <c r="H72" s="275">
        <f>ROUND(IF(MinBase1Day&gt;ROUND(((1-(OverNightDiscount_21_Up+FedExExrpessEarnedDiscount))*'1Day Base'!H69),2),ROUND(MinBase1Day*(1+ExpressFuelSurcharge),2),ROUND(((1-(OverNightDiscount_21_Up+FedExExrpessEarnedDiscount))*'1Day Base'!H69)*(1+ExpressFuelSurcharge),2))*(1+FedEx_Markup),2)</f>
        <v>291.62</v>
      </c>
    </row>
    <row r="73" ht="12.75" customHeight="1">
      <c r="A73" s="274">
        <v>68.0</v>
      </c>
      <c r="B73" s="275">
        <f>ROUND(IF(MinBase1Day&gt;ROUND(((1-(OverNightDiscount_21_Up+FedExExrpessEarnedDiscount))*'1Day Base'!B70),2),ROUND(MinBase1Day*(1+ExpressFuelSurcharge),2),ROUND(((1-(OverNightDiscount_21_Up+FedExExrpessEarnedDiscount))*'1Day Base'!B70)*(1+ExpressFuelSurcharge),2))*(1+FedEx_Markup),2)</f>
        <v>82.87</v>
      </c>
      <c r="C73" s="275">
        <f>ROUND(IF(MinBase1Day&gt;ROUND(((1-(OverNightDiscount_21_Up+FedExExrpessEarnedDiscount))*'1Day Base'!C70),2),ROUND(MinBase1Day*(1+ExpressFuelSurcharge),2),ROUND(((1-(OverNightDiscount_21_Up+FedExExrpessEarnedDiscount))*'1Day Base'!C70)*(1+ExpressFuelSurcharge),2))*(1+FedEx_Markup),2)</f>
        <v>123.98</v>
      </c>
      <c r="D73" s="275">
        <f>ROUND(IF(MinBase1Day&gt;ROUND(((1-(OverNightDiscount_21_Up+FedExExrpessEarnedDiscount))*'1Day Base'!D70),2),ROUND(MinBase1Day*(1+ExpressFuelSurcharge),2),ROUND(((1-(OverNightDiscount_21_Up+FedExExrpessEarnedDiscount))*'1Day Base'!D70)*(1+ExpressFuelSurcharge),2))*(1+FedEx_Markup),2)</f>
        <v>224.56</v>
      </c>
      <c r="E73" s="275">
        <f>ROUND(IF(MinBase1Day&gt;ROUND(((1-(OverNightDiscount_21_Up+FedExExrpessEarnedDiscount))*'1Day Base'!E70),2),ROUND(MinBase1Day*(1+ExpressFuelSurcharge),2),ROUND(((1-(OverNightDiscount_21_Up+FedExExrpessEarnedDiscount))*'1Day Base'!E70)*(1+ExpressFuelSurcharge),2))*(1+FedEx_Markup),2)</f>
        <v>246.99</v>
      </c>
      <c r="F73" s="275">
        <f>ROUND(IF(MinBase1Day&gt;ROUND(((1-(OverNightDiscount_21_Up+FedExExrpessEarnedDiscount))*'1Day Base'!F70),2),ROUND(MinBase1Day*(1+ExpressFuelSurcharge),2),ROUND(((1-(OverNightDiscount_21_Up+FedExExrpessEarnedDiscount))*'1Day Base'!F70)*(1+ExpressFuelSurcharge),2))*(1+FedEx_Markup),2)</f>
        <v>252.39</v>
      </c>
      <c r="G73" s="275">
        <f>ROUND(IF(MinBase1Day&gt;ROUND(((1-(OverNightDiscount_21_Up+FedExExrpessEarnedDiscount))*'1Day Base'!G70),2),ROUND(MinBase1Day*(1+ExpressFuelSurcharge),2),ROUND(((1-(OverNightDiscount_21_Up+FedExExrpessEarnedDiscount))*'1Day Base'!G70)*(1+ExpressFuelSurcharge),2))*(1+FedEx_Markup),2)</f>
        <v>281.67</v>
      </c>
      <c r="H73" s="275">
        <f>ROUND(IF(MinBase1Day&gt;ROUND(((1-(OverNightDiscount_21_Up+FedExExrpessEarnedDiscount))*'1Day Base'!H70),2),ROUND(MinBase1Day*(1+ExpressFuelSurcharge),2),ROUND(((1-(OverNightDiscount_21_Up+FedExExrpessEarnedDiscount))*'1Day Base'!H70)*(1+ExpressFuelSurcharge),2))*(1+FedEx_Markup),2)</f>
        <v>293.37</v>
      </c>
    </row>
    <row r="74" ht="12.75" customHeight="1">
      <c r="A74" s="274">
        <v>69.0</v>
      </c>
      <c r="B74" s="275">
        <f>ROUND(IF(MinBase1Day&gt;ROUND(((1-(OverNightDiscount_21_Up+FedExExrpessEarnedDiscount))*'1Day Base'!B71),2),ROUND(MinBase1Day*(1+ExpressFuelSurcharge),2),ROUND(((1-(OverNightDiscount_21_Up+FedExExrpessEarnedDiscount))*'1Day Base'!B71)*(1+ExpressFuelSurcharge),2))*(1+FedEx_Markup),2)</f>
        <v>83.08</v>
      </c>
      <c r="C74" s="275">
        <f>ROUND(IF(MinBase1Day&gt;ROUND(((1-(OverNightDiscount_21_Up+FedExExrpessEarnedDiscount))*'1Day Base'!C71),2),ROUND(MinBase1Day*(1+ExpressFuelSurcharge),2),ROUND(((1-(OverNightDiscount_21_Up+FedExExrpessEarnedDiscount))*'1Day Base'!C71)*(1+ExpressFuelSurcharge),2))*(1+FedEx_Markup),2)</f>
        <v>126.02</v>
      </c>
      <c r="D74" s="275">
        <f>ROUND(IF(MinBase1Day&gt;ROUND(((1-(OverNightDiscount_21_Up+FedExExrpessEarnedDiscount))*'1Day Base'!D71),2),ROUND(MinBase1Day*(1+ExpressFuelSurcharge),2),ROUND(((1-(OverNightDiscount_21_Up+FedExExrpessEarnedDiscount))*'1Day Base'!D71)*(1+ExpressFuelSurcharge),2))*(1+FedEx_Markup),2)</f>
        <v>224.8</v>
      </c>
      <c r="E74" s="275">
        <f>ROUND(IF(MinBase1Day&gt;ROUND(((1-(OverNightDiscount_21_Up+FedExExrpessEarnedDiscount))*'1Day Base'!E71),2),ROUND(MinBase1Day*(1+ExpressFuelSurcharge),2),ROUND(((1-(OverNightDiscount_21_Up+FedExExrpessEarnedDiscount))*'1Day Base'!E71)*(1+ExpressFuelSurcharge),2))*(1+FedEx_Markup),2)</f>
        <v>247.7</v>
      </c>
      <c r="F74" s="275">
        <f>ROUND(IF(MinBase1Day&gt;ROUND(((1-(OverNightDiscount_21_Up+FedExExrpessEarnedDiscount))*'1Day Base'!F71),2),ROUND(MinBase1Day*(1+ExpressFuelSurcharge),2),ROUND(((1-(OverNightDiscount_21_Up+FedExExrpessEarnedDiscount))*'1Day Base'!F71)*(1+ExpressFuelSurcharge),2))*(1+FedEx_Markup),2)</f>
        <v>252.8</v>
      </c>
      <c r="G74" s="275">
        <f>ROUND(IF(MinBase1Day&gt;ROUND(((1-(OverNightDiscount_21_Up+FedExExrpessEarnedDiscount))*'1Day Base'!G71),2),ROUND(MinBase1Day*(1+ExpressFuelSurcharge),2),ROUND(((1-(OverNightDiscount_21_Up+FedExExrpessEarnedDiscount))*'1Day Base'!G71)*(1+ExpressFuelSurcharge),2))*(1+FedEx_Markup),2)</f>
        <v>281.83</v>
      </c>
      <c r="H74" s="275">
        <f>ROUND(IF(MinBase1Day&gt;ROUND(((1-(OverNightDiscount_21_Up+FedExExrpessEarnedDiscount))*'1Day Base'!H71),2),ROUND(MinBase1Day*(1+ExpressFuelSurcharge),2),ROUND(((1-(OverNightDiscount_21_Up+FedExExrpessEarnedDiscount))*'1Day Base'!H71)*(1+ExpressFuelSurcharge),2))*(1+FedEx_Markup),2)</f>
        <v>294.89</v>
      </c>
    </row>
    <row r="75" ht="12.75" customHeight="1">
      <c r="A75" s="274">
        <v>70.0</v>
      </c>
      <c r="B75" s="275">
        <f>ROUND(IF(MinBase1Day&gt;ROUND(((1-(OverNightDiscount_21_Up+FedExExrpessEarnedDiscount))*'1Day Base'!B72),2),ROUND(MinBase1Day*(1+ExpressFuelSurcharge),2),ROUND(((1-(OverNightDiscount_21_Up+FedExExrpessEarnedDiscount))*'1Day Base'!B72)*(1+ExpressFuelSurcharge),2))*(1+FedEx_Markup),2)</f>
        <v>87.17</v>
      </c>
      <c r="C75" s="275">
        <f>ROUND(IF(MinBase1Day&gt;ROUND(((1-(OverNightDiscount_21_Up+FedExExrpessEarnedDiscount))*'1Day Base'!C72),2),ROUND(MinBase1Day*(1+ExpressFuelSurcharge),2),ROUND(((1-(OverNightDiscount_21_Up+FedExExrpessEarnedDiscount))*'1Day Base'!C72)*(1+ExpressFuelSurcharge),2))*(1+FedEx_Markup),2)</f>
        <v>128.64</v>
      </c>
      <c r="D75" s="275">
        <f>ROUND(IF(MinBase1Day&gt;ROUND(((1-(OverNightDiscount_21_Up+FedExExrpessEarnedDiscount))*'1Day Base'!D72),2),ROUND(MinBase1Day*(1+ExpressFuelSurcharge),2),ROUND(((1-(OverNightDiscount_21_Up+FedExExrpessEarnedDiscount))*'1Day Base'!D72)*(1+ExpressFuelSurcharge),2))*(1+FedEx_Markup),2)</f>
        <v>225.01</v>
      </c>
      <c r="E75" s="275">
        <f>ROUND(IF(MinBase1Day&gt;ROUND(((1-(OverNightDiscount_21_Up+FedExExrpessEarnedDiscount))*'1Day Base'!E72),2),ROUND(MinBase1Day*(1+ExpressFuelSurcharge),2),ROUND(((1-(OverNightDiscount_21_Up+FedExExrpessEarnedDiscount))*'1Day Base'!E72)*(1+ExpressFuelSurcharge),2))*(1+FedEx_Markup),2)</f>
        <v>247.92</v>
      </c>
      <c r="F75" s="275">
        <f>ROUND(IF(MinBase1Day&gt;ROUND(((1-(OverNightDiscount_21_Up+FedExExrpessEarnedDiscount))*'1Day Base'!F72),2),ROUND(MinBase1Day*(1+ExpressFuelSurcharge),2),ROUND(((1-(OverNightDiscount_21_Up+FedExExrpessEarnedDiscount))*'1Day Base'!F72)*(1+ExpressFuelSurcharge),2))*(1+FedEx_Markup),2)</f>
        <v>253.03</v>
      </c>
      <c r="G75" s="275">
        <f>ROUND(IF(MinBase1Day&gt;ROUND(((1-(OverNightDiscount_21_Up+FedExExrpessEarnedDiscount))*'1Day Base'!G72),2),ROUND(MinBase1Day*(1+ExpressFuelSurcharge),2),ROUND(((1-(OverNightDiscount_21_Up+FedExExrpessEarnedDiscount))*'1Day Base'!G72)*(1+ExpressFuelSurcharge),2))*(1+FedEx_Markup),2)</f>
        <v>282.26</v>
      </c>
      <c r="H75" s="275">
        <f>ROUND(IF(MinBase1Day&gt;ROUND(((1-(OverNightDiscount_21_Up+FedExExrpessEarnedDiscount))*'1Day Base'!H72),2),ROUND(MinBase1Day*(1+ExpressFuelSurcharge),2),ROUND(((1-(OverNightDiscount_21_Up+FedExExrpessEarnedDiscount))*'1Day Base'!H72)*(1+ExpressFuelSurcharge),2))*(1+FedEx_Markup),2)</f>
        <v>299.69</v>
      </c>
    </row>
    <row r="76" ht="12.75" customHeight="1">
      <c r="A76" s="274">
        <v>71.0</v>
      </c>
      <c r="B76" s="275">
        <f>ROUND(IF(MinBase1Day&gt;ROUND(((1-(OverNightDiscount_21_Up+FedExExrpessEarnedDiscount))*'1Day Base'!B73),2),ROUND(MinBase1Day*(1+ExpressFuelSurcharge),2),ROUND(((1-(OverNightDiscount_21_Up+FedExExrpessEarnedDiscount))*'1Day Base'!B73)*(1+ExpressFuelSurcharge),2))*(1+FedEx_Markup),2)</f>
        <v>88.84</v>
      </c>
      <c r="C76" s="275">
        <f>ROUND(IF(MinBase1Day&gt;ROUND(((1-(OverNightDiscount_21_Up+FedExExrpessEarnedDiscount))*'1Day Base'!C73),2),ROUND(MinBase1Day*(1+ExpressFuelSurcharge),2),ROUND(((1-(OverNightDiscount_21_Up+FedExExrpessEarnedDiscount))*'1Day Base'!C73)*(1+ExpressFuelSurcharge),2))*(1+FedEx_Markup),2)</f>
        <v>130.69</v>
      </c>
      <c r="D76" s="275">
        <f>ROUND(IF(MinBase1Day&gt;ROUND(((1-(OverNightDiscount_21_Up+FedExExrpessEarnedDiscount))*'1Day Base'!D73),2),ROUND(MinBase1Day*(1+ExpressFuelSurcharge),2),ROUND(((1-(OverNightDiscount_21_Up+FedExExrpessEarnedDiscount))*'1Day Base'!D73)*(1+ExpressFuelSurcharge),2))*(1+FedEx_Markup),2)</f>
        <v>225.77</v>
      </c>
      <c r="E76" s="275">
        <f>ROUND(IF(MinBase1Day&gt;ROUND(((1-(OverNightDiscount_21_Up+FedExExrpessEarnedDiscount))*'1Day Base'!E73),2),ROUND(MinBase1Day*(1+ExpressFuelSurcharge),2),ROUND(((1-(OverNightDiscount_21_Up+FedExExrpessEarnedDiscount))*'1Day Base'!E73)*(1+ExpressFuelSurcharge),2))*(1+FedEx_Markup),2)</f>
        <v>248.38</v>
      </c>
      <c r="F76" s="275">
        <f>ROUND(IF(MinBase1Day&gt;ROUND(((1-(OverNightDiscount_21_Up+FedExExrpessEarnedDiscount))*'1Day Base'!F73),2),ROUND(MinBase1Day*(1+ExpressFuelSurcharge),2),ROUND(((1-(OverNightDiscount_21_Up+FedExExrpessEarnedDiscount))*'1Day Base'!F73)*(1+ExpressFuelSurcharge),2))*(1+FedEx_Markup),2)</f>
        <v>253.52</v>
      </c>
      <c r="G76" s="275">
        <f>ROUND(IF(MinBase1Day&gt;ROUND(((1-(OverNightDiscount_21_Up+FedExExrpessEarnedDiscount))*'1Day Base'!G73),2),ROUND(MinBase1Day*(1+ExpressFuelSurcharge),2),ROUND(((1-(OverNightDiscount_21_Up+FedExExrpessEarnedDiscount))*'1Day Base'!G73)*(1+ExpressFuelSurcharge),2))*(1+FedEx_Markup),2)</f>
        <v>290.61</v>
      </c>
      <c r="H76" s="275">
        <f>ROUND(IF(MinBase1Day&gt;ROUND(((1-(OverNightDiscount_21_Up+FedExExrpessEarnedDiscount))*'1Day Base'!H73),2),ROUND(MinBase1Day*(1+ExpressFuelSurcharge),2),ROUND(((1-(OverNightDiscount_21_Up+FedExExrpessEarnedDiscount))*'1Day Base'!H73)*(1+ExpressFuelSurcharge),2))*(1+FedEx_Markup),2)</f>
        <v>300.81</v>
      </c>
    </row>
    <row r="77" ht="12.75" customHeight="1">
      <c r="A77" s="274">
        <v>72.0</v>
      </c>
      <c r="B77" s="275">
        <f>ROUND(IF(MinBase1Day&gt;ROUND(((1-(OverNightDiscount_21_Up+FedExExrpessEarnedDiscount))*'1Day Base'!B74),2),ROUND(MinBase1Day*(1+ExpressFuelSurcharge),2),ROUND(((1-(OverNightDiscount_21_Up+FedExExrpessEarnedDiscount))*'1Day Base'!B74)*(1+ExpressFuelSurcharge),2))*(1+FedEx_Markup),2)</f>
        <v>89.06</v>
      </c>
      <c r="C77" s="275">
        <f>ROUND(IF(MinBase1Day&gt;ROUND(((1-(OverNightDiscount_21_Up+FedExExrpessEarnedDiscount))*'1Day Base'!C74),2),ROUND(MinBase1Day*(1+ExpressFuelSurcharge),2),ROUND(((1-(OverNightDiscount_21_Up+FedExExrpessEarnedDiscount))*'1Day Base'!C74)*(1+ExpressFuelSurcharge),2))*(1+FedEx_Markup),2)</f>
        <v>132.71</v>
      </c>
      <c r="D77" s="275">
        <f>ROUND(IF(MinBase1Day&gt;ROUND(((1-(OverNightDiscount_21_Up+FedExExrpessEarnedDiscount))*'1Day Base'!D74),2),ROUND(MinBase1Day*(1+ExpressFuelSurcharge),2),ROUND(((1-(OverNightDiscount_21_Up+FedExExrpessEarnedDiscount))*'1Day Base'!D74)*(1+ExpressFuelSurcharge),2))*(1+FedEx_Markup),2)</f>
        <v>240.83</v>
      </c>
      <c r="E77" s="275">
        <f>ROUND(IF(MinBase1Day&gt;ROUND(((1-(OverNightDiscount_21_Up+FedExExrpessEarnedDiscount))*'1Day Base'!E74),2),ROUND(MinBase1Day*(1+ExpressFuelSurcharge),2),ROUND(((1-(OverNightDiscount_21_Up+FedExExrpessEarnedDiscount))*'1Day Base'!E74)*(1+ExpressFuelSurcharge),2))*(1+FedEx_Markup),2)</f>
        <v>253.53</v>
      </c>
      <c r="F77" s="275">
        <f>ROUND(IF(MinBase1Day&gt;ROUND(((1-(OverNightDiscount_21_Up+FedExExrpessEarnedDiscount))*'1Day Base'!F74),2),ROUND(MinBase1Day*(1+ExpressFuelSurcharge),2),ROUND(((1-(OverNightDiscount_21_Up+FedExExrpessEarnedDiscount))*'1Day Base'!F74)*(1+ExpressFuelSurcharge),2))*(1+FedEx_Markup),2)</f>
        <v>258.6</v>
      </c>
      <c r="G77" s="275">
        <f>ROUND(IF(MinBase1Day&gt;ROUND(((1-(OverNightDiscount_21_Up+FedExExrpessEarnedDiscount))*'1Day Base'!G74),2),ROUND(MinBase1Day*(1+ExpressFuelSurcharge),2),ROUND(((1-(OverNightDiscount_21_Up+FedExExrpessEarnedDiscount))*'1Day Base'!G74)*(1+ExpressFuelSurcharge),2))*(1+FedEx_Markup),2)</f>
        <v>302.42</v>
      </c>
      <c r="H77" s="275">
        <f>ROUND(IF(MinBase1Day&gt;ROUND(((1-(OverNightDiscount_21_Up+FedExExrpessEarnedDiscount))*'1Day Base'!H74),2),ROUND(MinBase1Day*(1+ExpressFuelSurcharge),2),ROUND(((1-(OverNightDiscount_21_Up+FedExExrpessEarnedDiscount))*'1Day Base'!H74)*(1+ExpressFuelSurcharge),2))*(1+FedEx_Markup),2)</f>
        <v>315.53</v>
      </c>
    </row>
    <row r="78" ht="12.75" customHeight="1">
      <c r="A78" s="274">
        <v>73.0</v>
      </c>
      <c r="B78" s="275">
        <f>ROUND(IF(MinBase1Day&gt;ROUND(((1-(OverNightDiscount_21_Up+FedExExrpessEarnedDiscount))*'1Day Base'!B75),2),ROUND(MinBase1Day*(1+ExpressFuelSurcharge),2),ROUND(((1-(OverNightDiscount_21_Up+FedExExrpessEarnedDiscount))*'1Day Base'!B75)*(1+ExpressFuelSurcharge),2))*(1+FedEx_Markup),2)</f>
        <v>89.44</v>
      </c>
      <c r="C78" s="275">
        <f>ROUND(IF(MinBase1Day&gt;ROUND(((1-(OverNightDiscount_21_Up+FedExExrpessEarnedDiscount))*'1Day Base'!C75),2),ROUND(MinBase1Day*(1+ExpressFuelSurcharge),2),ROUND(((1-(OverNightDiscount_21_Up+FedExExrpessEarnedDiscount))*'1Day Base'!C75)*(1+ExpressFuelSurcharge),2))*(1+FedEx_Markup),2)</f>
        <v>135.7</v>
      </c>
      <c r="D78" s="275">
        <f>ROUND(IF(MinBase1Day&gt;ROUND(((1-(OverNightDiscount_21_Up+FedExExrpessEarnedDiscount))*'1Day Base'!D75),2),ROUND(MinBase1Day*(1+ExpressFuelSurcharge),2),ROUND(((1-(OverNightDiscount_21_Up+FedExExrpessEarnedDiscount))*'1Day Base'!D75)*(1+ExpressFuelSurcharge),2))*(1+FedEx_Markup),2)</f>
        <v>242.34</v>
      </c>
      <c r="E78" s="275">
        <f>ROUND(IF(MinBase1Day&gt;ROUND(((1-(OverNightDiscount_21_Up+FedExExrpessEarnedDiscount))*'1Day Base'!E75),2),ROUND(MinBase1Day*(1+ExpressFuelSurcharge),2),ROUND(((1-(OverNightDiscount_21_Up+FedExExrpessEarnedDiscount))*'1Day Base'!E75)*(1+ExpressFuelSurcharge),2))*(1+FedEx_Markup),2)</f>
        <v>257.63</v>
      </c>
      <c r="F78" s="275">
        <f>ROUND(IF(MinBase1Day&gt;ROUND(((1-(OverNightDiscount_21_Up+FedExExrpessEarnedDiscount))*'1Day Base'!F75),2),ROUND(MinBase1Day*(1+ExpressFuelSurcharge),2),ROUND(((1-(OverNightDiscount_21_Up+FedExExrpessEarnedDiscount))*'1Day Base'!F75)*(1+ExpressFuelSurcharge),2))*(1+FedEx_Markup),2)</f>
        <v>262.95</v>
      </c>
      <c r="G78" s="275">
        <f>ROUND(IF(MinBase1Day&gt;ROUND(((1-(OverNightDiscount_21_Up+FedExExrpessEarnedDiscount))*'1Day Base'!G75),2),ROUND(MinBase1Day*(1+ExpressFuelSurcharge),2),ROUND(((1-(OverNightDiscount_21_Up+FedExExrpessEarnedDiscount))*'1Day Base'!G75)*(1+ExpressFuelSurcharge),2))*(1+FedEx_Markup),2)</f>
        <v>308.82</v>
      </c>
      <c r="H78" s="275">
        <f>ROUND(IF(MinBase1Day&gt;ROUND(((1-(OverNightDiscount_21_Up+FedExExrpessEarnedDiscount))*'1Day Base'!H75),2),ROUND(MinBase1Day*(1+ExpressFuelSurcharge),2),ROUND(((1-(OverNightDiscount_21_Up+FedExExrpessEarnedDiscount))*'1Day Base'!H75)*(1+ExpressFuelSurcharge),2))*(1+FedEx_Markup),2)</f>
        <v>324.62</v>
      </c>
    </row>
    <row r="79" ht="12.75" customHeight="1">
      <c r="A79" s="274">
        <v>74.0</v>
      </c>
      <c r="B79" s="275">
        <f>ROUND(IF(MinBase1Day&gt;ROUND(((1-(OverNightDiscount_21_Up+FedExExrpessEarnedDiscount))*'1Day Base'!B76),2),ROUND(MinBase1Day*(1+ExpressFuelSurcharge),2),ROUND(((1-(OverNightDiscount_21_Up+FedExExrpessEarnedDiscount))*'1Day Base'!B76)*(1+ExpressFuelSurcharge),2))*(1+FedEx_Markup),2)</f>
        <v>89.79</v>
      </c>
      <c r="C79" s="275">
        <f>ROUND(IF(MinBase1Day&gt;ROUND(((1-(OverNightDiscount_21_Up+FedExExrpessEarnedDiscount))*'1Day Base'!C76),2),ROUND(MinBase1Day*(1+ExpressFuelSurcharge),2),ROUND(((1-(OverNightDiscount_21_Up+FedExExrpessEarnedDiscount))*'1Day Base'!C76)*(1+ExpressFuelSurcharge),2))*(1+FedEx_Markup),2)</f>
        <v>136.01</v>
      </c>
      <c r="D79" s="275">
        <f>ROUND(IF(MinBase1Day&gt;ROUND(((1-(OverNightDiscount_21_Up+FedExExrpessEarnedDiscount))*'1Day Base'!D76),2),ROUND(MinBase1Day*(1+ExpressFuelSurcharge),2),ROUND(((1-(OverNightDiscount_21_Up+FedExExrpessEarnedDiscount))*'1Day Base'!D76)*(1+ExpressFuelSurcharge),2))*(1+FedEx_Markup),2)</f>
        <v>242.57</v>
      </c>
      <c r="E79" s="275">
        <f>ROUND(IF(MinBase1Day&gt;ROUND(((1-(OverNightDiscount_21_Up+FedExExrpessEarnedDiscount))*'1Day Base'!E76),2),ROUND(MinBase1Day*(1+ExpressFuelSurcharge),2),ROUND(((1-(OverNightDiscount_21_Up+FedExExrpessEarnedDiscount))*'1Day Base'!E76)*(1+ExpressFuelSurcharge),2))*(1+FedEx_Markup),2)</f>
        <v>258.05</v>
      </c>
      <c r="F79" s="275">
        <f>ROUND(IF(MinBase1Day&gt;ROUND(((1-(OverNightDiscount_21_Up+FedExExrpessEarnedDiscount))*'1Day Base'!F76),2),ROUND(MinBase1Day*(1+ExpressFuelSurcharge),2),ROUND(((1-(OverNightDiscount_21_Up+FedExExrpessEarnedDiscount))*'1Day Base'!F76)*(1+ExpressFuelSurcharge),2))*(1+FedEx_Markup),2)</f>
        <v>263.37</v>
      </c>
      <c r="G79" s="275">
        <f>ROUND(IF(MinBase1Day&gt;ROUND(((1-(OverNightDiscount_21_Up+FedExExrpessEarnedDiscount))*'1Day Base'!G76),2),ROUND(MinBase1Day*(1+ExpressFuelSurcharge),2),ROUND(((1-(OverNightDiscount_21_Up+FedExExrpessEarnedDiscount))*'1Day Base'!G76)*(1+ExpressFuelSurcharge),2))*(1+FedEx_Markup),2)</f>
        <v>309.47</v>
      </c>
      <c r="H79" s="275">
        <f>ROUND(IF(MinBase1Day&gt;ROUND(((1-(OverNightDiscount_21_Up+FedExExrpessEarnedDiscount))*'1Day Base'!H76),2),ROUND(MinBase1Day*(1+ExpressFuelSurcharge),2),ROUND(((1-(OverNightDiscount_21_Up+FedExExrpessEarnedDiscount))*'1Day Base'!H76)*(1+ExpressFuelSurcharge),2))*(1+FedEx_Markup),2)</f>
        <v>325.53</v>
      </c>
    </row>
    <row r="80" ht="12.75" customHeight="1">
      <c r="A80" s="274">
        <v>75.0</v>
      </c>
      <c r="B80" s="275">
        <f>ROUND(IF(MinBase1Day&gt;ROUND(((1-(OverNightDiscount_21_Up+FedExExrpessEarnedDiscount))*'1Day Base'!B77),2),ROUND(MinBase1Day*(1+ExpressFuelSurcharge),2),ROUND(((1-(OverNightDiscount_21_Up+FedExExrpessEarnedDiscount))*'1Day Base'!B77)*(1+ExpressFuelSurcharge),2))*(1+FedEx_Markup),2)</f>
        <v>94.89</v>
      </c>
      <c r="C80" s="275">
        <f>ROUND(IF(MinBase1Day&gt;ROUND(((1-(OverNightDiscount_21_Up+FedExExrpessEarnedDiscount))*'1Day Base'!C77),2),ROUND(MinBase1Day*(1+ExpressFuelSurcharge),2),ROUND(((1-(OverNightDiscount_21_Up+FedExExrpessEarnedDiscount))*'1Day Base'!C77)*(1+ExpressFuelSurcharge),2))*(1+FedEx_Markup),2)</f>
        <v>139.37</v>
      </c>
      <c r="D80" s="275">
        <f>ROUND(IF(MinBase1Day&gt;ROUND(((1-(OverNightDiscount_21_Up+FedExExrpessEarnedDiscount))*'1Day Base'!D77),2),ROUND(MinBase1Day*(1+ExpressFuelSurcharge),2),ROUND(((1-(OverNightDiscount_21_Up+FedExExrpessEarnedDiscount))*'1Day Base'!D77)*(1+ExpressFuelSurcharge),2))*(1+FedEx_Markup),2)</f>
        <v>243.01</v>
      </c>
      <c r="E80" s="275">
        <f>ROUND(IF(MinBase1Day&gt;ROUND(((1-(OverNightDiscount_21_Up+FedExExrpessEarnedDiscount))*'1Day Base'!E77),2),ROUND(MinBase1Day*(1+ExpressFuelSurcharge),2),ROUND(((1-(OverNightDiscount_21_Up+FedExExrpessEarnedDiscount))*'1Day Base'!E77)*(1+ExpressFuelSurcharge),2))*(1+FedEx_Markup),2)</f>
        <v>258.5</v>
      </c>
      <c r="F80" s="275">
        <f>ROUND(IF(MinBase1Day&gt;ROUND(((1-(OverNightDiscount_21_Up+FedExExrpessEarnedDiscount))*'1Day Base'!F77),2),ROUND(MinBase1Day*(1+ExpressFuelSurcharge),2),ROUND(((1-(OverNightDiscount_21_Up+FedExExrpessEarnedDiscount))*'1Day Base'!F77)*(1+ExpressFuelSurcharge),2))*(1+FedEx_Markup),2)</f>
        <v>263.82</v>
      </c>
      <c r="G80" s="275">
        <f>ROUND(IF(MinBase1Day&gt;ROUND(((1-(OverNightDiscount_21_Up+FedExExrpessEarnedDiscount))*'1Day Base'!G77),2),ROUND(MinBase1Day*(1+ExpressFuelSurcharge),2),ROUND(((1-(OverNightDiscount_21_Up+FedExExrpessEarnedDiscount))*'1Day Base'!G77)*(1+ExpressFuelSurcharge),2))*(1+FedEx_Markup),2)</f>
        <v>309.88</v>
      </c>
      <c r="H80" s="275">
        <f>ROUND(IF(MinBase1Day&gt;ROUND(((1-(OverNightDiscount_21_Up+FedExExrpessEarnedDiscount))*'1Day Base'!H77),2),ROUND(MinBase1Day*(1+ExpressFuelSurcharge),2),ROUND(((1-(OverNightDiscount_21_Up+FedExExrpessEarnedDiscount))*'1Day Base'!H77)*(1+ExpressFuelSurcharge),2))*(1+FedEx_Markup),2)</f>
        <v>325.96</v>
      </c>
    </row>
    <row r="81" ht="12.75" customHeight="1">
      <c r="A81" s="274">
        <v>76.0</v>
      </c>
      <c r="B81" s="275">
        <f>ROUND(IF(MinBase1Day&gt;ROUND(((1-(OverNightDiscount_21_Up+FedExExrpessEarnedDiscount))*'1Day Base'!B78),2),ROUND(MinBase1Day*(1+ExpressFuelSurcharge),2),ROUND(((1-(OverNightDiscount_21_Up+FedExExrpessEarnedDiscount))*'1Day Base'!B78)*(1+ExpressFuelSurcharge),2))*(1+FedEx_Markup),2)</f>
        <v>95.4</v>
      </c>
      <c r="C81" s="275">
        <f>ROUND(IF(MinBase1Day&gt;ROUND(((1-(OverNightDiscount_21_Up+FedExExrpessEarnedDiscount))*'1Day Base'!C78),2),ROUND(MinBase1Day*(1+ExpressFuelSurcharge),2),ROUND(((1-(OverNightDiscount_21_Up+FedExExrpessEarnedDiscount))*'1Day Base'!C78)*(1+ExpressFuelSurcharge),2))*(1+FedEx_Markup),2)</f>
        <v>139.85</v>
      </c>
      <c r="D81" s="275">
        <f>ROUND(IF(MinBase1Day&gt;ROUND(((1-(OverNightDiscount_21_Up+FedExExrpessEarnedDiscount))*'1Day Base'!D78),2),ROUND(MinBase1Day*(1+ExpressFuelSurcharge),2),ROUND(((1-(OverNightDiscount_21_Up+FedExExrpessEarnedDiscount))*'1Day Base'!D78)*(1+ExpressFuelSurcharge),2))*(1+FedEx_Markup),2)</f>
        <v>244.34</v>
      </c>
      <c r="E81" s="275">
        <f>ROUND(IF(MinBase1Day&gt;ROUND(((1-(OverNightDiscount_21_Up+FedExExrpessEarnedDiscount))*'1Day Base'!E78),2),ROUND(MinBase1Day*(1+ExpressFuelSurcharge),2),ROUND(((1-(OverNightDiscount_21_Up+FedExExrpessEarnedDiscount))*'1Day Base'!E78)*(1+ExpressFuelSurcharge),2))*(1+FedEx_Markup),2)</f>
        <v>260.76</v>
      </c>
      <c r="F81" s="275">
        <f>ROUND(IF(MinBase1Day&gt;ROUND(((1-(OverNightDiscount_21_Up+FedExExrpessEarnedDiscount))*'1Day Base'!F78),2),ROUND(MinBase1Day*(1+ExpressFuelSurcharge),2),ROUND(((1-(OverNightDiscount_21_Up+FedExExrpessEarnedDiscount))*'1Day Base'!F78)*(1+ExpressFuelSurcharge),2))*(1+FedEx_Markup),2)</f>
        <v>266.13</v>
      </c>
      <c r="G81" s="275">
        <f>ROUND(IF(MinBase1Day&gt;ROUND(((1-(OverNightDiscount_21_Up+FedExExrpessEarnedDiscount))*'1Day Base'!G78),2),ROUND(MinBase1Day*(1+ExpressFuelSurcharge),2),ROUND(((1-(OverNightDiscount_21_Up+FedExExrpessEarnedDiscount))*'1Day Base'!G78)*(1+ExpressFuelSurcharge),2))*(1+FedEx_Markup),2)</f>
        <v>313.79</v>
      </c>
      <c r="H81" s="275">
        <f>ROUND(IF(MinBase1Day&gt;ROUND(((1-(OverNightDiscount_21_Up+FedExExrpessEarnedDiscount))*'1Day Base'!H78),2),ROUND(MinBase1Day*(1+ExpressFuelSurcharge),2),ROUND(((1-(OverNightDiscount_21_Up+FedExExrpessEarnedDiscount))*'1Day Base'!H78)*(1+ExpressFuelSurcharge),2))*(1+FedEx_Markup),2)</f>
        <v>326.29</v>
      </c>
      <c r="L81" s="4"/>
    </row>
    <row r="82" ht="12.75" customHeight="1">
      <c r="A82" s="274">
        <v>77.0</v>
      </c>
      <c r="B82" s="275">
        <f>ROUND(IF(MinBase1Day&gt;ROUND(((1-(OverNightDiscount_21_Up+FedExExrpessEarnedDiscount))*'1Day Base'!B79),2),ROUND(MinBase1Day*(1+ExpressFuelSurcharge),2),ROUND(((1-(OverNightDiscount_21_Up+FedExExrpessEarnedDiscount))*'1Day Base'!B79)*(1+ExpressFuelSurcharge),2))*(1+FedEx_Markup),2)</f>
        <v>96.97</v>
      </c>
      <c r="C82" s="275">
        <f>ROUND(IF(MinBase1Day&gt;ROUND(((1-(OverNightDiscount_21_Up+FedExExrpessEarnedDiscount))*'1Day Base'!C79),2),ROUND(MinBase1Day*(1+ExpressFuelSurcharge),2),ROUND(((1-(OverNightDiscount_21_Up+FedExExrpessEarnedDiscount))*'1Day Base'!C79)*(1+ExpressFuelSurcharge),2))*(1+FedEx_Markup),2)</f>
        <v>140.32</v>
      </c>
      <c r="D82" s="275">
        <f>ROUND(IF(MinBase1Day&gt;ROUND(((1-(OverNightDiscount_21_Up+FedExExrpessEarnedDiscount))*'1Day Base'!D79),2),ROUND(MinBase1Day*(1+ExpressFuelSurcharge),2),ROUND(((1-(OverNightDiscount_21_Up+FedExExrpessEarnedDiscount))*'1Day Base'!D79)*(1+ExpressFuelSurcharge),2))*(1+FedEx_Markup),2)</f>
        <v>245.38</v>
      </c>
      <c r="E82" s="275">
        <f>ROUND(IF(MinBase1Day&gt;ROUND(((1-(OverNightDiscount_21_Up+FedExExrpessEarnedDiscount))*'1Day Base'!E79),2),ROUND(MinBase1Day*(1+ExpressFuelSurcharge),2),ROUND(((1-(OverNightDiscount_21_Up+FedExExrpessEarnedDiscount))*'1Day Base'!E79)*(1+ExpressFuelSurcharge),2))*(1+FedEx_Markup),2)</f>
        <v>269.35</v>
      </c>
      <c r="F82" s="275">
        <f>ROUND(IF(MinBase1Day&gt;ROUND(((1-(OverNightDiscount_21_Up+FedExExrpessEarnedDiscount))*'1Day Base'!F79),2),ROUND(MinBase1Day*(1+ExpressFuelSurcharge),2),ROUND(((1-(OverNightDiscount_21_Up+FedExExrpessEarnedDiscount))*'1Day Base'!F79)*(1+ExpressFuelSurcharge),2))*(1+FedEx_Markup),2)</f>
        <v>277.23</v>
      </c>
      <c r="G82" s="275">
        <f>ROUND(IF(MinBase1Day&gt;ROUND(((1-(OverNightDiscount_21_Up+FedExExrpessEarnedDiscount))*'1Day Base'!G79),2),ROUND(MinBase1Day*(1+ExpressFuelSurcharge),2),ROUND(((1-(OverNightDiscount_21_Up+FedExExrpessEarnedDiscount))*'1Day Base'!G79)*(1+ExpressFuelSurcharge),2))*(1+FedEx_Markup),2)</f>
        <v>319.02</v>
      </c>
      <c r="H82" s="275">
        <f>ROUND(IF(MinBase1Day&gt;ROUND(((1-(OverNightDiscount_21_Up+FedExExrpessEarnedDiscount))*'1Day Base'!H79),2),ROUND(MinBase1Day*(1+ExpressFuelSurcharge),2),ROUND(((1-(OverNightDiscount_21_Up+FedExExrpessEarnedDiscount))*'1Day Base'!H79)*(1+ExpressFuelSurcharge),2))*(1+FedEx_Markup),2)</f>
        <v>326.61</v>
      </c>
    </row>
    <row r="83" ht="12.75" customHeight="1">
      <c r="A83" s="274">
        <v>78.0</v>
      </c>
      <c r="B83" s="275">
        <f>ROUND(IF(MinBase1Day&gt;ROUND(((1-(OverNightDiscount_21_Up+FedExExrpessEarnedDiscount))*'1Day Base'!B80),2),ROUND(MinBase1Day*(1+ExpressFuelSurcharge),2),ROUND(((1-(OverNightDiscount_21_Up+FedExExrpessEarnedDiscount))*'1Day Base'!B80)*(1+ExpressFuelSurcharge),2))*(1+FedEx_Markup),2)</f>
        <v>97.45</v>
      </c>
      <c r="C83" s="275">
        <f>ROUND(IF(MinBase1Day&gt;ROUND(((1-(OverNightDiscount_21_Up+FedExExrpessEarnedDiscount))*'1Day Base'!C80),2),ROUND(MinBase1Day*(1+ExpressFuelSurcharge),2),ROUND(((1-(OverNightDiscount_21_Up+FedExExrpessEarnedDiscount))*'1Day Base'!C80)*(1+ExpressFuelSurcharge),2))*(1+FedEx_Markup),2)</f>
        <v>146.74</v>
      </c>
      <c r="D83" s="275">
        <f>ROUND(IF(MinBase1Day&gt;ROUND(((1-(OverNightDiscount_21_Up+FedExExrpessEarnedDiscount))*'1Day Base'!D80),2),ROUND(MinBase1Day*(1+ExpressFuelSurcharge),2),ROUND(((1-(OverNightDiscount_21_Up+FedExExrpessEarnedDiscount))*'1Day Base'!D80)*(1+ExpressFuelSurcharge),2))*(1+FedEx_Markup),2)</f>
        <v>251.4</v>
      </c>
      <c r="E83" s="275">
        <f>ROUND(IF(MinBase1Day&gt;ROUND(((1-(OverNightDiscount_21_Up+FedExExrpessEarnedDiscount))*'1Day Base'!E80),2),ROUND(MinBase1Day*(1+ExpressFuelSurcharge),2),ROUND(((1-(OverNightDiscount_21_Up+FedExExrpessEarnedDiscount))*'1Day Base'!E80)*(1+ExpressFuelSurcharge),2))*(1+FedEx_Markup),2)</f>
        <v>275.53</v>
      </c>
      <c r="F83" s="275">
        <f>ROUND(IF(MinBase1Day&gt;ROUND(((1-(OverNightDiscount_21_Up+FedExExrpessEarnedDiscount))*'1Day Base'!F80),2),ROUND(MinBase1Day*(1+ExpressFuelSurcharge),2),ROUND(((1-(OverNightDiscount_21_Up+FedExExrpessEarnedDiscount))*'1Day Base'!F80)*(1+ExpressFuelSurcharge),2))*(1+FedEx_Markup),2)</f>
        <v>284.68</v>
      </c>
      <c r="G83" s="275">
        <f>ROUND(IF(MinBase1Day&gt;ROUND(((1-(OverNightDiscount_21_Up+FedExExrpessEarnedDiscount))*'1Day Base'!G80),2),ROUND(MinBase1Day*(1+ExpressFuelSurcharge),2),ROUND(((1-(OverNightDiscount_21_Up+FedExExrpessEarnedDiscount))*'1Day Base'!G80)*(1+ExpressFuelSurcharge),2))*(1+FedEx_Markup),2)</f>
        <v>319.54</v>
      </c>
      <c r="H83" s="275">
        <f>ROUND(IF(MinBase1Day&gt;ROUND(((1-(OverNightDiscount_21_Up+FedExExrpessEarnedDiscount))*'1Day Base'!H80),2),ROUND(MinBase1Day*(1+ExpressFuelSurcharge),2),ROUND(((1-(OverNightDiscount_21_Up+FedExExrpessEarnedDiscount))*'1Day Base'!H80)*(1+ExpressFuelSurcharge),2))*(1+FedEx_Markup),2)</f>
        <v>327.22</v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274">
        <v>79.0</v>
      </c>
      <c r="B84" s="275">
        <f>ROUND(IF(MinBase1Day&gt;ROUND(((1-(OverNightDiscount_21_Up+FedExExrpessEarnedDiscount))*'1Day Base'!B81),2),ROUND(MinBase1Day*(1+ExpressFuelSurcharge),2),ROUND(((1-(OverNightDiscount_21_Up+FedExExrpessEarnedDiscount))*'1Day Base'!B81)*(1+ExpressFuelSurcharge),2))*(1+FedEx_Markup),2)</f>
        <v>97.89</v>
      </c>
      <c r="C84" s="275">
        <f>ROUND(IF(MinBase1Day&gt;ROUND(((1-(OverNightDiscount_21_Up+FedExExrpessEarnedDiscount))*'1Day Base'!C81),2),ROUND(MinBase1Day*(1+ExpressFuelSurcharge),2),ROUND(((1-(OverNightDiscount_21_Up+FedExExrpessEarnedDiscount))*'1Day Base'!C81)*(1+ExpressFuelSurcharge),2))*(1+FedEx_Markup),2)</f>
        <v>147.38</v>
      </c>
      <c r="D84" s="275">
        <f>ROUND(IF(MinBase1Day&gt;ROUND(((1-(OverNightDiscount_21_Up+FedExExrpessEarnedDiscount))*'1Day Base'!D81),2),ROUND(MinBase1Day*(1+ExpressFuelSurcharge),2),ROUND(((1-(OverNightDiscount_21_Up+FedExExrpessEarnedDiscount))*'1Day Base'!D81)*(1+ExpressFuelSurcharge),2))*(1+FedEx_Markup),2)</f>
        <v>252</v>
      </c>
      <c r="E84" s="275">
        <f>ROUND(IF(MinBase1Day&gt;ROUND(((1-(OverNightDiscount_21_Up+FedExExrpessEarnedDiscount))*'1Day Base'!E81),2),ROUND(MinBase1Day*(1+ExpressFuelSurcharge),2),ROUND(((1-(OverNightDiscount_21_Up+FedExExrpessEarnedDiscount))*'1Day Base'!E81)*(1+ExpressFuelSurcharge),2))*(1+FedEx_Markup),2)</f>
        <v>276.15</v>
      </c>
      <c r="F84" s="275">
        <f>ROUND(IF(MinBase1Day&gt;ROUND(((1-(OverNightDiscount_21_Up+FedExExrpessEarnedDiscount))*'1Day Base'!F81),2),ROUND(MinBase1Day*(1+ExpressFuelSurcharge),2),ROUND(((1-(OverNightDiscount_21_Up+FedExExrpessEarnedDiscount))*'1Day Base'!F81)*(1+ExpressFuelSurcharge),2))*(1+FedEx_Markup),2)</f>
        <v>285.42</v>
      </c>
      <c r="G84" s="275">
        <f>ROUND(IF(MinBase1Day&gt;ROUND(((1-(OverNightDiscount_21_Up+FedExExrpessEarnedDiscount))*'1Day Base'!G81),2),ROUND(MinBase1Day*(1+ExpressFuelSurcharge),2),ROUND(((1-(OverNightDiscount_21_Up+FedExExrpessEarnedDiscount))*'1Day Base'!G81)*(1+ExpressFuelSurcharge),2))*(1+FedEx_Markup),2)</f>
        <v>321.13</v>
      </c>
      <c r="H84" s="275">
        <f>ROUND(IF(MinBase1Day&gt;ROUND(((1-(OverNightDiscount_21_Up+FedExExrpessEarnedDiscount))*'1Day Base'!H81),2),ROUND(MinBase1Day*(1+ExpressFuelSurcharge),2),ROUND(((1-(OverNightDiscount_21_Up+FedExExrpessEarnedDiscount))*'1Day Base'!H81)*(1+ExpressFuelSurcharge),2))*(1+FedEx_Markup),2)</f>
        <v>327.54</v>
      </c>
    </row>
    <row r="85" ht="12.75" customHeight="1">
      <c r="A85" s="274">
        <v>80.0</v>
      </c>
      <c r="B85" s="275">
        <f>ROUND(IF(MinBase1Day&gt;ROUND(((1-(OverNightDiscount_21_Up+FedExExrpessEarnedDiscount))*'1Day Base'!B82),2),ROUND(MinBase1Day*(1+ExpressFuelSurcharge),2),ROUND(((1-(OverNightDiscount_21_Up+FedExExrpessEarnedDiscount))*'1Day Base'!B82)*(1+ExpressFuelSurcharge),2))*(1+FedEx_Markup),2)</f>
        <v>98.36</v>
      </c>
      <c r="C85" s="275">
        <f>ROUND(IF(MinBase1Day&gt;ROUND(((1-(OverNightDiscount_21_Up+FedExExrpessEarnedDiscount))*'1Day Base'!C82),2),ROUND(MinBase1Day*(1+ExpressFuelSurcharge),2),ROUND(((1-(OverNightDiscount_21_Up+FedExExrpessEarnedDiscount))*'1Day Base'!C82)*(1+ExpressFuelSurcharge),2))*(1+FedEx_Markup),2)</f>
        <v>151.58</v>
      </c>
      <c r="D85" s="275">
        <f>ROUND(IF(MinBase1Day&gt;ROUND(((1-(OverNightDiscount_21_Up+FedExExrpessEarnedDiscount))*'1Day Base'!D82),2),ROUND(MinBase1Day*(1+ExpressFuelSurcharge),2),ROUND(((1-(OverNightDiscount_21_Up+FedExExrpessEarnedDiscount))*'1Day Base'!D82)*(1+ExpressFuelSurcharge),2))*(1+FedEx_Markup),2)</f>
        <v>252.63</v>
      </c>
      <c r="E85" s="275">
        <f>ROUND(IF(MinBase1Day&gt;ROUND(((1-(OverNightDiscount_21_Up+FedExExrpessEarnedDiscount))*'1Day Base'!E82),2),ROUND(MinBase1Day*(1+ExpressFuelSurcharge),2),ROUND(((1-(OverNightDiscount_21_Up+FedExExrpessEarnedDiscount))*'1Day Base'!E82)*(1+ExpressFuelSurcharge),2))*(1+FedEx_Markup),2)</f>
        <v>277.21</v>
      </c>
      <c r="F85" s="275">
        <f>ROUND(IF(MinBase1Day&gt;ROUND(((1-(OverNightDiscount_21_Up+FedExExrpessEarnedDiscount))*'1Day Base'!F82),2),ROUND(MinBase1Day*(1+ExpressFuelSurcharge),2),ROUND(((1-(OverNightDiscount_21_Up+FedExExrpessEarnedDiscount))*'1Day Base'!F82)*(1+ExpressFuelSurcharge),2))*(1+FedEx_Markup),2)</f>
        <v>286.42</v>
      </c>
      <c r="G85" s="275">
        <f>ROUND(IF(MinBase1Day&gt;ROUND(((1-(OverNightDiscount_21_Up+FedExExrpessEarnedDiscount))*'1Day Base'!G82),2),ROUND(MinBase1Day*(1+ExpressFuelSurcharge),2),ROUND(((1-(OverNightDiscount_21_Up+FedExExrpessEarnedDiscount))*'1Day Base'!G82)*(1+ExpressFuelSurcharge),2))*(1+FedEx_Markup),2)</f>
        <v>321.94</v>
      </c>
      <c r="H85" s="275">
        <f>ROUND(IF(MinBase1Day&gt;ROUND(((1-(OverNightDiscount_21_Up+FedExExrpessEarnedDiscount))*'1Day Base'!H82),2),ROUND(MinBase1Day*(1+ExpressFuelSurcharge),2),ROUND(((1-(OverNightDiscount_21_Up+FedExExrpessEarnedDiscount))*'1Day Base'!H82)*(1+ExpressFuelSurcharge),2))*(1+FedEx_Markup),2)</f>
        <v>328.54</v>
      </c>
    </row>
    <row r="86" ht="12.75" customHeight="1">
      <c r="A86" s="274">
        <v>81.0</v>
      </c>
      <c r="B86" s="275">
        <f>ROUND(IF(MinBase1Day&gt;ROUND(((1-(OverNightDiscount_21_Up+FedExExrpessEarnedDiscount))*'1Day Base'!B83),2),ROUND(MinBase1Day*(1+ExpressFuelSurcharge),2),ROUND(((1-(OverNightDiscount_21_Up+FedExExrpessEarnedDiscount))*'1Day Base'!B83)*(1+ExpressFuelSurcharge),2))*(1+FedEx_Markup),2)</f>
        <v>98.79</v>
      </c>
      <c r="C86" s="275">
        <f>ROUND(IF(MinBase1Day&gt;ROUND(((1-(OverNightDiscount_21_Up+FedExExrpessEarnedDiscount))*'1Day Base'!C83),2),ROUND(MinBase1Day*(1+ExpressFuelSurcharge),2),ROUND(((1-(OverNightDiscount_21_Up+FedExExrpessEarnedDiscount))*'1Day Base'!C83)*(1+ExpressFuelSurcharge),2))*(1+FedEx_Markup),2)</f>
        <v>154.4</v>
      </c>
      <c r="D86" s="275">
        <f>ROUND(IF(MinBase1Day&gt;ROUND(((1-(OverNightDiscount_21_Up+FedExExrpessEarnedDiscount))*'1Day Base'!D83),2),ROUND(MinBase1Day*(1+ExpressFuelSurcharge),2),ROUND(((1-(OverNightDiscount_21_Up+FedExExrpessEarnedDiscount))*'1Day Base'!D83)*(1+ExpressFuelSurcharge),2))*(1+FedEx_Markup),2)</f>
        <v>263.84</v>
      </c>
      <c r="E86" s="275">
        <f>ROUND(IF(MinBase1Day&gt;ROUND(((1-(OverNightDiscount_21_Up+FedExExrpessEarnedDiscount))*'1Day Base'!E83),2),ROUND(MinBase1Day*(1+ExpressFuelSurcharge),2),ROUND(((1-(OverNightDiscount_21_Up+FedExExrpessEarnedDiscount))*'1Day Base'!E83)*(1+ExpressFuelSurcharge),2))*(1+FedEx_Markup),2)</f>
        <v>298.34</v>
      </c>
      <c r="F86" s="275">
        <f>ROUND(IF(MinBase1Day&gt;ROUND(((1-(OverNightDiscount_21_Up+FedExExrpessEarnedDiscount))*'1Day Base'!F83),2),ROUND(MinBase1Day*(1+ExpressFuelSurcharge),2),ROUND(((1-(OverNightDiscount_21_Up+FedExExrpessEarnedDiscount))*'1Day Base'!F83)*(1+ExpressFuelSurcharge),2))*(1+FedEx_Markup),2)</f>
        <v>305.33</v>
      </c>
      <c r="G86" s="275">
        <f>ROUND(IF(MinBase1Day&gt;ROUND(((1-(OverNightDiscount_21_Up+FedExExrpessEarnedDiscount))*'1Day Base'!G83),2),ROUND(MinBase1Day*(1+ExpressFuelSurcharge),2),ROUND(((1-(OverNightDiscount_21_Up+FedExExrpessEarnedDiscount))*'1Day Base'!G83)*(1+ExpressFuelSurcharge),2))*(1+FedEx_Markup),2)</f>
        <v>334.55</v>
      </c>
      <c r="H86" s="275">
        <f>ROUND(IF(MinBase1Day&gt;ROUND(((1-(OverNightDiscount_21_Up+FedExExrpessEarnedDiscount))*'1Day Base'!H83),2),ROUND(MinBase1Day*(1+ExpressFuelSurcharge),2),ROUND(((1-(OverNightDiscount_21_Up+FedExExrpessEarnedDiscount))*'1Day Base'!H83)*(1+ExpressFuelSurcharge),2))*(1+FedEx_Markup),2)</f>
        <v>341.39</v>
      </c>
    </row>
    <row r="87" ht="12.75" customHeight="1">
      <c r="A87" s="274">
        <v>82.0</v>
      </c>
      <c r="B87" s="275">
        <f>ROUND(IF(MinBase1Day&gt;ROUND(((1-(OverNightDiscount_21_Up+FedExExrpessEarnedDiscount))*'1Day Base'!B84),2),ROUND(MinBase1Day*(1+ExpressFuelSurcharge),2),ROUND(((1-(OverNightDiscount_21_Up+FedExExrpessEarnedDiscount))*'1Day Base'!B84)*(1+ExpressFuelSurcharge),2))*(1+FedEx_Markup),2)</f>
        <v>105.36</v>
      </c>
      <c r="C87" s="275">
        <f>ROUND(IF(MinBase1Day&gt;ROUND(((1-(OverNightDiscount_21_Up+FedExExrpessEarnedDiscount))*'1Day Base'!C84),2),ROUND(MinBase1Day*(1+ExpressFuelSurcharge),2),ROUND(((1-(OverNightDiscount_21_Up+FedExExrpessEarnedDiscount))*'1Day Base'!C84)*(1+ExpressFuelSurcharge),2))*(1+FedEx_Markup),2)</f>
        <v>154.72</v>
      </c>
      <c r="D87" s="275">
        <f>ROUND(IF(MinBase1Day&gt;ROUND(((1-(OverNightDiscount_21_Up+FedExExrpessEarnedDiscount))*'1Day Base'!D84),2),ROUND(MinBase1Day*(1+ExpressFuelSurcharge),2),ROUND(((1-(OverNightDiscount_21_Up+FedExExrpessEarnedDiscount))*'1Day Base'!D84)*(1+ExpressFuelSurcharge),2))*(1+FedEx_Markup),2)</f>
        <v>264.96</v>
      </c>
      <c r="E87" s="275">
        <f>ROUND(IF(MinBase1Day&gt;ROUND(((1-(OverNightDiscount_21_Up+FedExExrpessEarnedDiscount))*'1Day Base'!E84),2),ROUND(MinBase1Day*(1+ExpressFuelSurcharge),2),ROUND(((1-(OverNightDiscount_21_Up+FedExExrpessEarnedDiscount))*'1Day Base'!E84)*(1+ExpressFuelSurcharge),2))*(1+FedEx_Markup),2)</f>
        <v>300.46</v>
      </c>
      <c r="F87" s="275">
        <f>ROUND(IF(MinBase1Day&gt;ROUND(((1-(OverNightDiscount_21_Up+FedExExrpessEarnedDiscount))*'1Day Base'!F84),2),ROUND(MinBase1Day*(1+ExpressFuelSurcharge),2),ROUND(((1-(OverNightDiscount_21_Up+FedExExrpessEarnedDiscount))*'1Day Base'!F84)*(1+ExpressFuelSurcharge),2))*(1+FedEx_Markup),2)</f>
        <v>307.22</v>
      </c>
      <c r="G87" s="275">
        <f>ROUND(IF(MinBase1Day&gt;ROUND(((1-(OverNightDiscount_21_Up+FedExExrpessEarnedDiscount))*'1Day Base'!G84),2),ROUND(MinBase1Day*(1+ExpressFuelSurcharge),2),ROUND(((1-(OverNightDiscount_21_Up+FedExExrpessEarnedDiscount))*'1Day Base'!G84)*(1+ExpressFuelSurcharge),2))*(1+FedEx_Markup),2)</f>
        <v>335.8</v>
      </c>
      <c r="H87" s="275">
        <f>ROUND(IF(MinBase1Day&gt;ROUND(((1-(OverNightDiscount_21_Up+FedExExrpessEarnedDiscount))*'1Day Base'!H84),2),ROUND(MinBase1Day*(1+ExpressFuelSurcharge),2),ROUND(((1-(OverNightDiscount_21_Up+FedExExrpessEarnedDiscount))*'1Day Base'!H84)*(1+ExpressFuelSurcharge),2))*(1+FedEx_Markup),2)</f>
        <v>342.68</v>
      </c>
    </row>
    <row r="88" ht="12.75" customHeight="1">
      <c r="A88" s="274">
        <v>83.0</v>
      </c>
      <c r="B88" s="275">
        <f>ROUND(IF(MinBase1Day&gt;ROUND(((1-(OverNightDiscount_21_Up+FedExExrpessEarnedDiscount))*'1Day Base'!B85),2),ROUND(MinBase1Day*(1+ExpressFuelSurcharge),2),ROUND(((1-(OverNightDiscount_21_Up+FedExExrpessEarnedDiscount))*'1Day Base'!B85)*(1+ExpressFuelSurcharge),2))*(1+FedEx_Markup),2)</f>
        <v>106.02</v>
      </c>
      <c r="C88" s="275">
        <f>ROUND(IF(MinBase1Day&gt;ROUND(((1-(OverNightDiscount_21_Up+FedExExrpessEarnedDiscount))*'1Day Base'!C85),2),ROUND(MinBase1Day*(1+ExpressFuelSurcharge),2),ROUND(((1-(OverNightDiscount_21_Up+FedExExrpessEarnedDiscount))*'1Day Base'!C85)*(1+ExpressFuelSurcharge),2))*(1+FedEx_Markup),2)</f>
        <v>155.68</v>
      </c>
      <c r="D88" s="275">
        <f>ROUND(IF(MinBase1Day&gt;ROUND(((1-(OverNightDiscount_21_Up+FedExExrpessEarnedDiscount))*'1Day Base'!D85),2),ROUND(MinBase1Day*(1+ExpressFuelSurcharge),2),ROUND(((1-(OverNightDiscount_21_Up+FedExExrpessEarnedDiscount))*'1Day Base'!D85)*(1+ExpressFuelSurcharge),2))*(1+FedEx_Markup),2)</f>
        <v>265.72</v>
      </c>
      <c r="E88" s="275">
        <f>ROUND(IF(MinBase1Day&gt;ROUND(((1-(OverNightDiscount_21_Up+FedExExrpessEarnedDiscount))*'1Day Base'!E85),2),ROUND(MinBase1Day*(1+ExpressFuelSurcharge),2),ROUND(((1-(OverNightDiscount_21_Up+FedExExrpessEarnedDiscount))*'1Day Base'!E85)*(1+ExpressFuelSurcharge),2))*(1+FedEx_Markup),2)</f>
        <v>300.9</v>
      </c>
      <c r="F88" s="275">
        <f>ROUND(IF(MinBase1Day&gt;ROUND(((1-(OverNightDiscount_21_Up+FedExExrpessEarnedDiscount))*'1Day Base'!F85),2),ROUND(MinBase1Day*(1+ExpressFuelSurcharge),2),ROUND(((1-(OverNightDiscount_21_Up+FedExExrpessEarnedDiscount))*'1Day Base'!F85)*(1+ExpressFuelSurcharge),2))*(1+FedEx_Markup),2)</f>
        <v>307.65</v>
      </c>
      <c r="G88" s="275">
        <f>ROUND(IF(MinBase1Day&gt;ROUND(((1-(OverNightDiscount_21_Up+FedExExrpessEarnedDiscount))*'1Day Base'!G85),2),ROUND(MinBase1Day*(1+ExpressFuelSurcharge),2),ROUND(((1-(OverNightDiscount_21_Up+FedExExrpessEarnedDiscount))*'1Day Base'!G85)*(1+ExpressFuelSurcharge),2))*(1+FedEx_Markup),2)</f>
        <v>336.25</v>
      </c>
      <c r="H88" s="275">
        <f>ROUND(IF(MinBase1Day&gt;ROUND(((1-(OverNightDiscount_21_Up+FedExExrpessEarnedDiscount))*'1Day Base'!H85),2),ROUND(MinBase1Day*(1+ExpressFuelSurcharge),2),ROUND(((1-(OverNightDiscount_21_Up+FedExExrpessEarnedDiscount))*'1Day Base'!H85)*(1+ExpressFuelSurcharge),2))*(1+FedEx_Markup),2)</f>
        <v>343.13</v>
      </c>
    </row>
    <row r="89" ht="13.5" customHeight="1">
      <c r="A89" s="274">
        <v>84.0</v>
      </c>
      <c r="B89" s="275">
        <f>ROUND(IF(MinBase1Day&gt;ROUND(((1-(OverNightDiscount_21_Up+FedExExrpessEarnedDiscount))*'1Day Base'!B86),2),ROUND(MinBase1Day*(1+ExpressFuelSurcharge),2),ROUND(((1-(OverNightDiscount_21_Up+FedExExrpessEarnedDiscount))*'1Day Base'!B86)*(1+ExpressFuelSurcharge),2))*(1+FedEx_Markup),2)</f>
        <v>106.44</v>
      </c>
      <c r="C89" s="275">
        <f>ROUND(IF(MinBase1Day&gt;ROUND(((1-(OverNightDiscount_21_Up+FedExExrpessEarnedDiscount))*'1Day Base'!C86),2),ROUND(MinBase1Day*(1+ExpressFuelSurcharge),2),ROUND(((1-(OverNightDiscount_21_Up+FedExExrpessEarnedDiscount))*'1Day Base'!C86)*(1+ExpressFuelSurcharge),2))*(1+FedEx_Markup),2)</f>
        <v>156</v>
      </c>
      <c r="D89" s="275">
        <f>ROUND(IF(MinBase1Day&gt;ROUND(((1-(OverNightDiscount_21_Up+FedExExrpessEarnedDiscount))*'1Day Base'!D86),2),ROUND(MinBase1Day*(1+ExpressFuelSurcharge),2),ROUND(((1-(OverNightDiscount_21_Up+FedExExrpessEarnedDiscount))*'1Day Base'!D86)*(1+ExpressFuelSurcharge),2))*(1+FedEx_Markup),2)</f>
        <v>266.17</v>
      </c>
      <c r="E89" s="275">
        <f>ROUND(IF(MinBase1Day&gt;ROUND(((1-(OverNightDiscount_21_Up+FedExExrpessEarnedDiscount))*'1Day Base'!E86),2),ROUND(MinBase1Day*(1+ExpressFuelSurcharge),2),ROUND(((1-(OverNightDiscount_21_Up+FedExExrpessEarnedDiscount))*'1Day Base'!E86)*(1+ExpressFuelSurcharge),2))*(1+FedEx_Markup),2)</f>
        <v>301.33</v>
      </c>
      <c r="F89" s="275">
        <f>ROUND(IF(MinBase1Day&gt;ROUND(((1-(OverNightDiscount_21_Up+FedExExrpessEarnedDiscount))*'1Day Base'!F86),2),ROUND(MinBase1Day*(1+ExpressFuelSurcharge),2),ROUND(((1-(OverNightDiscount_21_Up+FedExExrpessEarnedDiscount))*'1Day Base'!F86)*(1+ExpressFuelSurcharge),2))*(1+FedEx_Markup),2)</f>
        <v>308.1</v>
      </c>
      <c r="G89" s="275">
        <f>ROUND(IF(MinBase1Day&gt;ROUND(((1-(OverNightDiscount_21_Up+FedExExrpessEarnedDiscount))*'1Day Base'!G86),2),ROUND(MinBase1Day*(1+ExpressFuelSurcharge),2),ROUND(((1-(OverNightDiscount_21_Up+FedExExrpessEarnedDiscount))*'1Day Base'!G86)*(1+ExpressFuelSurcharge),2))*(1+FedEx_Markup),2)</f>
        <v>343.28</v>
      </c>
      <c r="H89" s="275">
        <f>ROUND(IF(MinBase1Day&gt;ROUND(((1-(OverNightDiscount_21_Up+FedExExrpessEarnedDiscount))*'1Day Base'!H86),2),ROUND(MinBase1Day*(1+ExpressFuelSurcharge),2),ROUND(((1-(OverNightDiscount_21_Up+FedExExrpessEarnedDiscount))*'1Day Base'!H86)*(1+ExpressFuelSurcharge),2))*(1+FedEx_Markup),2)</f>
        <v>350.31</v>
      </c>
    </row>
    <row r="90" ht="13.5" customHeight="1">
      <c r="A90" s="274">
        <v>85.0</v>
      </c>
      <c r="B90" s="275">
        <f>ROUND(IF(MinBase1Day&gt;ROUND(((1-(OverNightDiscount_21_Up+FedExExrpessEarnedDiscount))*'1Day Base'!B87),2),ROUND(MinBase1Day*(1+ExpressFuelSurcharge),2),ROUND(((1-(OverNightDiscount_21_Up+FedExExrpessEarnedDiscount))*'1Day Base'!B87)*(1+ExpressFuelSurcharge),2))*(1+FedEx_Markup),2)</f>
        <v>106.88</v>
      </c>
      <c r="C90" s="275">
        <f>ROUND(IF(MinBase1Day&gt;ROUND(((1-(OverNightDiscount_21_Up+FedExExrpessEarnedDiscount))*'1Day Base'!C87),2),ROUND(MinBase1Day*(1+ExpressFuelSurcharge),2),ROUND(((1-(OverNightDiscount_21_Up+FedExExrpessEarnedDiscount))*'1Day Base'!C87)*(1+ExpressFuelSurcharge),2))*(1+FedEx_Markup),2)</f>
        <v>156.33</v>
      </c>
      <c r="D90" s="275">
        <f>ROUND(IF(MinBase1Day&gt;ROUND(((1-(OverNightDiscount_21_Up+FedExExrpessEarnedDiscount))*'1Day Base'!D87),2),ROUND(MinBase1Day*(1+ExpressFuelSurcharge),2),ROUND(((1-(OverNightDiscount_21_Up+FedExExrpessEarnedDiscount))*'1Day Base'!D87)*(1+ExpressFuelSurcharge),2))*(1+FedEx_Markup),2)</f>
        <v>266.6</v>
      </c>
      <c r="E90" s="275">
        <f>ROUND(IF(MinBase1Day&gt;ROUND(((1-(OverNightDiscount_21_Up+FedExExrpessEarnedDiscount))*'1Day Base'!E87),2),ROUND(MinBase1Day*(1+ExpressFuelSurcharge),2),ROUND(((1-(OverNightDiscount_21_Up+FedExExrpessEarnedDiscount))*'1Day Base'!E87)*(1+ExpressFuelSurcharge),2))*(1+FedEx_Markup),2)</f>
        <v>301.77</v>
      </c>
      <c r="F90" s="275">
        <f>ROUND(IF(MinBase1Day&gt;ROUND(((1-(OverNightDiscount_21_Up+FedExExrpessEarnedDiscount))*'1Day Base'!F87),2),ROUND(MinBase1Day*(1+ExpressFuelSurcharge),2),ROUND(((1-(OverNightDiscount_21_Up+FedExExrpessEarnedDiscount))*'1Day Base'!F87)*(1+ExpressFuelSurcharge),2))*(1+FedEx_Markup),2)</f>
        <v>308.52</v>
      </c>
      <c r="G90" s="275">
        <f>ROUND(IF(MinBase1Day&gt;ROUND(((1-(OverNightDiscount_21_Up+FedExExrpessEarnedDiscount))*'1Day Base'!G87),2),ROUND(MinBase1Day*(1+ExpressFuelSurcharge),2),ROUND(((1-(OverNightDiscount_21_Up+FedExExrpessEarnedDiscount))*'1Day Base'!G87)*(1+ExpressFuelSurcharge),2))*(1+FedEx_Markup),2)</f>
        <v>343.98</v>
      </c>
      <c r="H90" s="275">
        <f>ROUND(IF(MinBase1Day&gt;ROUND(((1-(OverNightDiscount_21_Up+FedExExrpessEarnedDiscount))*'1Day Base'!H87),2),ROUND(MinBase1Day*(1+ExpressFuelSurcharge),2),ROUND(((1-(OverNightDiscount_21_Up+FedExExrpessEarnedDiscount))*'1Day Base'!H87)*(1+ExpressFuelSurcharge),2))*(1+FedEx_Markup),2)</f>
        <v>351.04</v>
      </c>
    </row>
    <row r="91" ht="13.5" customHeight="1">
      <c r="A91" s="274">
        <v>86.0</v>
      </c>
      <c r="B91" s="275">
        <f>ROUND(IF(MinBase1Day&gt;ROUND(((1-(OverNightDiscount_21_Up+FedExExrpessEarnedDiscount))*'1Day Base'!B88),2),ROUND(MinBase1Day*(1+ExpressFuelSurcharge),2),ROUND(((1-(OverNightDiscount_21_Up+FedExExrpessEarnedDiscount))*'1Day Base'!B88)*(1+ExpressFuelSurcharge),2))*(1+FedEx_Markup),2)</f>
        <v>109.2</v>
      </c>
      <c r="C91" s="275">
        <f>ROUND(IF(MinBase1Day&gt;ROUND(((1-(OverNightDiscount_21_Up+FedExExrpessEarnedDiscount))*'1Day Base'!C88),2),ROUND(MinBase1Day*(1+ExpressFuelSurcharge),2),ROUND(((1-(OverNightDiscount_21_Up+FedExExrpessEarnedDiscount))*'1Day Base'!C88)*(1+ExpressFuelSurcharge),2))*(1+FedEx_Markup),2)</f>
        <v>156.65</v>
      </c>
      <c r="D91" s="275">
        <f>ROUND(IF(MinBase1Day&gt;ROUND(((1-(OverNightDiscount_21_Up+FedExExrpessEarnedDiscount))*'1Day Base'!D88),2),ROUND(MinBase1Day*(1+ExpressFuelSurcharge),2),ROUND(((1-(OverNightDiscount_21_Up+FedExExrpessEarnedDiscount))*'1Day Base'!D88)*(1+ExpressFuelSurcharge),2))*(1+FedEx_Markup),2)</f>
        <v>267.39</v>
      </c>
      <c r="E91" s="275">
        <f>ROUND(IF(MinBase1Day&gt;ROUND(((1-(OverNightDiscount_21_Up+FedExExrpessEarnedDiscount))*'1Day Base'!E88),2),ROUND(MinBase1Day*(1+ExpressFuelSurcharge),2),ROUND(((1-(OverNightDiscount_21_Up+FedExExrpessEarnedDiscount))*'1Day Base'!E88)*(1+ExpressFuelSurcharge),2))*(1+FedEx_Markup),2)</f>
        <v>302.9</v>
      </c>
      <c r="F91" s="275">
        <f>ROUND(IF(MinBase1Day&gt;ROUND(((1-(OverNightDiscount_21_Up+FedExExrpessEarnedDiscount))*'1Day Base'!F88),2),ROUND(MinBase1Day*(1+ExpressFuelSurcharge),2),ROUND(((1-(OverNightDiscount_21_Up+FedExExrpessEarnedDiscount))*'1Day Base'!F88)*(1+ExpressFuelSurcharge),2))*(1+FedEx_Markup),2)</f>
        <v>309.12</v>
      </c>
      <c r="G91" s="275">
        <f>ROUND(IF(MinBase1Day&gt;ROUND(((1-(OverNightDiscount_21_Up+FedExExrpessEarnedDiscount))*'1Day Base'!G88),2),ROUND(MinBase1Day*(1+ExpressFuelSurcharge),2),ROUND(((1-(OverNightDiscount_21_Up+FedExExrpessEarnedDiscount))*'1Day Base'!G88)*(1+ExpressFuelSurcharge),2))*(1+FedEx_Markup),2)</f>
        <v>344.4</v>
      </c>
      <c r="H91" s="275">
        <f>ROUND(IF(MinBase1Day&gt;ROUND(((1-(OverNightDiscount_21_Up+FedExExrpessEarnedDiscount))*'1Day Base'!H88),2),ROUND(MinBase1Day*(1+ExpressFuelSurcharge),2),ROUND(((1-(OverNightDiscount_21_Up+FedExExrpessEarnedDiscount))*'1Day Base'!H88)*(1+ExpressFuelSurcharge),2))*(1+FedEx_Markup),2)</f>
        <v>351.46</v>
      </c>
    </row>
    <row r="92" ht="13.5" customHeight="1">
      <c r="A92" s="274">
        <v>87.0</v>
      </c>
      <c r="B92" s="275">
        <f>ROUND(IF(MinBase1Day&gt;ROUND(((1-(OverNightDiscount_21_Up+FedExExrpessEarnedDiscount))*'1Day Base'!B89),2),ROUND(MinBase1Day*(1+ExpressFuelSurcharge),2),ROUND(((1-(OverNightDiscount_21_Up+FedExExrpessEarnedDiscount))*'1Day Base'!B89)*(1+ExpressFuelSurcharge),2))*(1+FedEx_Markup),2)</f>
        <v>109.74</v>
      </c>
      <c r="C92" s="275">
        <f>ROUND(IF(MinBase1Day&gt;ROUND(((1-(OverNightDiscount_21_Up+FedExExrpessEarnedDiscount))*'1Day Base'!C89),2),ROUND(MinBase1Day*(1+ExpressFuelSurcharge),2),ROUND(((1-(OverNightDiscount_21_Up+FedExExrpessEarnedDiscount))*'1Day Base'!C89)*(1+ExpressFuelSurcharge),2))*(1+FedEx_Markup),2)</f>
        <v>156.98</v>
      </c>
      <c r="D92" s="275">
        <f>ROUND(IF(MinBase1Day&gt;ROUND(((1-(OverNightDiscount_21_Up+FedExExrpessEarnedDiscount))*'1Day Base'!D89),2),ROUND(MinBase1Day*(1+ExpressFuelSurcharge),2),ROUND(((1-(OverNightDiscount_21_Up+FedExExrpessEarnedDiscount))*'1Day Base'!D89)*(1+ExpressFuelSurcharge),2))*(1+FedEx_Markup),2)</f>
        <v>277.28</v>
      </c>
      <c r="E92" s="275">
        <f>ROUND(IF(MinBase1Day&gt;ROUND(((1-(OverNightDiscount_21_Up+FedExExrpessEarnedDiscount))*'1Day Base'!E89),2),ROUND(MinBase1Day*(1+ExpressFuelSurcharge),2),ROUND(((1-(OverNightDiscount_21_Up+FedExExrpessEarnedDiscount))*'1Day Base'!E89)*(1+ExpressFuelSurcharge),2))*(1+FedEx_Markup),2)</f>
        <v>304.28</v>
      </c>
      <c r="F92" s="275">
        <f>ROUND(IF(MinBase1Day&gt;ROUND(((1-(OverNightDiscount_21_Up+FedExExrpessEarnedDiscount))*'1Day Base'!F89),2),ROUND(MinBase1Day*(1+ExpressFuelSurcharge),2),ROUND(((1-(OverNightDiscount_21_Up+FedExExrpessEarnedDiscount))*'1Day Base'!F89)*(1+ExpressFuelSurcharge),2))*(1+FedEx_Markup),2)</f>
        <v>310.53</v>
      </c>
      <c r="G92" s="275">
        <f>ROUND(IF(MinBase1Day&gt;ROUND(((1-(OverNightDiscount_21_Up+FedExExrpessEarnedDiscount))*'1Day Base'!G89),2),ROUND(MinBase1Day*(1+ExpressFuelSurcharge),2),ROUND(((1-(OverNightDiscount_21_Up+FedExExrpessEarnedDiscount))*'1Day Base'!G89)*(1+ExpressFuelSurcharge),2))*(1+FedEx_Markup),2)</f>
        <v>344.94</v>
      </c>
      <c r="H92" s="275">
        <f>ROUND(IF(MinBase1Day&gt;ROUND(((1-(OverNightDiscount_21_Up+FedExExrpessEarnedDiscount))*'1Day Base'!H89),2),ROUND(MinBase1Day*(1+ExpressFuelSurcharge),2),ROUND(((1-(OverNightDiscount_21_Up+FedExExrpessEarnedDiscount))*'1Day Base'!H89)*(1+ExpressFuelSurcharge),2))*(1+FedEx_Markup),2)</f>
        <v>351.84</v>
      </c>
    </row>
    <row r="93" ht="13.5" customHeight="1">
      <c r="A93" s="274">
        <v>88.0</v>
      </c>
      <c r="B93" s="275">
        <f>ROUND(IF(MinBase1Day&gt;ROUND(((1-(OverNightDiscount_21_Up+FedExExrpessEarnedDiscount))*'1Day Base'!B90),2),ROUND(MinBase1Day*(1+ExpressFuelSurcharge),2),ROUND(((1-(OverNightDiscount_21_Up+FedExExrpessEarnedDiscount))*'1Day Base'!B90)*(1+ExpressFuelSurcharge),2))*(1+FedEx_Markup),2)</f>
        <v>110.18</v>
      </c>
      <c r="C93" s="275">
        <f>ROUND(IF(MinBase1Day&gt;ROUND(((1-(OverNightDiscount_21_Up+FedExExrpessEarnedDiscount))*'1Day Base'!C90),2),ROUND(MinBase1Day*(1+ExpressFuelSurcharge),2),ROUND(((1-(OverNightDiscount_21_Up+FedExExrpessEarnedDiscount))*'1Day Base'!C90)*(1+ExpressFuelSurcharge),2))*(1+FedEx_Markup),2)</f>
        <v>157.31</v>
      </c>
      <c r="D93" s="275">
        <f>ROUND(IF(MinBase1Day&gt;ROUND(((1-(OverNightDiscount_21_Up+FedExExrpessEarnedDiscount))*'1Day Base'!D90),2),ROUND(MinBase1Day*(1+ExpressFuelSurcharge),2),ROUND(((1-(OverNightDiscount_21_Up+FedExExrpessEarnedDiscount))*'1Day Base'!D90)*(1+ExpressFuelSurcharge),2))*(1+FedEx_Markup),2)</f>
        <v>278.28</v>
      </c>
      <c r="E93" s="275">
        <f>ROUND(IF(MinBase1Day&gt;ROUND(((1-(OverNightDiscount_21_Up+FedExExrpessEarnedDiscount))*'1Day Base'!E90),2),ROUND(MinBase1Day*(1+ExpressFuelSurcharge),2),ROUND(((1-(OverNightDiscount_21_Up+FedExExrpessEarnedDiscount))*'1Day Base'!E90)*(1+ExpressFuelSurcharge),2))*(1+FedEx_Markup),2)</f>
        <v>304.96</v>
      </c>
      <c r="F93" s="275">
        <f>ROUND(IF(MinBase1Day&gt;ROUND(((1-(OverNightDiscount_21_Up+FedExExrpessEarnedDiscount))*'1Day Base'!F90),2),ROUND(MinBase1Day*(1+ExpressFuelSurcharge),2),ROUND(((1-(OverNightDiscount_21_Up+FedExExrpessEarnedDiscount))*'1Day Base'!F90)*(1+ExpressFuelSurcharge),2))*(1+FedEx_Markup),2)</f>
        <v>311.35</v>
      </c>
      <c r="G93" s="275">
        <f>ROUND(IF(MinBase1Day&gt;ROUND(((1-(OverNightDiscount_21_Up+FedExExrpessEarnedDiscount))*'1Day Base'!G90),2),ROUND(MinBase1Day*(1+ExpressFuelSurcharge),2),ROUND(((1-(OverNightDiscount_21_Up+FedExExrpessEarnedDiscount))*'1Day Base'!G90)*(1+ExpressFuelSurcharge),2))*(1+FedEx_Markup),2)</f>
        <v>346.29</v>
      </c>
      <c r="H93" s="275">
        <f>ROUND(IF(MinBase1Day&gt;ROUND(((1-(OverNightDiscount_21_Up+FedExExrpessEarnedDiscount))*'1Day Base'!H90),2),ROUND(MinBase1Day*(1+ExpressFuelSurcharge),2),ROUND(((1-(OverNightDiscount_21_Up+FedExExrpessEarnedDiscount))*'1Day Base'!H90)*(1+ExpressFuelSurcharge),2))*(1+FedEx_Markup),2)</f>
        <v>353.77</v>
      </c>
    </row>
    <row r="94" ht="13.5" customHeight="1">
      <c r="A94" s="274">
        <v>89.0</v>
      </c>
      <c r="B94" s="275">
        <f>ROUND(IF(MinBase1Day&gt;ROUND(((1-(OverNightDiscount_21_Up+FedExExrpessEarnedDiscount))*'1Day Base'!B91),2),ROUND(MinBase1Day*(1+ExpressFuelSurcharge),2),ROUND(((1-(OverNightDiscount_21_Up+FedExExrpessEarnedDiscount))*'1Day Base'!B91)*(1+ExpressFuelSurcharge),2))*(1+FedEx_Markup),2)</f>
        <v>111.63</v>
      </c>
      <c r="C94" s="275">
        <f>ROUND(IF(MinBase1Day&gt;ROUND(((1-(OverNightDiscount_21_Up+FedExExrpessEarnedDiscount))*'1Day Base'!C91),2),ROUND(MinBase1Day*(1+ExpressFuelSurcharge),2),ROUND(((1-(OverNightDiscount_21_Up+FedExExrpessEarnedDiscount))*'1Day Base'!C91)*(1+ExpressFuelSurcharge),2))*(1+FedEx_Markup),2)</f>
        <v>157.63</v>
      </c>
      <c r="D94" s="275">
        <f>ROUND(IF(MinBase1Day&gt;ROUND(((1-(OverNightDiscount_21_Up+FedExExrpessEarnedDiscount))*'1Day Base'!D91),2),ROUND(MinBase1Day*(1+ExpressFuelSurcharge),2),ROUND(((1-(OverNightDiscount_21_Up+FedExExrpessEarnedDiscount))*'1Day Base'!D91)*(1+ExpressFuelSurcharge),2))*(1+FedEx_Markup),2)</f>
        <v>285.98</v>
      </c>
      <c r="E94" s="275">
        <f>ROUND(IF(MinBase1Day&gt;ROUND(((1-(OverNightDiscount_21_Up+FedExExrpessEarnedDiscount))*'1Day Base'!E91),2),ROUND(MinBase1Day*(1+ExpressFuelSurcharge),2),ROUND(((1-(OverNightDiscount_21_Up+FedExExrpessEarnedDiscount))*'1Day Base'!E91)*(1+ExpressFuelSurcharge),2))*(1+FedEx_Markup),2)</f>
        <v>314.02</v>
      </c>
      <c r="F94" s="275">
        <f>ROUND(IF(MinBase1Day&gt;ROUND(((1-(OverNightDiscount_21_Up+FedExExrpessEarnedDiscount))*'1Day Base'!F91),2),ROUND(MinBase1Day*(1+ExpressFuelSurcharge),2),ROUND(((1-(OverNightDiscount_21_Up+FedExExrpessEarnedDiscount))*'1Day Base'!F91)*(1+ExpressFuelSurcharge),2))*(1+FedEx_Markup),2)</f>
        <v>327.55</v>
      </c>
      <c r="G94" s="275">
        <f>ROUND(IF(MinBase1Day&gt;ROUND(((1-(OverNightDiscount_21_Up+FedExExrpessEarnedDiscount))*'1Day Base'!G91),2),ROUND(MinBase1Day*(1+ExpressFuelSurcharge),2),ROUND(((1-(OverNightDiscount_21_Up+FedExExrpessEarnedDiscount))*'1Day Base'!G91)*(1+ExpressFuelSurcharge),2))*(1+FedEx_Markup),2)</f>
        <v>372.84</v>
      </c>
      <c r="H94" s="275">
        <f>ROUND(IF(MinBase1Day&gt;ROUND(((1-(OverNightDiscount_21_Up+FedExExrpessEarnedDiscount))*'1Day Base'!H91),2),ROUND(MinBase1Day*(1+ExpressFuelSurcharge),2),ROUND(((1-(OverNightDiscount_21_Up+FedExExrpessEarnedDiscount))*'1Day Base'!H91)*(1+ExpressFuelSurcharge),2))*(1+FedEx_Markup),2)</f>
        <v>387.47</v>
      </c>
    </row>
    <row r="95" ht="13.5" customHeight="1">
      <c r="A95" s="274">
        <v>90.0</v>
      </c>
      <c r="B95" s="275">
        <f>ROUND(IF(MinBase1Day&gt;ROUND(((1-(OverNightDiscount_21_Up+FedExExrpessEarnedDiscount))*'1Day Base'!B92),2),ROUND(MinBase1Day*(1+ExpressFuelSurcharge),2),ROUND(((1-(OverNightDiscount_21_Up+FedExExrpessEarnedDiscount))*'1Day Base'!B92)*(1+ExpressFuelSurcharge),2))*(1+FedEx_Markup),2)</f>
        <v>111.95</v>
      </c>
      <c r="C95" s="275">
        <f>ROUND(IF(MinBase1Day&gt;ROUND(((1-(OverNightDiscount_21_Up+FedExExrpessEarnedDiscount))*'1Day Base'!C92),2),ROUND(MinBase1Day*(1+ExpressFuelSurcharge),2),ROUND(((1-(OverNightDiscount_21_Up+FedExExrpessEarnedDiscount))*'1Day Base'!C92)*(1+ExpressFuelSurcharge),2))*(1+FedEx_Markup),2)</f>
        <v>157.95</v>
      </c>
      <c r="D95" s="275">
        <f>ROUND(IF(MinBase1Day&gt;ROUND(((1-(OverNightDiscount_21_Up+FedExExrpessEarnedDiscount))*'1Day Base'!D92),2),ROUND(MinBase1Day*(1+ExpressFuelSurcharge),2),ROUND(((1-(OverNightDiscount_21_Up+FedExExrpessEarnedDiscount))*'1Day Base'!D92)*(1+ExpressFuelSurcharge),2))*(1+FedEx_Markup),2)</f>
        <v>289.11</v>
      </c>
      <c r="E95" s="275">
        <f>ROUND(IF(MinBase1Day&gt;ROUND(((1-(OverNightDiscount_21_Up+FedExExrpessEarnedDiscount))*'1Day Base'!E92),2),ROUND(MinBase1Day*(1+ExpressFuelSurcharge),2),ROUND(((1-(OverNightDiscount_21_Up+FedExExrpessEarnedDiscount))*'1Day Base'!E92)*(1+ExpressFuelSurcharge),2))*(1+FedEx_Markup),2)</f>
        <v>315.91</v>
      </c>
      <c r="F95" s="275">
        <f>ROUND(IF(MinBase1Day&gt;ROUND(((1-(OverNightDiscount_21_Up+FedExExrpessEarnedDiscount))*'1Day Base'!F92),2),ROUND(MinBase1Day*(1+ExpressFuelSurcharge),2),ROUND(((1-(OverNightDiscount_21_Up+FedExExrpessEarnedDiscount))*'1Day Base'!F92)*(1+ExpressFuelSurcharge),2))*(1+FedEx_Markup),2)</f>
        <v>331.74</v>
      </c>
      <c r="G95" s="275">
        <f>ROUND(IF(MinBase1Day&gt;ROUND(((1-(OverNightDiscount_21_Up+FedExExrpessEarnedDiscount))*'1Day Base'!G92),2),ROUND(MinBase1Day*(1+ExpressFuelSurcharge),2),ROUND(((1-(OverNightDiscount_21_Up+FedExExrpessEarnedDiscount))*'1Day Base'!G92)*(1+ExpressFuelSurcharge),2))*(1+FedEx_Markup),2)</f>
        <v>383</v>
      </c>
      <c r="H95" s="275">
        <f>ROUND(IF(MinBase1Day&gt;ROUND(((1-(OverNightDiscount_21_Up+FedExExrpessEarnedDiscount))*'1Day Base'!H92),2),ROUND(MinBase1Day*(1+ExpressFuelSurcharge),2),ROUND(((1-(OverNightDiscount_21_Up+FedExExrpessEarnedDiscount))*'1Day Base'!H92)*(1+ExpressFuelSurcharge),2))*(1+FedEx_Markup),2)</f>
        <v>390.84</v>
      </c>
    </row>
    <row r="96" ht="13.5" customHeight="1">
      <c r="A96" s="274">
        <v>91.0</v>
      </c>
      <c r="B96" s="275">
        <f>ROUND(IF(MinBase1Day&gt;ROUND(((1-(OverNightDiscount_21_Up+FedExExrpessEarnedDiscount))*'1Day Base'!B93),2),ROUND(MinBase1Day*(1+ExpressFuelSurcharge),2),ROUND(((1-(OverNightDiscount_21_Up+FedExExrpessEarnedDiscount))*'1Day Base'!B93)*(1+ExpressFuelSurcharge),2))*(1+FedEx_Markup),2)</f>
        <v>112.27</v>
      </c>
      <c r="C96" s="275">
        <f>ROUND(IF(MinBase1Day&gt;ROUND(((1-(OverNightDiscount_21_Up+FedExExrpessEarnedDiscount))*'1Day Base'!C93),2),ROUND(MinBase1Day*(1+ExpressFuelSurcharge),2),ROUND(((1-(OverNightDiscount_21_Up+FedExExrpessEarnedDiscount))*'1Day Base'!C93)*(1+ExpressFuelSurcharge),2))*(1+FedEx_Markup),2)</f>
        <v>158.29</v>
      </c>
      <c r="D96" s="275">
        <f>ROUND(IF(MinBase1Day&gt;ROUND(((1-(OverNightDiscount_21_Up+FedExExrpessEarnedDiscount))*'1Day Base'!D93),2),ROUND(MinBase1Day*(1+ExpressFuelSurcharge),2),ROUND(((1-(OverNightDiscount_21_Up+FedExExrpessEarnedDiscount))*'1Day Base'!D93)*(1+ExpressFuelSurcharge),2))*(1+FedEx_Markup),2)</f>
        <v>289.78</v>
      </c>
      <c r="E96" s="275">
        <f>ROUND(IF(MinBase1Day&gt;ROUND(((1-(OverNightDiscount_21_Up+FedExExrpessEarnedDiscount))*'1Day Base'!E93),2),ROUND(MinBase1Day*(1+ExpressFuelSurcharge),2),ROUND(((1-(OverNightDiscount_21_Up+FedExExrpessEarnedDiscount))*'1Day Base'!E93)*(1+ExpressFuelSurcharge),2))*(1+FedEx_Markup),2)</f>
        <v>320.77</v>
      </c>
      <c r="F96" s="275">
        <f>ROUND(IF(MinBase1Day&gt;ROUND(((1-(OverNightDiscount_21_Up+FedExExrpessEarnedDiscount))*'1Day Base'!F93),2),ROUND(MinBase1Day*(1+ExpressFuelSurcharge),2),ROUND(((1-(OverNightDiscount_21_Up+FedExExrpessEarnedDiscount))*'1Day Base'!F93)*(1+ExpressFuelSurcharge),2))*(1+FedEx_Markup),2)</f>
        <v>332.17</v>
      </c>
      <c r="G96" s="275">
        <f>ROUND(IF(MinBase1Day&gt;ROUND(((1-(OverNightDiscount_21_Up+FedExExrpessEarnedDiscount))*'1Day Base'!G93),2),ROUND(MinBase1Day*(1+ExpressFuelSurcharge),2),ROUND(((1-(OverNightDiscount_21_Up+FedExExrpessEarnedDiscount))*'1Day Base'!G93)*(1+ExpressFuelSurcharge),2))*(1+FedEx_Markup),2)</f>
        <v>384.02</v>
      </c>
      <c r="H96" s="275">
        <f>ROUND(IF(MinBase1Day&gt;ROUND(((1-(OverNightDiscount_21_Up+FedExExrpessEarnedDiscount))*'1Day Base'!H93),2),ROUND(MinBase1Day*(1+ExpressFuelSurcharge),2),ROUND(((1-(OverNightDiscount_21_Up+FedExExrpessEarnedDiscount))*'1Day Base'!H93)*(1+ExpressFuelSurcharge),2))*(1+FedEx_Markup),2)</f>
        <v>396.34</v>
      </c>
    </row>
    <row r="97" ht="13.5" customHeight="1">
      <c r="A97" s="274">
        <v>92.0</v>
      </c>
      <c r="B97" s="275">
        <f>ROUND(IF(MinBase1Day&gt;ROUND(((1-(OverNightDiscount_21_Up+FedExExrpessEarnedDiscount))*'1Day Base'!B94),2),ROUND(MinBase1Day*(1+ExpressFuelSurcharge),2),ROUND(((1-(OverNightDiscount_21_Up+FedExExrpessEarnedDiscount))*'1Day Base'!B94)*(1+ExpressFuelSurcharge),2))*(1+FedEx_Markup),2)</f>
        <v>112.61</v>
      </c>
      <c r="C97" s="275">
        <f>ROUND(IF(MinBase1Day&gt;ROUND(((1-(OverNightDiscount_21_Up+FedExExrpessEarnedDiscount))*'1Day Base'!C94),2),ROUND(MinBase1Day*(1+ExpressFuelSurcharge),2),ROUND(((1-(OverNightDiscount_21_Up+FedExExrpessEarnedDiscount))*'1Day Base'!C94)*(1+ExpressFuelSurcharge),2))*(1+FedEx_Markup),2)</f>
        <v>158.61</v>
      </c>
      <c r="D97" s="275">
        <f>ROUND(IF(MinBase1Day&gt;ROUND(((1-(OverNightDiscount_21_Up+FedExExrpessEarnedDiscount))*'1Day Base'!D94),2),ROUND(MinBase1Day*(1+ExpressFuelSurcharge),2),ROUND(((1-(OverNightDiscount_21_Up+FedExExrpessEarnedDiscount))*'1Day Base'!D94)*(1+ExpressFuelSurcharge),2))*(1+FedEx_Markup),2)</f>
        <v>290.1</v>
      </c>
      <c r="E97" s="275">
        <f>ROUND(IF(MinBase1Day&gt;ROUND(((1-(OverNightDiscount_21_Up+FedExExrpessEarnedDiscount))*'1Day Base'!E94),2),ROUND(MinBase1Day*(1+ExpressFuelSurcharge),2),ROUND(((1-(OverNightDiscount_21_Up+FedExExrpessEarnedDiscount))*'1Day Base'!E94)*(1+ExpressFuelSurcharge),2))*(1+FedEx_Markup),2)</f>
        <v>321.25</v>
      </c>
      <c r="F97" s="275">
        <f>ROUND(IF(MinBase1Day&gt;ROUND(((1-(OverNightDiscount_21_Up+FedExExrpessEarnedDiscount))*'1Day Base'!F94),2),ROUND(MinBase1Day*(1+ExpressFuelSurcharge),2),ROUND(((1-(OverNightDiscount_21_Up+FedExExrpessEarnedDiscount))*'1Day Base'!F94)*(1+ExpressFuelSurcharge),2))*(1+FedEx_Markup),2)</f>
        <v>332.59</v>
      </c>
      <c r="G97" s="275">
        <f>ROUND(IF(MinBase1Day&gt;ROUND(((1-(OverNightDiscount_21_Up+FedExExrpessEarnedDiscount))*'1Day Base'!G94),2),ROUND(MinBase1Day*(1+ExpressFuelSurcharge),2),ROUND(((1-(OverNightDiscount_21_Up+FedExExrpessEarnedDiscount))*'1Day Base'!G94)*(1+ExpressFuelSurcharge),2))*(1+FedEx_Markup),2)</f>
        <v>384.34</v>
      </c>
      <c r="H97" s="275">
        <f>ROUND(IF(MinBase1Day&gt;ROUND(((1-(OverNightDiscount_21_Up+FedExExrpessEarnedDiscount))*'1Day Base'!H94),2),ROUND(MinBase1Day*(1+ExpressFuelSurcharge),2),ROUND(((1-(OverNightDiscount_21_Up+FedExExrpessEarnedDiscount))*'1Day Base'!H94)*(1+ExpressFuelSurcharge),2))*(1+FedEx_Markup),2)</f>
        <v>396.88</v>
      </c>
    </row>
    <row r="98" ht="13.5" customHeight="1">
      <c r="A98" s="274">
        <v>93.0</v>
      </c>
      <c r="B98" s="275">
        <f>ROUND(IF(MinBase1Day&gt;ROUND(((1-(OverNightDiscount_21_Up+FedExExrpessEarnedDiscount))*'1Day Base'!B95),2),ROUND(MinBase1Day*(1+ExpressFuelSurcharge),2),ROUND(((1-(OverNightDiscount_21_Up+FedExExrpessEarnedDiscount))*'1Day Base'!B95)*(1+ExpressFuelSurcharge),2))*(1+FedEx_Markup),2)</f>
        <v>112.93</v>
      </c>
      <c r="C98" s="275">
        <f>ROUND(IF(MinBase1Day&gt;ROUND(((1-(OverNightDiscount_21_Up+FedExExrpessEarnedDiscount))*'1Day Base'!C95),2),ROUND(MinBase1Day*(1+ExpressFuelSurcharge),2),ROUND(((1-(OverNightDiscount_21_Up+FedExExrpessEarnedDiscount))*'1Day Base'!C95)*(1+ExpressFuelSurcharge),2))*(1+FedEx_Markup),2)</f>
        <v>158.93</v>
      </c>
      <c r="D98" s="275">
        <f>ROUND(IF(MinBase1Day&gt;ROUND(((1-(OverNightDiscount_21_Up+FedExExrpessEarnedDiscount))*'1Day Base'!D95),2),ROUND(MinBase1Day*(1+ExpressFuelSurcharge),2),ROUND(((1-(OverNightDiscount_21_Up+FedExExrpessEarnedDiscount))*'1Day Base'!D95)*(1+ExpressFuelSurcharge),2))*(1+FedEx_Markup),2)</f>
        <v>290.42</v>
      </c>
      <c r="E98" s="275">
        <f>ROUND(IF(MinBase1Day&gt;ROUND(((1-(OverNightDiscount_21_Up+FedExExrpessEarnedDiscount))*'1Day Base'!E95),2),ROUND(MinBase1Day*(1+ExpressFuelSurcharge),2),ROUND(((1-(OverNightDiscount_21_Up+FedExExrpessEarnedDiscount))*'1Day Base'!E95)*(1+ExpressFuelSurcharge),2))*(1+FedEx_Markup),2)</f>
        <v>321.68</v>
      </c>
      <c r="F98" s="275">
        <f>ROUND(IF(MinBase1Day&gt;ROUND(((1-(OverNightDiscount_21_Up+FedExExrpessEarnedDiscount))*'1Day Base'!F95),2),ROUND(MinBase1Day*(1+ExpressFuelSurcharge),2),ROUND(((1-(OverNightDiscount_21_Up+FedExExrpessEarnedDiscount))*'1Day Base'!F95)*(1+ExpressFuelSurcharge),2))*(1+FedEx_Markup),2)</f>
        <v>332.93</v>
      </c>
      <c r="G98" s="275">
        <f>ROUND(IF(MinBase1Day&gt;ROUND(((1-(OverNightDiscount_21_Up+FedExExrpessEarnedDiscount))*'1Day Base'!G95),2),ROUND(MinBase1Day*(1+ExpressFuelSurcharge),2),ROUND(((1-(OverNightDiscount_21_Up+FedExExrpessEarnedDiscount))*'1Day Base'!G95)*(1+ExpressFuelSurcharge),2))*(1+FedEx_Markup),2)</f>
        <v>384.66</v>
      </c>
      <c r="H98" s="275">
        <f>ROUND(IF(MinBase1Day&gt;ROUND(((1-(OverNightDiscount_21_Up+FedExExrpessEarnedDiscount))*'1Day Base'!H95),2),ROUND(MinBase1Day*(1+ExpressFuelSurcharge),2),ROUND(((1-(OverNightDiscount_21_Up+FedExExrpessEarnedDiscount))*'1Day Base'!H95)*(1+ExpressFuelSurcharge),2))*(1+FedEx_Markup),2)</f>
        <v>397.35</v>
      </c>
    </row>
    <row r="99" ht="13.5" customHeight="1">
      <c r="A99" s="274">
        <v>94.0</v>
      </c>
      <c r="B99" s="275">
        <f>ROUND(IF(MinBase1Day&gt;ROUND(((1-(OverNightDiscount_21_Up+FedExExrpessEarnedDiscount))*'1Day Base'!B96),2),ROUND(MinBase1Day*(1+ExpressFuelSurcharge),2),ROUND(((1-(OverNightDiscount_21_Up+FedExExrpessEarnedDiscount))*'1Day Base'!B96)*(1+ExpressFuelSurcharge),2))*(1+FedEx_Markup),2)</f>
        <v>113.25</v>
      </c>
      <c r="C99" s="275">
        <f>ROUND(IF(MinBase1Day&gt;ROUND(((1-(OverNightDiscount_21_Up+FedExExrpessEarnedDiscount))*'1Day Base'!C96),2),ROUND(MinBase1Day*(1+ExpressFuelSurcharge),2),ROUND(((1-(OverNightDiscount_21_Up+FedExExrpessEarnedDiscount))*'1Day Base'!C96)*(1+ExpressFuelSurcharge),2))*(1+FedEx_Markup),2)</f>
        <v>159.25</v>
      </c>
      <c r="D99" s="275">
        <f>ROUND(IF(MinBase1Day&gt;ROUND(((1-(OverNightDiscount_21_Up+FedExExrpessEarnedDiscount))*'1Day Base'!D96),2),ROUND(MinBase1Day*(1+ExpressFuelSurcharge),2),ROUND(((1-(OverNightDiscount_21_Up+FedExExrpessEarnedDiscount))*'1Day Base'!D96)*(1+ExpressFuelSurcharge),2))*(1+FedEx_Markup),2)</f>
        <v>290.75</v>
      </c>
      <c r="E99" s="275">
        <f>ROUND(IF(MinBase1Day&gt;ROUND(((1-(OverNightDiscount_21_Up+FedExExrpessEarnedDiscount))*'1Day Base'!E96),2),ROUND(MinBase1Day*(1+ExpressFuelSurcharge),2),ROUND(((1-(OverNightDiscount_21_Up+FedExExrpessEarnedDiscount))*'1Day Base'!E96)*(1+ExpressFuelSurcharge),2))*(1+FedEx_Markup),2)</f>
        <v>322.09</v>
      </c>
      <c r="F99" s="275">
        <f>ROUND(IF(MinBase1Day&gt;ROUND(((1-(OverNightDiscount_21_Up+FedExExrpessEarnedDiscount))*'1Day Base'!F96),2),ROUND(MinBase1Day*(1+ExpressFuelSurcharge),2),ROUND(((1-(OverNightDiscount_21_Up+FedExExrpessEarnedDiscount))*'1Day Base'!F96)*(1+ExpressFuelSurcharge),2))*(1+FedEx_Markup),2)</f>
        <v>333.43</v>
      </c>
      <c r="G99" s="275">
        <f>ROUND(IF(MinBase1Day&gt;ROUND(((1-(OverNightDiscount_21_Up+FedExExrpessEarnedDiscount))*'1Day Base'!G96),2),ROUND(MinBase1Day*(1+ExpressFuelSurcharge),2),ROUND(((1-(OverNightDiscount_21_Up+FedExExrpessEarnedDiscount))*'1Day Base'!G96)*(1+ExpressFuelSurcharge),2))*(1+FedEx_Markup),2)</f>
        <v>385.32</v>
      </c>
      <c r="H99" s="275">
        <f>ROUND(IF(MinBase1Day&gt;ROUND(((1-(OverNightDiscount_21_Up+FedExExrpessEarnedDiscount))*'1Day Base'!H96),2),ROUND(MinBase1Day*(1+ExpressFuelSurcharge),2),ROUND(((1-(OverNightDiscount_21_Up+FedExExrpessEarnedDiscount))*'1Day Base'!H96)*(1+ExpressFuelSurcharge),2))*(1+FedEx_Markup),2)</f>
        <v>397.82</v>
      </c>
    </row>
    <row r="100" ht="13.5" customHeight="1">
      <c r="A100" s="274">
        <v>95.0</v>
      </c>
      <c r="B100" s="275">
        <f>ROUND(IF(MinBase1Day&gt;ROUND(((1-(OverNightDiscount_21_Up+FedExExrpessEarnedDiscount))*'1Day Base'!B97),2),ROUND(MinBase1Day*(1+ExpressFuelSurcharge),2),ROUND(((1-(OverNightDiscount_21_Up+FedExExrpessEarnedDiscount))*'1Day Base'!B97)*(1+ExpressFuelSurcharge),2))*(1+FedEx_Markup),2)</f>
        <v>113.59</v>
      </c>
      <c r="C100" s="275">
        <f>ROUND(IF(MinBase1Day&gt;ROUND(((1-(OverNightDiscount_21_Up+FedExExrpessEarnedDiscount))*'1Day Base'!C97),2),ROUND(MinBase1Day*(1+ExpressFuelSurcharge),2),ROUND(((1-(OverNightDiscount_21_Up+FedExExrpessEarnedDiscount))*'1Day Base'!C97)*(1+ExpressFuelSurcharge),2))*(1+FedEx_Markup),2)</f>
        <v>159.59</v>
      </c>
      <c r="D100" s="275">
        <f>ROUND(IF(MinBase1Day&gt;ROUND(((1-(OverNightDiscount_21_Up+FedExExrpessEarnedDiscount))*'1Day Base'!D97),2),ROUND(MinBase1Day*(1+ExpressFuelSurcharge),2),ROUND(((1-(OverNightDiscount_21_Up+FedExExrpessEarnedDiscount))*'1Day Base'!D97)*(1+ExpressFuelSurcharge),2))*(1+FedEx_Markup),2)</f>
        <v>291.08</v>
      </c>
      <c r="E100" s="275">
        <f>ROUND(IF(MinBase1Day&gt;ROUND(((1-(OverNightDiscount_21_Up+FedExExrpessEarnedDiscount))*'1Day Base'!E97),2),ROUND(MinBase1Day*(1+ExpressFuelSurcharge),2),ROUND(((1-(OverNightDiscount_21_Up+FedExExrpessEarnedDiscount))*'1Day Base'!E97)*(1+ExpressFuelSurcharge),2))*(1+FedEx_Markup),2)</f>
        <v>323.05</v>
      </c>
      <c r="F100" s="275">
        <f>ROUND(IF(MinBase1Day&gt;ROUND(((1-(OverNightDiscount_21_Up+FedExExrpessEarnedDiscount))*'1Day Base'!F97),2),ROUND(MinBase1Day*(1+ExpressFuelSurcharge),2),ROUND(((1-(OverNightDiscount_21_Up+FedExExrpessEarnedDiscount))*'1Day Base'!F97)*(1+ExpressFuelSurcharge),2))*(1+FedEx_Markup),2)</f>
        <v>333.87</v>
      </c>
      <c r="G100" s="275">
        <f>ROUND(IF(MinBase1Day&gt;ROUND(((1-(OverNightDiscount_21_Up+FedExExrpessEarnedDiscount))*'1Day Base'!G97),2),ROUND(MinBase1Day*(1+ExpressFuelSurcharge),2),ROUND(((1-(OverNightDiscount_21_Up+FedExExrpessEarnedDiscount))*'1Day Base'!G97)*(1+ExpressFuelSurcharge),2))*(1+FedEx_Markup),2)</f>
        <v>385.64</v>
      </c>
      <c r="H100" s="275">
        <f>ROUND(IF(MinBase1Day&gt;ROUND(((1-(OverNightDiscount_21_Up+FedExExrpessEarnedDiscount))*'1Day Base'!H97),2),ROUND(MinBase1Day*(1+ExpressFuelSurcharge),2),ROUND(((1-(OverNightDiscount_21_Up+FedExExrpessEarnedDiscount))*'1Day Base'!H97)*(1+ExpressFuelSurcharge),2))*(1+FedEx_Markup),2)</f>
        <v>398.3</v>
      </c>
    </row>
    <row r="101" ht="13.5" customHeight="1">
      <c r="A101" s="274">
        <v>96.0</v>
      </c>
      <c r="B101" s="275">
        <f>ROUND(IF(MinBase1Day&gt;ROUND(((1-(OverNightDiscount_21_Up+FedExExrpessEarnedDiscount))*'1Day Base'!B98),2),ROUND(MinBase1Day*(1+ExpressFuelSurcharge),2),ROUND(((1-(OverNightDiscount_21_Up+FedExExrpessEarnedDiscount))*'1Day Base'!B98)*(1+ExpressFuelSurcharge),2))*(1+FedEx_Markup),2)</f>
        <v>113.91</v>
      </c>
      <c r="C101" s="275">
        <f>ROUND(IF(MinBase1Day&gt;ROUND(((1-(OverNightDiscount_21_Up+FedExExrpessEarnedDiscount))*'1Day Base'!C98),2),ROUND(MinBase1Day*(1+ExpressFuelSurcharge),2),ROUND(((1-(OverNightDiscount_21_Up+FedExExrpessEarnedDiscount))*'1Day Base'!C98)*(1+ExpressFuelSurcharge),2))*(1+FedEx_Markup),2)</f>
        <v>159.91</v>
      </c>
      <c r="D101" s="275">
        <f>ROUND(IF(MinBase1Day&gt;ROUND(((1-(OverNightDiscount_21_Up+FedExExrpessEarnedDiscount))*'1Day Base'!D98),2),ROUND(MinBase1Day*(1+ExpressFuelSurcharge),2),ROUND(((1-(OverNightDiscount_21_Up+FedExExrpessEarnedDiscount))*'1Day Base'!D98)*(1+ExpressFuelSurcharge),2))*(1+FedEx_Markup),2)</f>
        <v>291.4</v>
      </c>
      <c r="E101" s="275">
        <f>ROUND(IF(MinBase1Day&gt;ROUND(((1-(OverNightDiscount_21_Up+FedExExrpessEarnedDiscount))*'1Day Base'!E98),2),ROUND(MinBase1Day*(1+ExpressFuelSurcharge),2),ROUND(((1-(OverNightDiscount_21_Up+FedExExrpessEarnedDiscount))*'1Day Base'!E98)*(1+ExpressFuelSurcharge),2))*(1+FedEx_Markup),2)</f>
        <v>326.68</v>
      </c>
      <c r="F101" s="275">
        <f>ROUND(IF(MinBase1Day&gt;ROUND(((1-(OverNightDiscount_21_Up+FedExExrpessEarnedDiscount))*'1Day Base'!F98),2),ROUND(MinBase1Day*(1+ExpressFuelSurcharge),2),ROUND(((1-(OverNightDiscount_21_Up+FedExExrpessEarnedDiscount))*'1Day Base'!F98)*(1+ExpressFuelSurcharge),2))*(1+FedEx_Markup),2)</f>
        <v>336.4</v>
      </c>
      <c r="G101" s="275">
        <f>ROUND(IF(MinBase1Day&gt;ROUND(((1-(OverNightDiscount_21_Up+FedExExrpessEarnedDiscount))*'1Day Base'!G98),2),ROUND(MinBase1Day*(1+ExpressFuelSurcharge),2),ROUND(((1-(OverNightDiscount_21_Up+FedExExrpessEarnedDiscount))*'1Day Base'!G98)*(1+ExpressFuelSurcharge),2))*(1+FedEx_Markup),2)</f>
        <v>386.14</v>
      </c>
      <c r="H101" s="275">
        <f>ROUND(IF(MinBase1Day&gt;ROUND(((1-(OverNightDiscount_21_Up+FedExExrpessEarnedDiscount))*'1Day Base'!H98),2),ROUND(MinBase1Day*(1+ExpressFuelSurcharge),2),ROUND(((1-(OverNightDiscount_21_Up+FedExExrpessEarnedDiscount))*'1Day Base'!H98)*(1+ExpressFuelSurcharge),2))*(1+FedEx_Markup),2)</f>
        <v>398.72</v>
      </c>
    </row>
    <row r="102" ht="13.5" customHeight="1">
      <c r="A102" s="274">
        <v>97.0</v>
      </c>
      <c r="B102" s="275">
        <f>ROUND(IF(MinBase1Day&gt;ROUND(((1-(OverNightDiscount_21_Up+FedExExrpessEarnedDiscount))*'1Day Base'!B99),2),ROUND(MinBase1Day*(1+ExpressFuelSurcharge),2),ROUND(((1-(OverNightDiscount_21_Up+FedExExrpessEarnedDiscount))*'1Day Base'!B99)*(1+ExpressFuelSurcharge),2))*(1+FedEx_Markup),2)</f>
        <v>114.23</v>
      </c>
      <c r="C102" s="275">
        <f>ROUND(IF(MinBase1Day&gt;ROUND(((1-(OverNightDiscount_21_Up+FedExExrpessEarnedDiscount))*'1Day Base'!C99),2),ROUND(MinBase1Day*(1+ExpressFuelSurcharge),2),ROUND(((1-(OverNightDiscount_21_Up+FedExExrpessEarnedDiscount))*'1Day Base'!C99)*(1+ExpressFuelSurcharge),2))*(1+FedEx_Markup),2)</f>
        <v>160.23</v>
      </c>
      <c r="D102" s="275">
        <f>ROUND(IF(MinBase1Day&gt;ROUND(((1-(OverNightDiscount_21_Up+FedExExrpessEarnedDiscount))*'1Day Base'!D99),2),ROUND(MinBase1Day*(1+ExpressFuelSurcharge),2),ROUND(((1-(OverNightDiscount_21_Up+FedExExrpessEarnedDiscount))*'1Day Base'!D99)*(1+ExpressFuelSurcharge),2))*(1+FedEx_Markup),2)</f>
        <v>291.73</v>
      </c>
      <c r="E102" s="275">
        <f>ROUND(IF(MinBase1Day&gt;ROUND(((1-(OverNightDiscount_21_Up+FedExExrpessEarnedDiscount))*'1Day Base'!E99),2),ROUND(MinBase1Day*(1+ExpressFuelSurcharge),2),ROUND(((1-(OverNightDiscount_21_Up+FedExExrpessEarnedDiscount))*'1Day Base'!E99)*(1+ExpressFuelSurcharge),2))*(1+FedEx_Markup),2)</f>
        <v>327.05</v>
      </c>
      <c r="F102" s="275">
        <f>ROUND(IF(MinBase1Day&gt;ROUND(((1-(OverNightDiscount_21_Up+FedExExrpessEarnedDiscount))*'1Day Base'!F99),2),ROUND(MinBase1Day*(1+ExpressFuelSurcharge),2),ROUND(((1-(OverNightDiscount_21_Up+FedExExrpessEarnedDiscount))*'1Day Base'!F99)*(1+ExpressFuelSurcharge),2))*(1+FedEx_Markup),2)</f>
        <v>336.72</v>
      </c>
      <c r="G102" s="275">
        <f>ROUND(IF(MinBase1Day&gt;ROUND(((1-(OverNightDiscount_21_Up+FedExExrpessEarnedDiscount))*'1Day Base'!G99),2),ROUND(MinBase1Day*(1+ExpressFuelSurcharge),2),ROUND(((1-(OverNightDiscount_21_Up+FedExExrpessEarnedDiscount))*'1Day Base'!G99)*(1+ExpressFuelSurcharge),2))*(1+FedEx_Markup),2)</f>
        <v>386.47</v>
      </c>
      <c r="H102" s="275">
        <f>ROUND(IF(MinBase1Day&gt;ROUND(((1-(OverNightDiscount_21_Up+FedExExrpessEarnedDiscount))*'1Day Base'!H99),2),ROUND(MinBase1Day*(1+ExpressFuelSurcharge),2),ROUND(((1-(OverNightDiscount_21_Up+FedExExrpessEarnedDiscount))*'1Day Base'!H99)*(1+ExpressFuelSurcharge),2))*(1+FedEx_Markup),2)</f>
        <v>399.23</v>
      </c>
    </row>
    <row r="103" ht="13.5" customHeight="1">
      <c r="A103" s="274">
        <v>98.0</v>
      </c>
      <c r="B103" s="275">
        <f>ROUND(IF(MinBase1Day&gt;ROUND(((1-(OverNightDiscount_21_Up+FedExExrpessEarnedDiscount))*'1Day Base'!B100),2),ROUND(MinBase1Day*(1+ExpressFuelSurcharge),2),ROUND(((1-(OverNightDiscount_21_Up+FedExExrpessEarnedDiscount))*'1Day Base'!B100)*(1+ExpressFuelSurcharge),2))*(1+FedEx_Markup),2)</f>
        <v>114.56</v>
      </c>
      <c r="C103" s="275">
        <f>ROUND(IF(MinBase1Day&gt;ROUND(((1-(OverNightDiscount_21_Up+FedExExrpessEarnedDiscount))*'1Day Base'!C100),2),ROUND(MinBase1Day*(1+ExpressFuelSurcharge),2),ROUND(((1-(OverNightDiscount_21_Up+FedExExrpessEarnedDiscount))*'1Day Base'!C100)*(1+ExpressFuelSurcharge),2))*(1+FedEx_Markup),2)</f>
        <v>160.56</v>
      </c>
      <c r="D103" s="275">
        <f>ROUND(IF(MinBase1Day&gt;ROUND(((1-(OverNightDiscount_21_Up+FedExExrpessEarnedDiscount))*'1Day Base'!D100),2),ROUND(MinBase1Day*(1+ExpressFuelSurcharge),2),ROUND(((1-(OverNightDiscount_21_Up+FedExExrpessEarnedDiscount))*'1Day Base'!D100)*(1+ExpressFuelSurcharge),2))*(1+FedEx_Markup),2)</f>
        <v>292.05</v>
      </c>
      <c r="E103" s="275">
        <f>ROUND(IF(MinBase1Day&gt;ROUND(((1-(OverNightDiscount_21_Up+FedExExrpessEarnedDiscount))*'1Day Base'!E100),2),ROUND(MinBase1Day*(1+ExpressFuelSurcharge),2),ROUND(((1-(OverNightDiscount_21_Up+FedExExrpessEarnedDiscount))*'1Day Base'!E100)*(1+ExpressFuelSurcharge),2))*(1+FedEx_Markup),2)</f>
        <v>327.99</v>
      </c>
      <c r="F103" s="275">
        <f>ROUND(IF(MinBase1Day&gt;ROUND(((1-(OverNightDiscount_21_Up+FedExExrpessEarnedDiscount))*'1Day Base'!F100),2),ROUND(MinBase1Day*(1+ExpressFuelSurcharge),2),ROUND(((1-(OverNightDiscount_21_Up+FedExExrpessEarnedDiscount))*'1Day Base'!F100)*(1+ExpressFuelSurcharge),2))*(1+FedEx_Markup),2)</f>
        <v>342.27</v>
      </c>
      <c r="G103" s="275">
        <f>ROUND(IF(MinBase1Day&gt;ROUND(((1-(OverNightDiscount_21_Up+FedExExrpessEarnedDiscount))*'1Day Base'!G100),2),ROUND(MinBase1Day*(1+ExpressFuelSurcharge),2),ROUND(((1-(OverNightDiscount_21_Up+FedExExrpessEarnedDiscount))*'1Day Base'!G100)*(1+ExpressFuelSurcharge),2))*(1+FedEx_Markup),2)</f>
        <v>387.62</v>
      </c>
      <c r="H103" s="275">
        <f>ROUND(IF(MinBase1Day&gt;ROUND(((1-(OverNightDiscount_21_Up+FedExExrpessEarnedDiscount))*'1Day Base'!H100),2),ROUND(MinBase1Day*(1+ExpressFuelSurcharge),2),ROUND(((1-(OverNightDiscount_21_Up+FedExExrpessEarnedDiscount))*'1Day Base'!H100)*(1+ExpressFuelSurcharge),2))*(1+FedEx_Markup),2)</f>
        <v>400.18</v>
      </c>
    </row>
    <row r="104" ht="13.5" customHeight="1">
      <c r="A104" s="274">
        <v>99.0</v>
      </c>
      <c r="B104" s="275">
        <f>ROUND(IF(MinBase1Day&gt;ROUND(((1-(OverNightDiscount_21_Up+FedExExrpessEarnedDiscount))*'1Day Base'!B101),2),ROUND(MinBase1Day*(1+ExpressFuelSurcharge),2),ROUND(((1-(OverNightDiscount_21_Up+FedExExrpessEarnedDiscount))*'1Day Base'!B101)*(1+ExpressFuelSurcharge),2))*(1+FedEx_Markup),2)</f>
        <v>114.89</v>
      </c>
      <c r="C104" s="275">
        <f>ROUND(IF(MinBase1Day&gt;ROUND(((1-(OverNightDiscount_21_Up+FedExExrpessEarnedDiscount))*'1Day Base'!C101),2),ROUND(MinBase1Day*(1+ExpressFuelSurcharge),2),ROUND(((1-(OverNightDiscount_21_Up+FedExExrpessEarnedDiscount))*'1Day Base'!C101)*(1+ExpressFuelSurcharge),2))*(1+FedEx_Markup),2)</f>
        <v>160.89</v>
      </c>
      <c r="D104" s="275">
        <f>ROUND(IF(MinBase1Day&gt;ROUND(((1-(OverNightDiscount_21_Up+FedExExrpessEarnedDiscount))*'1Day Base'!D101),2),ROUND(MinBase1Day*(1+ExpressFuelSurcharge),2),ROUND(((1-(OverNightDiscount_21_Up+FedExExrpessEarnedDiscount))*'1Day Base'!D101)*(1+ExpressFuelSurcharge),2))*(1+FedEx_Markup),2)</f>
        <v>292.38</v>
      </c>
      <c r="E104" s="275">
        <f>ROUND(IF(MinBase1Day&gt;ROUND(((1-(OverNightDiscount_21_Up+FedExExrpessEarnedDiscount))*'1Day Base'!E101),2),ROUND(MinBase1Day*(1+ExpressFuelSurcharge),2),ROUND(((1-(OverNightDiscount_21_Up+FedExExrpessEarnedDiscount))*'1Day Base'!E101)*(1+ExpressFuelSurcharge),2))*(1+FedEx_Markup),2)</f>
        <v>346.79</v>
      </c>
      <c r="F104" s="275">
        <f>ROUND(IF(MinBase1Day&gt;ROUND(((1-(OverNightDiscount_21_Up+FedExExrpessEarnedDiscount))*'1Day Base'!F101),2),ROUND(MinBase1Day*(1+ExpressFuelSurcharge),2),ROUND(((1-(OverNightDiscount_21_Up+FedExExrpessEarnedDiscount))*'1Day Base'!F101)*(1+ExpressFuelSurcharge),2))*(1+FedEx_Markup),2)</f>
        <v>355.32</v>
      </c>
      <c r="G104" s="275">
        <f>ROUND(IF(MinBase1Day&gt;ROUND(((1-(OverNightDiscount_21_Up+FedExExrpessEarnedDiscount))*'1Day Base'!G101),2),ROUND(MinBase1Day*(1+ExpressFuelSurcharge),2),ROUND(((1-(OverNightDiscount_21_Up+FedExExrpessEarnedDiscount))*'1Day Base'!G101)*(1+ExpressFuelSurcharge),2))*(1+FedEx_Markup),2)</f>
        <v>410.8</v>
      </c>
      <c r="H104" s="275">
        <f>ROUND(IF(MinBase1Day&gt;ROUND(((1-(OverNightDiscount_21_Up+FedExExrpessEarnedDiscount))*'1Day Base'!H101),2),ROUND(MinBase1Day*(1+ExpressFuelSurcharge),2),ROUND(((1-(OverNightDiscount_21_Up+FedExExrpessEarnedDiscount))*'1Day Base'!H101)*(1+ExpressFuelSurcharge),2))*(1+FedEx_Markup),2)</f>
        <v>419.03</v>
      </c>
    </row>
    <row r="105" ht="13.5" customHeight="1">
      <c r="A105" s="274">
        <v>100.0</v>
      </c>
      <c r="B105" s="275">
        <f>ROUND(IF(MinBase1Day&gt;ROUND(((1-(OverNightDiscount_21_Up+FedExExrpessEarnedDiscount))*'1Day Base'!B102),2),ROUND(MinBase1Day*(1+ExpressFuelSurcharge),2),ROUND(((1-(OverNightDiscount_21_Up+FedExExrpessEarnedDiscount))*'1Day Base'!B102)*(1+ExpressFuelSurcharge),2))*(1+FedEx_Markup),2)</f>
        <v>115.21</v>
      </c>
      <c r="C105" s="275">
        <f>ROUND(IF(MinBase1Day&gt;ROUND(((1-(OverNightDiscount_21_Up+FedExExrpessEarnedDiscount))*'1Day Base'!C102),2),ROUND(MinBase1Day*(1+ExpressFuelSurcharge),2),ROUND(((1-(OverNightDiscount_21_Up+FedExExrpessEarnedDiscount))*'1Day Base'!C102)*(1+ExpressFuelSurcharge),2))*(1+FedEx_Markup),2)</f>
        <v>161.21</v>
      </c>
      <c r="D105" s="275">
        <f>ROUND(IF(MinBase1Day&gt;ROUND(((1-(OverNightDiscount_21_Up+FedExExrpessEarnedDiscount))*'1Day Base'!D102),2),ROUND(MinBase1Day*(1+ExpressFuelSurcharge),2),ROUND(((1-(OverNightDiscount_21_Up+FedExExrpessEarnedDiscount))*'1Day Base'!D102)*(1+ExpressFuelSurcharge),2))*(1+FedEx_Markup),2)</f>
        <v>292.71</v>
      </c>
      <c r="E105" s="275">
        <f>ROUND(IF(MinBase1Day&gt;ROUND(((1-(OverNightDiscount_21_Up+FedExExrpessEarnedDiscount))*'1Day Base'!E102),2),ROUND(MinBase1Day*(1+ExpressFuelSurcharge),2),ROUND(((1-(OverNightDiscount_21_Up+FedExExrpessEarnedDiscount))*'1Day Base'!E102)*(1+ExpressFuelSurcharge),2))*(1+FedEx_Markup),2)</f>
        <v>349.29</v>
      </c>
      <c r="F105" s="275">
        <f>ROUND(IF(MinBase1Day&gt;ROUND(((1-(OverNightDiscount_21_Up+FedExExrpessEarnedDiscount))*'1Day Base'!F102),2),ROUND(MinBase1Day*(1+ExpressFuelSurcharge),2),ROUND(((1-(OverNightDiscount_21_Up+FedExExrpessEarnedDiscount))*'1Day Base'!F102)*(1+ExpressFuelSurcharge),2))*(1+FedEx_Markup),2)</f>
        <v>356.62</v>
      </c>
      <c r="G105" s="275">
        <f>ROUND(IF(MinBase1Day&gt;ROUND(((1-(OverNightDiscount_21_Up+FedExExrpessEarnedDiscount))*'1Day Base'!G102),2),ROUND(MinBase1Day*(1+ExpressFuelSurcharge),2),ROUND(((1-(OverNightDiscount_21_Up+FedExExrpessEarnedDiscount))*'1Day Base'!G102)*(1+ExpressFuelSurcharge),2))*(1+FedEx_Markup),2)</f>
        <v>428.27</v>
      </c>
      <c r="H105" s="275">
        <f>ROUND(IF(MinBase1Day&gt;ROUND(((1-(OverNightDiscount_21_Up+FedExExrpessEarnedDiscount))*'1Day Base'!H102),2),ROUND(MinBase1Day*(1+ExpressFuelSurcharge),2),ROUND(((1-(OverNightDiscount_21_Up+FedExExrpessEarnedDiscount))*'1Day Base'!H102)*(1+ExpressFuelSurcharge),2))*(1+FedEx_Markup),2)</f>
        <v>446.59</v>
      </c>
    </row>
    <row r="106" ht="13.5" customHeight="1">
      <c r="A106" s="274">
        <v>101.0</v>
      </c>
      <c r="B106" s="275">
        <f>ROUND(IF(MinBase1Day&gt;ROUND(((1-(OverNightDiscount_21_Up+FedExExrpessEarnedDiscount))*'1Day Base'!B103),2),ROUND(MinBase1Day*(1+ExpressFuelSurcharge),2),ROUND(((1-(OverNightDiscount_21_Up+FedExExrpessEarnedDiscount))*'1Day Base'!B103)*(1+ExpressFuelSurcharge),2))*(1+FedEx_Markup),2)</f>
        <v>116.36</v>
      </c>
      <c r="C106" s="275">
        <f>ROUND(IF(MinBase1Day&gt;ROUND(((1-(OverNightDiscount_21_Up+FedExExrpessEarnedDiscount))*'1Day Base'!C103),2),ROUND(MinBase1Day*(1+ExpressFuelSurcharge),2),ROUND(((1-(OverNightDiscount_21_Up+FedExExrpessEarnedDiscount))*'1Day Base'!C103)*(1+ExpressFuelSurcharge),2))*(1+FedEx_Markup),2)</f>
        <v>162.83</v>
      </c>
      <c r="D106" s="275">
        <f>ROUND(IF(MinBase1Day&gt;ROUND(((1-(OverNightDiscount_21_Up+FedExExrpessEarnedDiscount))*'1Day Base'!D103),2),ROUND(MinBase1Day*(1+ExpressFuelSurcharge),2),ROUND(((1-(OverNightDiscount_21_Up+FedExExrpessEarnedDiscount))*'1Day Base'!D103)*(1+ExpressFuelSurcharge),2))*(1+FedEx_Markup),2)</f>
        <v>295.63</v>
      </c>
      <c r="E106" s="275">
        <f>ROUND(IF(MinBase1Day&gt;ROUND(((1-(OverNightDiscount_21_Up+FedExExrpessEarnedDiscount))*'1Day Base'!E103),2),ROUND(MinBase1Day*(1+ExpressFuelSurcharge),2),ROUND(((1-(OverNightDiscount_21_Up+FedExExrpessEarnedDiscount))*'1Day Base'!E103)*(1+ExpressFuelSurcharge),2))*(1+FedEx_Markup),2)</f>
        <v>352.79</v>
      </c>
      <c r="F106" s="275">
        <f>ROUND(IF(MinBase1Day&gt;ROUND(((1-(OverNightDiscount_21_Up+FedExExrpessEarnedDiscount))*'1Day Base'!F103),2),ROUND(MinBase1Day*(1+ExpressFuelSurcharge),2),ROUND(((1-(OverNightDiscount_21_Up+FedExExrpessEarnedDiscount))*'1Day Base'!F103)*(1+ExpressFuelSurcharge),2))*(1+FedEx_Markup),2)</f>
        <v>360.19</v>
      </c>
      <c r="G106" s="275">
        <f>ROUND(IF(MinBase1Day&gt;ROUND(((1-(OverNightDiscount_21_Up+FedExExrpessEarnedDiscount))*'1Day Base'!G103),2),ROUND(MinBase1Day*(1+ExpressFuelSurcharge),2),ROUND(((1-(OverNightDiscount_21_Up+FedExExrpessEarnedDiscount))*'1Day Base'!G103)*(1+ExpressFuelSurcharge),2))*(1+FedEx_Markup),2)</f>
        <v>432.55</v>
      </c>
      <c r="H106" s="275">
        <f>ROUND(IF(MinBase1Day&gt;ROUND(((1-(OverNightDiscount_21_Up+FedExExrpessEarnedDiscount))*'1Day Base'!H103),2),ROUND(MinBase1Day*(1+ExpressFuelSurcharge),2),ROUND(((1-(OverNightDiscount_21_Up+FedExExrpessEarnedDiscount))*'1Day Base'!H103)*(1+ExpressFuelSurcharge),2))*(1+FedEx_Markup),2)</f>
        <v>451.05</v>
      </c>
    </row>
    <row r="107" ht="13.5" customHeight="1">
      <c r="A107" s="274">
        <v>102.0</v>
      </c>
      <c r="B107" s="275">
        <f>ROUND(IF(MinBase1Day&gt;ROUND(((1-(OverNightDiscount_21_Up+FedExExrpessEarnedDiscount))*'1Day Base'!B104),2),ROUND(MinBase1Day*(1+ExpressFuelSurcharge),2),ROUND(((1-(OverNightDiscount_21_Up+FedExExrpessEarnedDiscount))*'1Day Base'!B104)*(1+ExpressFuelSurcharge),2))*(1+FedEx_Markup),2)</f>
        <v>117.52</v>
      </c>
      <c r="C107" s="275">
        <f>ROUND(IF(MinBase1Day&gt;ROUND(((1-(OverNightDiscount_21_Up+FedExExrpessEarnedDiscount))*'1Day Base'!C104),2),ROUND(MinBase1Day*(1+ExpressFuelSurcharge),2),ROUND(((1-(OverNightDiscount_21_Up+FedExExrpessEarnedDiscount))*'1Day Base'!C104)*(1+ExpressFuelSurcharge),2))*(1+FedEx_Markup),2)</f>
        <v>164.44</v>
      </c>
      <c r="D107" s="275">
        <f>ROUND(IF(MinBase1Day&gt;ROUND(((1-(OverNightDiscount_21_Up+FedExExrpessEarnedDiscount))*'1Day Base'!D104),2),ROUND(MinBase1Day*(1+ExpressFuelSurcharge),2),ROUND(((1-(OverNightDiscount_21_Up+FedExExrpessEarnedDiscount))*'1Day Base'!D104)*(1+ExpressFuelSurcharge),2))*(1+FedEx_Markup),2)</f>
        <v>298.56</v>
      </c>
      <c r="E107" s="275">
        <f>ROUND(IF(MinBase1Day&gt;ROUND(((1-(OverNightDiscount_21_Up+FedExExrpessEarnedDiscount))*'1Day Base'!E104),2),ROUND(MinBase1Day*(1+ExpressFuelSurcharge),2),ROUND(((1-(OverNightDiscount_21_Up+FedExExrpessEarnedDiscount))*'1Day Base'!E104)*(1+ExpressFuelSurcharge),2))*(1+FedEx_Markup),2)</f>
        <v>356.28</v>
      </c>
      <c r="F107" s="275">
        <f>ROUND(IF(MinBase1Day&gt;ROUND(((1-(OverNightDiscount_21_Up+FedExExrpessEarnedDiscount))*'1Day Base'!F104),2),ROUND(MinBase1Day*(1+ExpressFuelSurcharge),2),ROUND(((1-(OverNightDiscount_21_Up+FedExExrpessEarnedDiscount))*'1Day Base'!F104)*(1+ExpressFuelSurcharge),2))*(1+FedEx_Markup),2)</f>
        <v>363.76</v>
      </c>
      <c r="G107" s="275">
        <f>ROUND(IF(MinBase1Day&gt;ROUND(((1-(OverNightDiscount_21_Up+FedExExrpessEarnedDiscount))*'1Day Base'!G104),2),ROUND(MinBase1Day*(1+ExpressFuelSurcharge),2),ROUND(((1-(OverNightDiscount_21_Up+FedExExrpessEarnedDiscount))*'1Day Base'!G104)*(1+ExpressFuelSurcharge),2))*(1+FedEx_Markup),2)</f>
        <v>436.84</v>
      </c>
      <c r="H107" s="275">
        <f>ROUND(IF(MinBase1Day&gt;ROUND(((1-(OverNightDiscount_21_Up+FedExExrpessEarnedDiscount))*'1Day Base'!H104),2),ROUND(MinBase1Day*(1+ExpressFuelSurcharge),2),ROUND(((1-(OverNightDiscount_21_Up+FedExExrpessEarnedDiscount))*'1Day Base'!H104)*(1+ExpressFuelSurcharge),2))*(1+FedEx_Markup),2)</f>
        <v>455.52</v>
      </c>
    </row>
    <row r="108" ht="13.5" customHeight="1">
      <c r="A108" s="274">
        <v>103.0</v>
      </c>
      <c r="B108" s="275">
        <f>ROUND(IF(MinBase1Day&gt;ROUND(((1-(OverNightDiscount_21_Up+FedExExrpessEarnedDiscount))*'1Day Base'!B105),2),ROUND(MinBase1Day*(1+ExpressFuelSurcharge),2),ROUND(((1-(OverNightDiscount_21_Up+FedExExrpessEarnedDiscount))*'1Day Base'!B105)*(1+ExpressFuelSurcharge),2))*(1+FedEx_Markup),2)</f>
        <v>118.67</v>
      </c>
      <c r="C108" s="275">
        <f>ROUND(IF(MinBase1Day&gt;ROUND(((1-(OverNightDiscount_21_Up+FedExExrpessEarnedDiscount))*'1Day Base'!C105),2),ROUND(MinBase1Day*(1+ExpressFuelSurcharge),2),ROUND(((1-(OverNightDiscount_21_Up+FedExExrpessEarnedDiscount))*'1Day Base'!C105)*(1+ExpressFuelSurcharge),2))*(1+FedEx_Markup),2)</f>
        <v>166.05</v>
      </c>
      <c r="D108" s="275">
        <f>ROUND(IF(MinBase1Day&gt;ROUND(((1-(OverNightDiscount_21_Up+FedExExrpessEarnedDiscount))*'1Day Base'!D105),2),ROUND(MinBase1Day*(1+ExpressFuelSurcharge),2),ROUND(((1-(OverNightDiscount_21_Up+FedExExrpessEarnedDiscount))*'1Day Base'!D105)*(1+ExpressFuelSurcharge),2))*(1+FedEx_Markup),2)</f>
        <v>301.48</v>
      </c>
      <c r="E108" s="275">
        <f>ROUND(IF(MinBase1Day&gt;ROUND(((1-(OverNightDiscount_21_Up+FedExExrpessEarnedDiscount))*'1Day Base'!E105),2),ROUND(MinBase1Day*(1+ExpressFuelSurcharge),2),ROUND(((1-(OverNightDiscount_21_Up+FedExExrpessEarnedDiscount))*'1Day Base'!E105)*(1+ExpressFuelSurcharge),2))*(1+FedEx_Markup),2)</f>
        <v>359.77</v>
      </c>
      <c r="F108" s="275">
        <f>ROUND(IF(MinBase1Day&gt;ROUND(((1-(OverNightDiscount_21_Up+FedExExrpessEarnedDiscount))*'1Day Base'!F105),2),ROUND(MinBase1Day*(1+ExpressFuelSurcharge),2),ROUND(((1-(OverNightDiscount_21_Up+FedExExrpessEarnedDiscount))*'1Day Base'!F105)*(1+ExpressFuelSurcharge),2))*(1+FedEx_Markup),2)</f>
        <v>367.32</v>
      </c>
      <c r="G108" s="275">
        <f>ROUND(IF(MinBase1Day&gt;ROUND(((1-(OverNightDiscount_21_Up+FedExExrpessEarnedDiscount))*'1Day Base'!G105),2),ROUND(MinBase1Day*(1+ExpressFuelSurcharge),2),ROUND(((1-(OverNightDiscount_21_Up+FedExExrpessEarnedDiscount))*'1Day Base'!G105)*(1+ExpressFuelSurcharge),2))*(1+FedEx_Markup),2)</f>
        <v>441.12</v>
      </c>
      <c r="H108" s="275">
        <f>ROUND(IF(MinBase1Day&gt;ROUND(((1-(OverNightDiscount_21_Up+FedExExrpessEarnedDiscount))*'1Day Base'!H105),2),ROUND(MinBase1Day*(1+ExpressFuelSurcharge),2),ROUND(((1-(OverNightDiscount_21_Up+FedExExrpessEarnedDiscount))*'1Day Base'!H105)*(1+ExpressFuelSurcharge),2))*(1+FedEx_Markup),2)</f>
        <v>459.99</v>
      </c>
    </row>
    <row r="109" ht="13.5" customHeight="1">
      <c r="A109" s="274">
        <v>104.0</v>
      </c>
      <c r="B109" s="275">
        <f>ROUND(IF(MinBase1Day&gt;ROUND(((1-(OverNightDiscount_21_Up+FedExExrpessEarnedDiscount))*'1Day Base'!B106),2),ROUND(MinBase1Day*(1+ExpressFuelSurcharge),2),ROUND(((1-(OverNightDiscount_21_Up+FedExExrpessEarnedDiscount))*'1Day Base'!B106)*(1+ExpressFuelSurcharge),2))*(1+FedEx_Markup),2)</f>
        <v>119.82</v>
      </c>
      <c r="C109" s="275">
        <f>ROUND(IF(MinBase1Day&gt;ROUND(((1-(OverNightDiscount_21_Up+FedExExrpessEarnedDiscount))*'1Day Base'!C106),2),ROUND(MinBase1Day*(1+ExpressFuelSurcharge),2),ROUND(((1-(OverNightDiscount_21_Up+FedExExrpessEarnedDiscount))*'1Day Base'!C106)*(1+ExpressFuelSurcharge),2))*(1+FedEx_Markup),2)</f>
        <v>167.66</v>
      </c>
      <c r="D109" s="275">
        <f>ROUND(IF(MinBase1Day&gt;ROUND(((1-(OverNightDiscount_21_Up+FedExExrpessEarnedDiscount))*'1Day Base'!D106),2),ROUND(MinBase1Day*(1+ExpressFuelSurcharge),2),ROUND(((1-(OverNightDiscount_21_Up+FedExExrpessEarnedDiscount))*'1Day Base'!D106)*(1+ExpressFuelSurcharge),2))*(1+FedEx_Markup),2)</f>
        <v>304.42</v>
      </c>
      <c r="E109" s="275">
        <f>ROUND(IF(MinBase1Day&gt;ROUND(((1-(OverNightDiscount_21_Up+FedExExrpessEarnedDiscount))*'1Day Base'!E106),2),ROUND(MinBase1Day*(1+ExpressFuelSurcharge),2),ROUND(((1-(OverNightDiscount_21_Up+FedExExrpessEarnedDiscount))*'1Day Base'!E106)*(1+ExpressFuelSurcharge),2))*(1+FedEx_Markup),2)</f>
        <v>363.26</v>
      </c>
      <c r="F109" s="275">
        <f>ROUND(IF(MinBase1Day&gt;ROUND(((1-(OverNightDiscount_21_Up+FedExExrpessEarnedDiscount))*'1Day Base'!F106),2),ROUND(MinBase1Day*(1+ExpressFuelSurcharge),2),ROUND(((1-(OverNightDiscount_21_Up+FedExExrpessEarnedDiscount))*'1Day Base'!F106)*(1+ExpressFuelSurcharge),2))*(1+FedEx_Markup),2)</f>
        <v>370.89</v>
      </c>
      <c r="G109" s="275">
        <f>ROUND(IF(MinBase1Day&gt;ROUND(((1-(OverNightDiscount_21_Up+FedExExrpessEarnedDiscount))*'1Day Base'!G106),2),ROUND(MinBase1Day*(1+ExpressFuelSurcharge),2),ROUND(((1-(OverNightDiscount_21_Up+FedExExrpessEarnedDiscount))*'1Day Base'!G106)*(1+ExpressFuelSurcharge),2))*(1+FedEx_Markup),2)</f>
        <v>445.4</v>
      </c>
      <c r="H109" s="275">
        <f>ROUND(IF(MinBase1Day&gt;ROUND(((1-(OverNightDiscount_21_Up+FedExExrpessEarnedDiscount))*'1Day Base'!H106),2),ROUND(MinBase1Day*(1+ExpressFuelSurcharge),2),ROUND(((1-(OverNightDiscount_21_Up+FedExExrpessEarnedDiscount))*'1Day Base'!H106)*(1+ExpressFuelSurcharge),2))*(1+FedEx_Markup),2)</f>
        <v>464.45</v>
      </c>
    </row>
    <row r="110" ht="12.75" customHeight="1">
      <c r="A110" s="274">
        <v>105.0</v>
      </c>
      <c r="B110" s="275">
        <f>ROUND(IF(MinBase1Day&gt;ROUND(((1-(OverNightDiscount_21_Up+FedExExrpessEarnedDiscount))*'1Day Base'!B107),2),ROUND(MinBase1Day*(1+ExpressFuelSurcharge),2),ROUND(((1-(OverNightDiscount_21_Up+FedExExrpessEarnedDiscount))*'1Day Base'!B107)*(1+ExpressFuelSurcharge),2))*(1+FedEx_Markup),2)</f>
        <v>120.97</v>
      </c>
      <c r="C110" s="275">
        <f>ROUND(IF(MinBase1Day&gt;ROUND(((1-(OverNightDiscount_21_Up+FedExExrpessEarnedDiscount))*'1Day Base'!C107),2),ROUND(MinBase1Day*(1+ExpressFuelSurcharge),2),ROUND(((1-(OverNightDiscount_21_Up+FedExExrpessEarnedDiscount))*'1Day Base'!C107)*(1+ExpressFuelSurcharge),2))*(1+FedEx_Markup),2)</f>
        <v>169.27</v>
      </c>
      <c r="D110" s="275">
        <f>ROUND(IF(MinBase1Day&gt;ROUND(((1-(OverNightDiscount_21_Up+FedExExrpessEarnedDiscount))*'1Day Base'!D107),2),ROUND(MinBase1Day*(1+ExpressFuelSurcharge),2),ROUND(((1-(OverNightDiscount_21_Up+FedExExrpessEarnedDiscount))*'1Day Base'!D107)*(1+ExpressFuelSurcharge),2))*(1+FedEx_Markup),2)</f>
        <v>307.34</v>
      </c>
      <c r="E110" s="275">
        <f>ROUND(IF(MinBase1Day&gt;ROUND(((1-(OverNightDiscount_21_Up+FedExExrpessEarnedDiscount))*'1Day Base'!E107),2),ROUND(MinBase1Day*(1+ExpressFuelSurcharge),2),ROUND(((1-(OverNightDiscount_21_Up+FedExExrpessEarnedDiscount))*'1Day Base'!E107)*(1+ExpressFuelSurcharge),2))*(1+FedEx_Markup),2)</f>
        <v>366.76</v>
      </c>
      <c r="F110" s="275">
        <f>ROUND(IF(MinBase1Day&gt;ROUND(((1-(OverNightDiscount_21_Up+FedExExrpessEarnedDiscount))*'1Day Base'!F107),2),ROUND(MinBase1Day*(1+ExpressFuelSurcharge),2),ROUND(((1-(OverNightDiscount_21_Up+FedExExrpessEarnedDiscount))*'1Day Base'!F107)*(1+ExpressFuelSurcharge),2))*(1+FedEx_Markup),2)</f>
        <v>374.45</v>
      </c>
      <c r="G110" s="275">
        <f>ROUND(IF(MinBase1Day&gt;ROUND(((1-(OverNightDiscount_21_Up+FedExExrpessEarnedDiscount))*'1Day Base'!G107),2),ROUND(MinBase1Day*(1+ExpressFuelSurcharge),2),ROUND(((1-(OverNightDiscount_21_Up+FedExExrpessEarnedDiscount))*'1Day Base'!G107)*(1+ExpressFuelSurcharge),2))*(1+FedEx_Markup),2)</f>
        <v>449.68</v>
      </c>
      <c r="H110" s="275">
        <f>ROUND(IF(MinBase1Day&gt;ROUND(((1-(OverNightDiscount_21_Up+FedExExrpessEarnedDiscount))*'1Day Base'!H107),2),ROUND(MinBase1Day*(1+ExpressFuelSurcharge),2),ROUND(((1-(OverNightDiscount_21_Up+FedExExrpessEarnedDiscount))*'1Day Base'!H107)*(1+ExpressFuelSurcharge),2))*(1+FedEx_Markup),2)</f>
        <v>468.91</v>
      </c>
    </row>
    <row r="111" ht="12.75" customHeight="1">
      <c r="A111" s="274">
        <v>106.0</v>
      </c>
      <c r="B111" s="275">
        <f>ROUND(IF(MinBase1Day&gt;ROUND(((1-(OverNightDiscount_21_Up+FedExExrpessEarnedDiscount))*'1Day Base'!B108),2),ROUND(MinBase1Day*(1+ExpressFuelSurcharge),2),ROUND(((1-(OverNightDiscount_21_Up+FedExExrpessEarnedDiscount))*'1Day Base'!B108)*(1+ExpressFuelSurcharge),2))*(1+FedEx_Markup),2)</f>
        <v>122.12</v>
      </c>
      <c r="C111" s="275">
        <f>ROUND(IF(MinBase1Day&gt;ROUND(((1-(OverNightDiscount_21_Up+FedExExrpessEarnedDiscount))*'1Day Base'!C108),2),ROUND(MinBase1Day*(1+ExpressFuelSurcharge),2),ROUND(((1-(OverNightDiscount_21_Up+FedExExrpessEarnedDiscount))*'1Day Base'!C108)*(1+ExpressFuelSurcharge),2))*(1+FedEx_Markup),2)</f>
        <v>170.89</v>
      </c>
      <c r="D111" s="275">
        <f>ROUND(IF(MinBase1Day&gt;ROUND(((1-(OverNightDiscount_21_Up+FedExExrpessEarnedDiscount))*'1Day Base'!D108),2),ROUND(MinBase1Day*(1+ExpressFuelSurcharge),2),ROUND(((1-(OverNightDiscount_21_Up+FedExExrpessEarnedDiscount))*'1Day Base'!D108)*(1+ExpressFuelSurcharge),2))*(1+FedEx_Markup),2)</f>
        <v>310.27</v>
      </c>
      <c r="E111" s="275">
        <f>ROUND(IF(MinBase1Day&gt;ROUND(((1-(OverNightDiscount_21_Up+FedExExrpessEarnedDiscount))*'1Day Base'!E108),2),ROUND(MinBase1Day*(1+ExpressFuelSurcharge),2),ROUND(((1-(OverNightDiscount_21_Up+FedExExrpessEarnedDiscount))*'1Day Base'!E108)*(1+ExpressFuelSurcharge),2))*(1+FedEx_Markup),2)</f>
        <v>370.25</v>
      </c>
      <c r="F111" s="275">
        <f>ROUND(IF(MinBase1Day&gt;ROUND(((1-(OverNightDiscount_21_Up+FedExExrpessEarnedDiscount))*'1Day Base'!F108),2),ROUND(MinBase1Day*(1+ExpressFuelSurcharge),2),ROUND(((1-(OverNightDiscount_21_Up+FedExExrpessEarnedDiscount))*'1Day Base'!F108)*(1+ExpressFuelSurcharge),2))*(1+FedEx_Markup),2)</f>
        <v>378.02</v>
      </c>
      <c r="G111" s="275">
        <f>ROUND(IF(MinBase1Day&gt;ROUND(((1-(OverNightDiscount_21_Up+FedExExrpessEarnedDiscount))*'1Day Base'!G108),2),ROUND(MinBase1Day*(1+ExpressFuelSurcharge),2),ROUND(((1-(OverNightDiscount_21_Up+FedExExrpessEarnedDiscount))*'1Day Base'!G108)*(1+ExpressFuelSurcharge),2))*(1+FedEx_Markup),2)</f>
        <v>453.96</v>
      </c>
      <c r="H111" s="275">
        <f>ROUND(IF(MinBase1Day&gt;ROUND(((1-(OverNightDiscount_21_Up+FedExExrpessEarnedDiscount))*'1Day Base'!H108),2),ROUND(MinBase1Day*(1+ExpressFuelSurcharge),2),ROUND(((1-(OverNightDiscount_21_Up+FedExExrpessEarnedDiscount))*'1Day Base'!H108)*(1+ExpressFuelSurcharge),2))*(1+FedEx_Markup),2)</f>
        <v>473.39</v>
      </c>
    </row>
    <row r="112" ht="12.75" customHeight="1">
      <c r="A112" s="274">
        <v>107.0</v>
      </c>
      <c r="B112" s="275">
        <f>ROUND(IF(MinBase1Day&gt;ROUND(((1-(OverNightDiscount_21_Up+FedExExrpessEarnedDiscount))*'1Day Base'!B109),2),ROUND(MinBase1Day*(1+ExpressFuelSurcharge),2),ROUND(((1-(OverNightDiscount_21_Up+FedExExrpessEarnedDiscount))*'1Day Base'!B109)*(1+ExpressFuelSurcharge),2))*(1+FedEx_Markup),2)</f>
        <v>123.27</v>
      </c>
      <c r="C112" s="275">
        <f>ROUND(IF(MinBase1Day&gt;ROUND(((1-(OverNightDiscount_21_Up+FedExExrpessEarnedDiscount))*'1Day Base'!C109),2),ROUND(MinBase1Day*(1+ExpressFuelSurcharge),2),ROUND(((1-(OverNightDiscount_21_Up+FedExExrpessEarnedDiscount))*'1Day Base'!C109)*(1+ExpressFuelSurcharge),2))*(1+FedEx_Markup),2)</f>
        <v>172.5</v>
      </c>
      <c r="D112" s="275">
        <f>ROUND(IF(MinBase1Day&gt;ROUND(((1-(OverNightDiscount_21_Up+FedExExrpessEarnedDiscount))*'1Day Base'!D109),2),ROUND(MinBase1Day*(1+ExpressFuelSurcharge),2),ROUND(((1-(OverNightDiscount_21_Up+FedExExrpessEarnedDiscount))*'1Day Base'!D109)*(1+ExpressFuelSurcharge),2))*(1+FedEx_Markup),2)</f>
        <v>313.19</v>
      </c>
      <c r="E112" s="275">
        <f>ROUND(IF(MinBase1Day&gt;ROUND(((1-(OverNightDiscount_21_Up+FedExExrpessEarnedDiscount))*'1Day Base'!E109),2),ROUND(MinBase1Day*(1+ExpressFuelSurcharge),2),ROUND(((1-(OverNightDiscount_21_Up+FedExExrpessEarnedDiscount))*'1Day Base'!E109)*(1+ExpressFuelSurcharge),2))*(1+FedEx_Markup),2)</f>
        <v>373.74</v>
      </c>
      <c r="F112" s="275">
        <f>ROUND(IF(MinBase1Day&gt;ROUND(((1-(OverNightDiscount_21_Up+FedExExrpessEarnedDiscount))*'1Day Base'!F109),2),ROUND(MinBase1Day*(1+ExpressFuelSurcharge),2),ROUND(((1-(OverNightDiscount_21_Up+FedExExrpessEarnedDiscount))*'1Day Base'!F109)*(1+ExpressFuelSurcharge),2))*(1+FedEx_Markup),2)</f>
        <v>381.58</v>
      </c>
      <c r="G112" s="275">
        <f>ROUND(IF(MinBase1Day&gt;ROUND(((1-(OverNightDiscount_21_Up+FedExExrpessEarnedDiscount))*'1Day Base'!G109),2),ROUND(MinBase1Day*(1+ExpressFuelSurcharge),2),ROUND(((1-(OverNightDiscount_21_Up+FedExExrpessEarnedDiscount))*'1Day Base'!G109)*(1+ExpressFuelSurcharge),2))*(1+FedEx_Markup),2)</f>
        <v>458.25</v>
      </c>
      <c r="H112" s="275">
        <f>ROUND(IF(MinBase1Day&gt;ROUND(((1-(OverNightDiscount_21_Up+FedExExrpessEarnedDiscount))*'1Day Base'!H109),2),ROUND(MinBase1Day*(1+ExpressFuelSurcharge),2),ROUND(((1-(OverNightDiscount_21_Up+FedExExrpessEarnedDiscount))*'1Day Base'!H109)*(1+ExpressFuelSurcharge),2))*(1+FedEx_Markup),2)</f>
        <v>477.85</v>
      </c>
    </row>
    <row r="113" ht="12.75" customHeight="1">
      <c r="A113" s="274">
        <v>108.0</v>
      </c>
      <c r="B113" s="275">
        <f>ROUND(IF(MinBase1Day&gt;ROUND(((1-(OverNightDiscount_21_Up+FedExExrpessEarnedDiscount))*'1Day Base'!B110),2),ROUND(MinBase1Day*(1+ExpressFuelSurcharge),2),ROUND(((1-(OverNightDiscount_21_Up+FedExExrpessEarnedDiscount))*'1Day Base'!B110)*(1+ExpressFuelSurcharge),2))*(1+FedEx_Markup),2)</f>
        <v>124.43</v>
      </c>
      <c r="C113" s="275">
        <f>ROUND(IF(MinBase1Day&gt;ROUND(((1-(OverNightDiscount_21_Up+FedExExrpessEarnedDiscount))*'1Day Base'!C110),2),ROUND(MinBase1Day*(1+ExpressFuelSurcharge),2),ROUND(((1-(OverNightDiscount_21_Up+FedExExrpessEarnedDiscount))*'1Day Base'!C110)*(1+ExpressFuelSurcharge),2))*(1+FedEx_Markup),2)</f>
        <v>174.11</v>
      </c>
      <c r="D113" s="275">
        <f>ROUND(IF(MinBase1Day&gt;ROUND(((1-(OverNightDiscount_21_Up+FedExExrpessEarnedDiscount))*'1Day Base'!D110),2),ROUND(MinBase1Day*(1+ExpressFuelSurcharge),2),ROUND(((1-(OverNightDiscount_21_Up+FedExExrpessEarnedDiscount))*'1Day Base'!D110)*(1+ExpressFuelSurcharge),2))*(1+FedEx_Markup),2)</f>
        <v>316.12</v>
      </c>
      <c r="E113" s="275">
        <f>ROUND(IF(MinBase1Day&gt;ROUND(((1-(OverNightDiscount_21_Up+FedExExrpessEarnedDiscount))*'1Day Base'!E110),2),ROUND(MinBase1Day*(1+ExpressFuelSurcharge),2),ROUND(((1-(OverNightDiscount_21_Up+FedExExrpessEarnedDiscount))*'1Day Base'!E110)*(1+ExpressFuelSurcharge),2))*(1+FedEx_Markup),2)</f>
        <v>377.23</v>
      </c>
      <c r="F113" s="275">
        <f>ROUND(IF(MinBase1Day&gt;ROUND(((1-(OverNightDiscount_21_Up+FedExExrpessEarnedDiscount))*'1Day Base'!F110),2),ROUND(MinBase1Day*(1+ExpressFuelSurcharge),2),ROUND(((1-(OverNightDiscount_21_Up+FedExExrpessEarnedDiscount))*'1Day Base'!F110)*(1+ExpressFuelSurcharge),2))*(1+FedEx_Markup),2)</f>
        <v>385.15</v>
      </c>
      <c r="G113" s="275">
        <f>ROUND(IF(MinBase1Day&gt;ROUND(((1-(OverNightDiscount_21_Up+FedExExrpessEarnedDiscount))*'1Day Base'!G110),2),ROUND(MinBase1Day*(1+ExpressFuelSurcharge),2),ROUND(((1-(OverNightDiscount_21_Up+FedExExrpessEarnedDiscount))*'1Day Base'!G110)*(1+ExpressFuelSurcharge),2))*(1+FedEx_Markup),2)</f>
        <v>462.53</v>
      </c>
      <c r="H113" s="275">
        <f>ROUND(IF(MinBase1Day&gt;ROUND(((1-(OverNightDiscount_21_Up+FedExExrpessEarnedDiscount))*'1Day Base'!H110),2),ROUND(MinBase1Day*(1+ExpressFuelSurcharge),2),ROUND(((1-(OverNightDiscount_21_Up+FedExExrpessEarnedDiscount))*'1Day Base'!H110)*(1+ExpressFuelSurcharge),2))*(1+FedEx_Markup),2)</f>
        <v>482.32</v>
      </c>
    </row>
    <row r="114" ht="12.75" customHeight="1">
      <c r="A114" s="274">
        <v>109.0</v>
      </c>
      <c r="B114" s="275">
        <f>ROUND(IF(MinBase1Day&gt;ROUND(((1-(OverNightDiscount_21_Up+FedExExrpessEarnedDiscount))*'1Day Base'!B111),2),ROUND(MinBase1Day*(1+ExpressFuelSurcharge),2),ROUND(((1-(OverNightDiscount_21_Up+FedExExrpessEarnedDiscount))*'1Day Base'!B111)*(1+ExpressFuelSurcharge),2))*(1+FedEx_Markup),2)</f>
        <v>125.58</v>
      </c>
      <c r="C114" s="275">
        <f>ROUND(IF(MinBase1Day&gt;ROUND(((1-(OverNightDiscount_21_Up+FedExExrpessEarnedDiscount))*'1Day Base'!C111),2),ROUND(MinBase1Day*(1+ExpressFuelSurcharge),2),ROUND(((1-(OverNightDiscount_21_Up+FedExExrpessEarnedDiscount))*'1Day Base'!C111)*(1+ExpressFuelSurcharge),2))*(1+FedEx_Markup),2)</f>
        <v>175.72</v>
      </c>
      <c r="D114" s="275">
        <f>ROUND(IF(MinBase1Day&gt;ROUND(((1-(OverNightDiscount_21_Up+FedExExrpessEarnedDiscount))*'1Day Base'!D111),2),ROUND(MinBase1Day*(1+ExpressFuelSurcharge),2),ROUND(((1-(OverNightDiscount_21_Up+FedExExrpessEarnedDiscount))*'1Day Base'!D111)*(1+ExpressFuelSurcharge),2))*(1+FedEx_Markup),2)</f>
        <v>319.04</v>
      </c>
      <c r="E114" s="275">
        <f>ROUND(IF(MinBase1Day&gt;ROUND(((1-(OverNightDiscount_21_Up+FedExExrpessEarnedDiscount))*'1Day Base'!E111),2),ROUND(MinBase1Day*(1+ExpressFuelSurcharge),2),ROUND(((1-(OverNightDiscount_21_Up+FedExExrpessEarnedDiscount))*'1Day Base'!E111)*(1+ExpressFuelSurcharge),2))*(1+FedEx_Markup),2)</f>
        <v>380.73</v>
      </c>
      <c r="F114" s="275">
        <f>ROUND(IF(MinBase1Day&gt;ROUND(((1-(OverNightDiscount_21_Up+FedExExrpessEarnedDiscount))*'1Day Base'!F111),2),ROUND(MinBase1Day*(1+ExpressFuelSurcharge),2),ROUND(((1-(OverNightDiscount_21_Up+FedExExrpessEarnedDiscount))*'1Day Base'!F111)*(1+ExpressFuelSurcharge),2))*(1+FedEx_Markup),2)</f>
        <v>388.71</v>
      </c>
      <c r="G114" s="275">
        <f>ROUND(IF(MinBase1Day&gt;ROUND(((1-(OverNightDiscount_21_Up+FedExExrpessEarnedDiscount))*'1Day Base'!G111),2),ROUND(MinBase1Day*(1+ExpressFuelSurcharge),2),ROUND(((1-(OverNightDiscount_21_Up+FedExExrpessEarnedDiscount))*'1Day Base'!G111)*(1+ExpressFuelSurcharge),2))*(1+FedEx_Markup),2)</f>
        <v>466.81</v>
      </c>
      <c r="H114" s="275">
        <f>ROUND(IF(MinBase1Day&gt;ROUND(((1-(OverNightDiscount_21_Up+FedExExrpessEarnedDiscount))*'1Day Base'!H111),2),ROUND(MinBase1Day*(1+ExpressFuelSurcharge),2),ROUND(((1-(OverNightDiscount_21_Up+FedExExrpessEarnedDiscount))*'1Day Base'!H111)*(1+ExpressFuelSurcharge),2))*(1+FedEx_Markup),2)</f>
        <v>486.78</v>
      </c>
    </row>
    <row r="115" ht="12.75" customHeight="1">
      <c r="A115" s="274">
        <v>110.0</v>
      </c>
      <c r="B115" s="275">
        <f>ROUND(IF(MinBase1Day&gt;ROUND(((1-(OverNightDiscount_21_Up+FedExExrpessEarnedDiscount))*'1Day Base'!B112),2),ROUND(MinBase1Day*(1+ExpressFuelSurcharge),2),ROUND(((1-(OverNightDiscount_21_Up+FedExExrpessEarnedDiscount))*'1Day Base'!B112)*(1+ExpressFuelSurcharge),2))*(1+FedEx_Markup),2)</f>
        <v>126.73</v>
      </c>
      <c r="C115" s="275">
        <f>ROUND(IF(MinBase1Day&gt;ROUND(((1-(OverNightDiscount_21_Up+FedExExrpessEarnedDiscount))*'1Day Base'!C112),2),ROUND(MinBase1Day*(1+ExpressFuelSurcharge),2),ROUND(((1-(OverNightDiscount_21_Up+FedExExrpessEarnedDiscount))*'1Day Base'!C112)*(1+ExpressFuelSurcharge),2))*(1+FedEx_Markup),2)</f>
        <v>177.33</v>
      </c>
      <c r="D115" s="275">
        <f>ROUND(IF(MinBase1Day&gt;ROUND(((1-(OverNightDiscount_21_Up+FedExExrpessEarnedDiscount))*'1Day Base'!D112),2),ROUND(MinBase1Day*(1+ExpressFuelSurcharge),2),ROUND(((1-(OverNightDiscount_21_Up+FedExExrpessEarnedDiscount))*'1Day Base'!D112)*(1+ExpressFuelSurcharge),2))*(1+FedEx_Markup),2)</f>
        <v>321.98</v>
      </c>
      <c r="E115" s="275">
        <f>ROUND(IF(MinBase1Day&gt;ROUND(((1-(OverNightDiscount_21_Up+FedExExrpessEarnedDiscount))*'1Day Base'!E112),2),ROUND(MinBase1Day*(1+ExpressFuelSurcharge),2),ROUND(((1-(OverNightDiscount_21_Up+FedExExrpessEarnedDiscount))*'1Day Base'!E112)*(1+ExpressFuelSurcharge),2))*(1+FedEx_Markup),2)</f>
        <v>384.23</v>
      </c>
      <c r="F115" s="275">
        <f>ROUND(IF(MinBase1Day&gt;ROUND(((1-(OverNightDiscount_21_Up+FedExExrpessEarnedDiscount))*'1Day Base'!F112),2),ROUND(MinBase1Day*(1+ExpressFuelSurcharge),2),ROUND(((1-(OverNightDiscount_21_Up+FedExExrpessEarnedDiscount))*'1Day Base'!F112)*(1+ExpressFuelSurcharge),2))*(1+FedEx_Markup),2)</f>
        <v>392.28</v>
      </c>
      <c r="G115" s="275">
        <f>ROUND(IF(MinBase1Day&gt;ROUND(((1-(OverNightDiscount_21_Up+FedExExrpessEarnedDiscount))*'1Day Base'!G112),2),ROUND(MinBase1Day*(1+ExpressFuelSurcharge),2),ROUND(((1-(OverNightDiscount_21_Up+FedExExrpessEarnedDiscount))*'1Day Base'!G112)*(1+ExpressFuelSurcharge),2))*(1+FedEx_Markup),2)</f>
        <v>471.1</v>
      </c>
      <c r="H115" s="275">
        <f>ROUND(IF(MinBase1Day&gt;ROUND(((1-(OverNightDiscount_21_Up+FedExExrpessEarnedDiscount))*'1Day Base'!H112),2),ROUND(MinBase1Day*(1+ExpressFuelSurcharge),2),ROUND(((1-(OverNightDiscount_21_Up+FedExExrpessEarnedDiscount))*'1Day Base'!H112)*(1+ExpressFuelSurcharge),2))*(1+FedEx_Markup),2)</f>
        <v>491.25</v>
      </c>
    </row>
    <row r="116" ht="12.75" customHeight="1">
      <c r="A116" s="274">
        <v>111.0</v>
      </c>
      <c r="B116" s="275">
        <f>ROUND(IF(MinBase1Day&gt;ROUND(((1-(OverNightDiscount_21_Up+FedExExrpessEarnedDiscount))*'1Day Base'!B113),2),ROUND(MinBase1Day*(1+ExpressFuelSurcharge),2),ROUND(((1-(OverNightDiscount_21_Up+FedExExrpessEarnedDiscount))*'1Day Base'!B113)*(1+ExpressFuelSurcharge),2))*(1+FedEx_Markup),2)</f>
        <v>127.88</v>
      </c>
      <c r="C116" s="275">
        <f>ROUND(IF(MinBase1Day&gt;ROUND(((1-(OverNightDiscount_21_Up+FedExExrpessEarnedDiscount))*'1Day Base'!C113),2),ROUND(MinBase1Day*(1+ExpressFuelSurcharge),2),ROUND(((1-(OverNightDiscount_21_Up+FedExExrpessEarnedDiscount))*'1Day Base'!C113)*(1+ExpressFuelSurcharge),2))*(1+FedEx_Markup),2)</f>
        <v>178.94</v>
      </c>
      <c r="D116" s="275">
        <f>ROUND(IF(MinBase1Day&gt;ROUND(((1-(OverNightDiscount_21_Up+FedExExrpessEarnedDiscount))*'1Day Base'!D113),2),ROUND(MinBase1Day*(1+ExpressFuelSurcharge),2),ROUND(((1-(OverNightDiscount_21_Up+FedExExrpessEarnedDiscount))*'1Day Base'!D113)*(1+ExpressFuelSurcharge),2))*(1+FedEx_Markup),2)</f>
        <v>324.9</v>
      </c>
      <c r="E116" s="275">
        <f>ROUND(IF(MinBase1Day&gt;ROUND(((1-(OverNightDiscount_21_Up+FedExExrpessEarnedDiscount))*'1Day Base'!E113),2),ROUND(MinBase1Day*(1+ExpressFuelSurcharge),2),ROUND(((1-(OverNightDiscount_21_Up+FedExExrpessEarnedDiscount))*'1Day Base'!E113)*(1+ExpressFuelSurcharge),2))*(1+FedEx_Markup),2)</f>
        <v>387.71</v>
      </c>
      <c r="F116" s="275">
        <f>ROUND(IF(MinBase1Day&gt;ROUND(((1-(OverNightDiscount_21_Up+FedExExrpessEarnedDiscount))*'1Day Base'!F113),2),ROUND(MinBase1Day*(1+ExpressFuelSurcharge),2),ROUND(((1-(OverNightDiscount_21_Up+FedExExrpessEarnedDiscount))*'1Day Base'!F113)*(1+ExpressFuelSurcharge),2))*(1+FedEx_Markup),2)</f>
        <v>395.85</v>
      </c>
      <c r="G116" s="275">
        <f>ROUND(IF(MinBase1Day&gt;ROUND(((1-(OverNightDiscount_21_Up+FedExExrpessEarnedDiscount))*'1Day Base'!G113),2),ROUND(MinBase1Day*(1+ExpressFuelSurcharge),2),ROUND(((1-(OverNightDiscount_21_Up+FedExExrpessEarnedDiscount))*'1Day Base'!G113)*(1+ExpressFuelSurcharge),2))*(1+FedEx_Markup),2)</f>
        <v>475.38</v>
      </c>
      <c r="H116" s="275">
        <f>ROUND(IF(MinBase1Day&gt;ROUND(((1-(OverNightDiscount_21_Up+FedExExrpessEarnedDiscount))*'1Day Base'!H113),2),ROUND(MinBase1Day*(1+ExpressFuelSurcharge),2),ROUND(((1-(OverNightDiscount_21_Up+FedExExrpessEarnedDiscount))*'1Day Base'!H113)*(1+ExpressFuelSurcharge),2))*(1+FedEx_Markup),2)</f>
        <v>495.72</v>
      </c>
    </row>
    <row r="117" ht="12.75" customHeight="1">
      <c r="A117" s="274">
        <v>112.0</v>
      </c>
      <c r="B117" s="275">
        <f>ROUND(IF(MinBase1Day&gt;ROUND(((1-(OverNightDiscount_21_Up+FedExExrpessEarnedDiscount))*'1Day Base'!B114),2),ROUND(MinBase1Day*(1+ExpressFuelSurcharge),2),ROUND(((1-(OverNightDiscount_21_Up+FedExExrpessEarnedDiscount))*'1Day Base'!B114)*(1+ExpressFuelSurcharge),2))*(1+FedEx_Markup),2)</f>
        <v>129.03</v>
      </c>
      <c r="C117" s="275">
        <f>ROUND(IF(MinBase1Day&gt;ROUND(((1-(OverNightDiscount_21_Up+FedExExrpessEarnedDiscount))*'1Day Base'!C114),2),ROUND(MinBase1Day*(1+ExpressFuelSurcharge),2),ROUND(((1-(OverNightDiscount_21_Up+FedExExrpessEarnedDiscount))*'1Day Base'!C114)*(1+ExpressFuelSurcharge),2))*(1+FedEx_Markup),2)</f>
        <v>180.56</v>
      </c>
      <c r="D117" s="275">
        <f>ROUND(IF(MinBase1Day&gt;ROUND(((1-(OverNightDiscount_21_Up+FedExExrpessEarnedDiscount))*'1Day Base'!D114),2),ROUND(MinBase1Day*(1+ExpressFuelSurcharge),2),ROUND(((1-(OverNightDiscount_21_Up+FedExExrpessEarnedDiscount))*'1Day Base'!D114)*(1+ExpressFuelSurcharge),2))*(1+FedEx_Markup),2)</f>
        <v>327.83</v>
      </c>
      <c r="E117" s="275">
        <f>ROUND(IF(MinBase1Day&gt;ROUND(((1-(OverNightDiscount_21_Up+FedExExrpessEarnedDiscount))*'1Day Base'!E114),2),ROUND(MinBase1Day*(1+ExpressFuelSurcharge),2),ROUND(((1-(OverNightDiscount_21_Up+FedExExrpessEarnedDiscount))*'1Day Base'!E114)*(1+ExpressFuelSurcharge),2))*(1+FedEx_Markup),2)</f>
        <v>391.21</v>
      </c>
      <c r="F117" s="275">
        <f>ROUND(IF(MinBase1Day&gt;ROUND(((1-(OverNightDiscount_21_Up+FedExExrpessEarnedDiscount))*'1Day Base'!F114),2),ROUND(MinBase1Day*(1+ExpressFuelSurcharge),2),ROUND(((1-(OverNightDiscount_21_Up+FedExExrpessEarnedDiscount))*'1Day Base'!F114)*(1+ExpressFuelSurcharge),2))*(1+FedEx_Markup),2)</f>
        <v>399.42</v>
      </c>
      <c r="G117" s="275">
        <f>ROUND(IF(MinBase1Day&gt;ROUND(((1-(OverNightDiscount_21_Up+FedExExrpessEarnedDiscount))*'1Day Base'!G114),2),ROUND(MinBase1Day*(1+ExpressFuelSurcharge),2),ROUND(((1-(OverNightDiscount_21_Up+FedExExrpessEarnedDiscount))*'1Day Base'!G114)*(1+ExpressFuelSurcharge),2))*(1+FedEx_Markup),2)</f>
        <v>479.67</v>
      </c>
      <c r="H117" s="275">
        <f>ROUND(IF(MinBase1Day&gt;ROUND(((1-(OverNightDiscount_21_Up+FedExExrpessEarnedDiscount))*'1Day Base'!H114),2),ROUND(MinBase1Day*(1+ExpressFuelSurcharge),2),ROUND(((1-(OverNightDiscount_21_Up+FedExExrpessEarnedDiscount))*'1Day Base'!H114)*(1+ExpressFuelSurcharge),2))*(1+FedEx_Markup),2)</f>
        <v>500.18</v>
      </c>
    </row>
    <row r="118" ht="12.75" customHeight="1">
      <c r="A118" s="274">
        <v>113.0</v>
      </c>
      <c r="B118" s="275">
        <f>ROUND(IF(MinBase1Day&gt;ROUND(((1-(OverNightDiscount_21_Up+FedExExrpessEarnedDiscount))*'1Day Base'!B115),2),ROUND(MinBase1Day*(1+ExpressFuelSurcharge),2),ROUND(((1-(OverNightDiscount_21_Up+FedExExrpessEarnedDiscount))*'1Day Base'!B115)*(1+ExpressFuelSurcharge),2))*(1+FedEx_Markup),2)</f>
        <v>130.19</v>
      </c>
      <c r="C118" s="275">
        <f>ROUND(IF(MinBase1Day&gt;ROUND(((1-(OverNightDiscount_21_Up+FedExExrpessEarnedDiscount))*'1Day Base'!C115),2),ROUND(MinBase1Day*(1+ExpressFuelSurcharge),2),ROUND(((1-(OverNightDiscount_21_Up+FedExExrpessEarnedDiscount))*'1Day Base'!C115)*(1+ExpressFuelSurcharge),2))*(1+FedEx_Markup),2)</f>
        <v>182.17</v>
      </c>
      <c r="D118" s="275">
        <f>ROUND(IF(MinBase1Day&gt;ROUND(((1-(OverNightDiscount_21_Up+FedExExrpessEarnedDiscount))*'1Day Base'!D115),2),ROUND(MinBase1Day*(1+ExpressFuelSurcharge),2),ROUND(((1-(OverNightDiscount_21_Up+FedExExrpessEarnedDiscount))*'1Day Base'!D115)*(1+ExpressFuelSurcharge),2))*(1+FedEx_Markup),2)</f>
        <v>330.75</v>
      </c>
      <c r="E118" s="275">
        <f>ROUND(IF(MinBase1Day&gt;ROUND(((1-(OverNightDiscount_21_Up+FedExExrpessEarnedDiscount))*'1Day Base'!E115),2),ROUND(MinBase1Day*(1+ExpressFuelSurcharge),2),ROUND(((1-(OverNightDiscount_21_Up+FedExExrpessEarnedDiscount))*'1Day Base'!E115)*(1+ExpressFuelSurcharge),2))*(1+FedEx_Markup),2)</f>
        <v>394.7</v>
      </c>
      <c r="F118" s="275">
        <f>ROUND(IF(MinBase1Day&gt;ROUND(((1-(OverNightDiscount_21_Up+FedExExrpessEarnedDiscount))*'1Day Base'!F115),2),ROUND(MinBase1Day*(1+ExpressFuelSurcharge),2),ROUND(((1-(OverNightDiscount_21_Up+FedExExrpessEarnedDiscount))*'1Day Base'!F115)*(1+ExpressFuelSurcharge),2))*(1+FedEx_Markup),2)</f>
        <v>402.98</v>
      </c>
      <c r="G118" s="275">
        <f>ROUND(IF(MinBase1Day&gt;ROUND(((1-(OverNightDiscount_21_Up+FedExExrpessEarnedDiscount))*'1Day Base'!G115),2),ROUND(MinBase1Day*(1+ExpressFuelSurcharge),2),ROUND(((1-(OverNightDiscount_21_Up+FedExExrpessEarnedDiscount))*'1Day Base'!G115)*(1+ExpressFuelSurcharge),2))*(1+FedEx_Markup),2)</f>
        <v>483.94</v>
      </c>
      <c r="H118" s="275">
        <f>ROUND(IF(MinBase1Day&gt;ROUND(((1-(OverNightDiscount_21_Up+FedExExrpessEarnedDiscount))*'1Day Base'!H115),2),ROUND(MinBase1Day*(1+ExpressFuelSurcharge),2),ROUND(((1-(OverNightDiscount_21_Up+FedExExrpessEarnedDiscount))*'1Day Base'!H115)*(1+ExpressFuelSurcharge),2))*(1+FedEx_Markup),2)</f>
        <v>504.64</v>
      </c>
    </row>
    <row r="119" ht="12.75" customHeight="1">
      <c r="A119" s="274">
        <v>114.0</v>
      </c>
      <c r="B119" s="275">
        <f>ROUND(IF(MinBase1Day&gt;ROUND(((1-(OverNightDiscount_21_Up+FedExExrpessEarnedDiscount))*'1Day Base'!B116),2),ROUND(MinBase1Day*(1+ExpressFuelSurcharge),2),ROUND(((1-(OverNightDiscount_21_Up+FedExExrpessEarnedDiscount))*'1Day Base'!B116)*(1+ExpressFuelSurcharge),2))*(1+FedEx_Markup),2)</f>
        <v>131.34</v>
      </c>
      <c r="C119" s="275">
        <f>ROUND(IF(MinBase1Day&gt;ROUND(((1-(OverNightDiscount_21_Up+FedExExrpessEarnedDiscount))*'1Day Base'!C116),2),ROUND(MinBase1Day*(1+ExpressFuelSurcharge),2),ROUND(((1-(OverNightDiscount_21_Up+FedExExrpessEarnedDiscount))*'1Day Base'!C116)*(1+ExpressFuelSurcharge),2))*(1+FedEx_Markup),2)</f>
        <v>183.78</v>
      </c>
      <c r="D119" s="275">
        <f>ROUND(IF(MinBase1Day&gt;ROUND(((1-(OverNightDiscount_21_Up+FedExExrpessEarnedDiscount))*'1Day Base'!D116),2),ROUND(MinBase1Day*(1+ExpressFuelSurcharge),2),ROUND(((1-(OverNightDiscount_21_Up+FedExExrpessEarnedDiscount))*'1Day Base'!D116)*(1+ExpressFuelSurcharge),2))*(1+FedEx_Markup),2)</f>
        <v>333.68</v>
      </c>
      <c r="E119" s="275">
        <f>ROUND(IF(MinBase1Day&gt;ROUND(((1-(OverNightDiscount_21_Up+FedExExrpessEarnedDiscount))*'1Day Base'!E116),2),ROUND(MinBase1Day*(1+ExpressFuelSurcharge),2),ROUND(((1-(OverNightDiscount_21_Up+FedExExrpessEarnedDiscount))*'1Day Base'!E116)*(1+ExpressFuelSurcharge),2))*(1+FedEx_Markup),2)</f>
        <v>398.19</v>
      </c>
      <c r="F119" s="275">
        <f>ROUND(IF(MinBase1Day&gt;ROUND(((1-(OverNightDiscount_21_Up+FedExExrpessEarnedDiscount))*'1Day Base'!F116),2),ROUND(MinBase1Day*(1+ExpressFuelSurcharge),2),ROUND(((1-(OverNightDiscount_21_Up+FedExExrpessEarnedDiscount))*'1Day Base'!F116)*(1+ExpressFuelSurcharge),2))*(1+FedEx_Markup),2)</f>
        <v>406.55</v>
      </c>
      <c r="G119" s="275">
        <f>ROUND(IF(MinBase1Day&gt;ROUND(((1-(OverNightDiscount_21_Up+FedExExrpessEarnedDiscount))*'1Day Base'!G116),2),ROUND(MinBase1Day*(1+ExpressFuelSurcharge),2),ROUND(((1-(OverNightDiscount_21_Up+FedExExrpessEarnedDiscount))*'1Day Base'!G116)*(1+ExpressFuelSurcharge),2))*(1+FedEx_Markup),2)</f>
        <v>488.23</v>
      </c>
      <c r="H119" s="275">
        <f>ROUND(IF(MinBase1Day&gt;ROUND(((1-(OverNightDiscount_21_Up+FedExExrpessEarnedDiscount))*'1Day Base'!H116),2),ROUND(MinBase1Day*(1+ExpressFuelSurcharge),2),ROUND(((1-(OverNightDiscount_21_Up+FedExExrpessEarnedDiscount))*'1Day Base'!H116)*(1+ExpressFuelSurcharge),2))*(1+FedEx_Markup),2)</f>
        <v>509.12</v>
      </c>
    </row>
    <row r="120" ht="12.75" customHeight="1">
      <c r="A120" s="274">
        <v>115.0</v>
      </c>
      <c r="B120" s="275">
        <f>ROUND(IF(MinBase1Day&gt;ROUND(((1-(OverNightDiscount_21_Up+FedExExrpessEarnedDiscount))*'1Day Base'!B117),2),ROUND(MinBase1Day*(1+ExpressFuelSurcharge),2),ROUND(((1-(OverNightDiscount_21_Up+FedExExrpessEarnedDiscount))*'1Day Base'!B117)*(1+ExpressFuelSurcharge),2))*(1+FedEx_Markup),2)</f>
        <v>132.49</v>
      </c>
      <c r="C120" s="275">
        <f>ROUND(IF(MinBase1Day&gt;ROUND(((1-(OverNightDiscount_21_Up+FedExExrpessEarnedDiscount))*'1Day Base'!C117),2),ROUND(MinBase1Day*(1+ExpressFuelSurcharge),2),ROUND(((1-(OverNightDiscount_21_Up+FedExExrpessEarnedDiscount))*'1Day Base'!C117)*(1+ExpressFuelSurcharge),2))*(1+FedEx_Markup),2)</f>
        <v>185.39</v>
      </c>
      <c r="D120" s="275">
        <f>ROUND(IF(MinBase1Day&gt;ROUND(((1-(OverNightDiscount_21_Up+FedExExrpessEarnedDiscount))*'1Day Base'!D117),2),ROUND(MinBase1Day*(1+ExpressFuelSurcharge),2),ROUND(((1-(OverNightDiscount_21_Up+FedExExrpessEarnedDiscount))*'1Day Base'!D117)*(1+ExpressFuelSurcharge),2))*(1+FedEx_Markup),2)</f>
        <v>336.61</v>
      </c>
      <c r="E120" s="275">
        <f>ROUND(IF(MinBase1Day&gt;ROUND(((1-(OverNightDiscount_21_Up+FedExExrpessEarnedDiscount))*'1Day Base'!E117),2),ROUND(MinBase1Day*(1+ExpressFuelSurcharge),2),ROUND(((1-(OverNightDiscount_21_Up+FedExExrpessEarnedDiscount))*'1Day Base'!E117)*(1+ExpressFuelSurcharge),2))*(1+FedEx_Markup),2)</f>
        <v>401.68</v>
      </c>
      <c r="F120" s="275">
        <f>ROUND(IF(MinBase1Day&gt;ROUND(((1-(OverNightDiscount_21_Up+FedExExrpessEarnedDiscount))*'1Day Base'!F117),2),ROUND(MinBase1Day*(1+ExpressFuelSurcharge),2),ROUND(((1-(OverNightDiscount_21_Up+FedExExrpessEarnedDiscount))*'1Day Base'!F117)*(1+ExpressFuelSurcharge),2))*(1+FedEx_Markup),2)</f>
        <v>410.11</v>
      </c>
      <c r="G120" s="275">
        <f>ROUND(IF(MinBase1Day&gt;ROUND(((1-(OverNightDiscount_21_Up+FedExExrpessEarnedDiscount))*'1Day Base'!G117),2),ROUND(MinBase1Day*(1+ExpressFuelSurcharge),2),ROUND(((1-(OverNightDiscount_21_Up+FedExExrpessEarnedDiscount))*'1Day Base'!G117)*(1+ExpressFuelSurcharge),2))*(1+FedEx_Markup),2)</f>
        <v>492.51</v>
      </c>
      <c r="H120" s="275">
        <f>ROUND(IF(MinBase1Day&gt;ROUND(((1-(OverNightDiscount_21_Up+FedExExrpessEarnedDiscount))*'1Day Base'!H117),2),ROUND(MinBase1Day*(1+ExpressFuelSurcharge),2),ROUND(((1-(OverNightDiscount_21_Up+FedExExrpessEarnedDiscount))*'1Day Base'!H117)*(1+ExpressFuelSurcharge),2))*(1+FedEx_Markup),2)</f>
        <v>513.58</v>
      </c>
    </row>
    <row r="121" ht="12.75" customHeight="1">
      <c r="A121" s="274">
        <v>116.0</v>
      </c>
      <c r="B121" s="275">
        <f>ROUND(IF(MinBase1Day&gt;ROUND(((1-(OverNightDiscount_21_Up+FedExExrpessEarnedDiscount))*'1Day Base'!B118),2),ROUND(MinBase1Day*(1+ExpressFuelSurcharge),2),ROUND(((1-(OverNightDiscount_21_Up+FedExExrpessEarnedDiscount))*'1Day Base'!B118)*(1+ExpressFuelSurcharge),2))*(1+FedEx_Markup),2)</f>
        <v>133.64</v>
      </c>
      <c r="C121" s="275">
        <f>ROUND(IF(MinBase1Day&gt;ROUND(((1-(OverNightDiscount_21_Up+FedExExrpessEarnedDiscount))*'1Day Base'!C118),2),ROUND(MinBase1Day*(1+ExpressFuelSurcharge),2),ROUND(((1-(OverNightDiscount_21_Up+FedExExrpessEarnedDiscount))*'1Day Base'!C118)*(1+ExpressFuelSurcharge),2))*(1+FedEx_Markup),2)</f>
        <v>187</v>
      </c>
      <c r="D121" s="275">
        <f>ROUND(IF(MinBase1Day&gt;ROUND(((1-(OverNightDiscount_21_Up+FedExExrpessEarnedDiscount))*'1Day Base'!D118),2),ROUND(MinBase1Day*(1+ExpressFuelSurcharge),2),ROUND(((1-(OverNightDiscount_21_Up+FedExExrpessEarnedDiscount))*'1Day Base'!D118)*(1+ExpressFuelSurcharge),2))*(1+FedEx_Markup),2)</f>
        <v>339.54</v>
      </c>
      <c r="E121" s="275">
        <f>ROUND(IF(MinBase1Day&gt;ROUND(((1-(OverNightDiscount_21_Up+FedExExrpessEarnedDiscount))*'1Day Base'!E118),2),ROUND(MinBase1Day*(1+ExpressFuelSurcharge),2),ROUND(((1-(OverNightDiscount_21_Up+FedExExrpessEarnedDiscount))*'1Day Base'!E118)*(1+ExpressFuelSurcharge),2))*(1+FedEx_Markup),2)</f>
        <v>405.18</v>
      </c>
      <c r="F121" s="275">
        <f>ROUND(IF(MinBase1Day&gt;ROUND(((1-(OverNightDiscount_21_Up+FedExExrpessEarnedDiscount))*'1Day Base'!F118),2),ROUND(MinBase1Day*(1+ExpressFuelSurcharge),2),ROUND(((1-(OverNightDiscount_21_Up+FedExExrpessEarnedDiscount))*'1Day Base'!F118)*(1+ExpressFuelSurcharge),2))*(1+FedEx_Markup),2)</f>
        <v>413.68</v>
      </c>
      <c r="G121" s="275">
        <f>ROUND(IF(MinBase1Day&gt;ROUND(((1-(OverNightDiscount_21_Up+FedExExrpessEarnedDiscount))*'1Day Base'!G118),2),ROUND(MinBase1Day*(1+ExpressFuelSurcharge),2),ROUND(((1-(OverNightDiscount_21_Up+FedExExrpessEarnedDiscount))*'1Day Base'!G118)*(1+ExpressFuelSurcharge),2))*(1+FedEx_Markup),2)</f>
        <v>496.79</v>
      </c>
      <c r="H121" s="275">
        <f>ROUND(IF(MinBase1Day&gt;ROUND(((1-(OverNightDiscount_21_Up+FedExExrpessEarnedDiscount))*'1Day Base'!H118),2),ROUND(MinBase1Day*(1+ExpressFuelSurcharge),2),ROUND(((1-(OverNightDiscount_21_Up+FedExExrpessEarnedDiscount))*'1Day Base'!H118)*(1+ExpressFuelSurcharge),2))*(1+FedEx_Markup),2)</f>
        <v>518.04</v>
      </c>
      <c r="L121" s="4"/>
    </row>
    <row r="122" ht="12.75" customHeight="1">
      <c r="A122" s="274">
        <v>117.0</v>
      </c>
      <c r="B122" s="275">
        <f>ROUND(IF(MinBase1Day&gt;ROUND(((1-(OverNightDiscount_21_Up+FedExExrpessEarnedDiscount))*'1Day Base'!B119),2),ROUND(MinBase1Day*(1+ExpressFuelSurcharge),2),ROUND(((1-(OverNightDiscount_21_Up+FedExExrpessEarnedDiscount))*'1Day Base'!B119)*(1+ExpressFuelSurcharge),2))*(1+FedEx_Markup),2)</f>
        <v>134.79</v>
      </c>
      <c r="C122" s="275">
        <f>ROUND(IF(MinBase1Day&gt;ROUND(((1-(OverNightDiscount_21_Up+FedExExrpessEarnedDiscount))*'1Day Base'!C119),2),ROUND(MinBase1Day*(1+ExpressFuelSurcharge),2),ROUND(((1-(OverNightDiscount_21_Up+FedExExrpessEarnedDiscount))*'1Day Base'!C119)*(1+ExpressFuelSurcharge),2))*(1+FedEx_Markup),2)</f>
        <v>188.62</v>
      </c>
      <c r="D122" s="275">
        <f>ROUND(IF(MinBase1Day&gt;ROUND(((1-(OverNightDiscount_21_Up+FedExExrpessEarnedDiscount))*'1Day Base'!D119),2),ROUND(MinBase1Day*(1+ExpressFuelSurcharge),2),ROUND(((1-(OverNightDiscount_21_Up+FedExExrpessEarnedDiscount))*'1Day Base'!D119)*(1+ExpressFuelSurcharge),2))*(1+FedEx_Markup),2)</f>
        <v>342.47</v>
      </c>
      <c r="E122" s="275">
        <f>ROUND(IF(MinBase1Day&gt;ROUND(((1-(OverNightDiscount_21_Up+FedExExrpessEarnedDiscount))*'1Day Base'!E119),2),ROUND(MinBase1Day*(1+ExpressFuelSurcharge),2),ROUND(((1-(OverNightDiscount_21_Up+FedExExrpessEarnedDiscount))*'1Day Base'!E119)*(1+ExpressFuelSurcharge),2))*(1+FedEx_Markup),2)</f>
        <v>408.68</v>
      </c>
      <c r="F122" s="275">
        <f>ROUND(IF(MinBase1Day&gt;ROUND(((1-(OverNightDiscount_21_Up+FedExExrpessEarnedDiscount))*'1Day Base'!F119),2),ROUND(MinBase1Day*(1+ExpressFuelSurcharge),2),ROUND(((1-(OverNightDiscount_21_Up+FedExExrpessEarnedDiscount))*'1Day Base'!F119)*(1+ExpressFuelSurcharge),2))*(1+FedEx_Markup),2)</f>
        <v>417.24</v>
      </c>
      <c r="G122" s="275">
        <f>ROUND(IF(MinBase1Day&gt;ROUND(((1-(OverNightDiscount_21_Up+FedExExrpessEarnedDiscount))*'1Day Base'!G119),2),ROUND(MinBase1Day*(1+ExpressFuelSurcharge),2),ROUND(((1-(OverNightDiscount_21_Up+FedExExrpessEarnedDiscount))*'1Day Base'!G119)*(1+ExpressFuelSurcharge),2))*(1+FedEx_Markup),2)</f>
        <v>501.08</v>
      </c>
      <c r="H122" s="275">
        <f>ROUND(IF(MinBase1Day&gt;ROUND(((1-(OverNightDiscount_21_Up+FedExExrpessEarnedDiscount))*'1Day Base'!H119),2),ROUND(MinBase1Day*(1+ExpressFuelSurcharge),2),ROUND(((1-(OverNightDiscount_21_Up+FedExExrpessEarnedDiscount))*'1Day Base'!H119)*(1+ExpressFuelSurcharge),2))*(1+FedEx_Markup),2)</f>
        <v>522.51</v>
      </c>
    </row>
    <row r="123" ht="12.75" customHeight="1">
      <c r="A123" s="274">
        <v>118.0</v>
      </c>
      <c r="B123" s="275">
        <f>ROUND(IF(MinBase1Day&gt;ROUND(((1-(OverNightDiscount_21_Up+FedExExrpessEarnedDiscount))*'1Day Base'!B120),2),ROUND(MinBase1Day*(1+ExpressFuelSurcharge),2),ROUND(((1-(OverNightDiscount_21_Up+FedExExrpessEarnedDiscount))*'1Day Base'!B120)*(1+ExpressFuelSurcharge),2))*(1+FedEx_Markup),2)</f>
        <v>135.94</v>
      </c>
      <c r="C123" s="275">
        <f>ROUND(IF(MinBase1Day&gt;ROUND(((1-(OverNightDiscount_21_Up+FedExExrpessEarnedDiscount))*'1Day Base'!C120),2),ROUND(MinBase1Day*(1+ExpressFuelSurcharge),2),ROUND(((1-(OverNightDiscount_21_Up+FedExExrpessEarnedDiscount))*'1Day Base'!C120)*(1+ExpressFuelSurcharge),2))*(1+FedEx_Markup),2)</f>
        <v>190.23</v>
      </c>
      <c r="D123" s="275">
        <f>ROUND(IF(MinBase1Day&gt;ROUND(((1-(OverNightDiscount_21_Up+FedExExrpessEarnedDiscount))*'1Day Base'!D120),2),ROUND(MinBase1Day*(1+ExpressFuelSurcharge),2),ROUND(((1-(OverNightDiscount_21_Up+FedExExrpessEarnedDiscount))*'1Day Base'!D120)*(1+ExpressFuelSurcharge),2))*(1+FedEx_Markup),2)</f>
        <v>345.39</v>
      </c>
      <c r="E123" s="275">
        <f>ROUND(IF(MinBase1Day&gt;ROUND(((1-(OverNightDiscount_21_Up+FedExExrpessEarnedDiscount))*'1Day Base'!E120),2),ROUND(MinBase1Day*(1+ExpressFuelSurcharge),2),ROUND(((1-(OverNightDiscount_21_Up+FedExExrpessEarnedDiscount))*'1Day Base'!E120)*(1+ExpressFuelSurcharge),2))*(1+FedEx_Markup),2)</f>
        <v>412.16</v>
      </c>
      <c r="F123" s="275">
        <f>ROUND(IF(MinBase1Day&gt;ROUND(((1-(OverNightDiscount_21_Up+FedExExrpessEarnedDiscount))*'1Day Base'!F120),2),ROUND(MinBase1Day*(1+ExpressFuelSurcharge),2),ROUND(((1-(OverNightDiscount_21_Up+FedExExrpessEarnedDiscount))*'1Day Base'!F120)*(1+ExpressFuelSurcharge),2))*(1+FedEx_Markup),2)</f>
        <v>420.81</v>
      </c>
      <c r="G123" s="275">
        <f>ROUND(IF(MinBase1Day&gt;ROUND(((1-(OverNightDiscount_21_Up+FedExExrpessEarnedDiscount))*'1Day Base'!G120),2),ROUND(MinBase1Day*(1+ExpressFuelSurcharge),2),ROUND(((1-(OverNightDiscount_21_Up+FedExExrpessEarnedDiscount))*'1Day Base'!G120)*(1+ExpressFuelSurcharge),2))*(1+FedEx_Markup),2)</f>
        <v>505.36</v>
      </c>
      <c r="H123" s="275">
        <f>ROUND(IF(MinBase1Day&gt;ROUND(((1-(OverNightDiscount_21_Up+FedExExrpessEarnedDiscount))*'1Day Base'!H120),2),ROUND(MinBase1Day*(1+ExpressFuelSurcharge),2),ROUND(((1-(OverNightDiscount_21_Up+FedExExrpessEarnedDiscount))*'1Day Base'!H120)*(1+ExpressFuelSurcharge),2))*(1+FedEx_Markup),2)</f>
        <v>526.98</v>
      </c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274">
        <v>119.0</v>
      </c>
      <c r="B124" s="275">
        <f>ROUND(IF(MinBase1Day&gt;ROUND(((1-(OverNightDiscount_21_Up+FedExExrpessEarnedDiscount))*'1Day Base'!B121),2),ROUND(MinBase1Day*(1+ExpressFuelSurcharge),2),ROUND(((1-(OverNightDiscount_21_Up+FedExExrpessEarnedDiscount))*'1Day Base'!B121)*(1+ExpressFuelSurcharge),2))*(1+FedEx_Markup),2)</f>
        <v>137.1</v>
      </c>
      <c r="C124" s="275">
        <f>ROUND(IF(MinBase1Day&gt;ROUND(((1-(OverNightDiscount_21_Up+FedExExrpessEarnedDiscount))*'1Day Base'!C121),2),ROUND(MinBase1Day*(1+ExpressFuelSurcharge),2),ROUND(((1-(OverNightDiscount_21_Up+FedExExrpessEarnedDiscount))*'1Day Base'!C121)*(1+ExpressFuelSurcharge),2))*(1+FedEx_Markup),2)</f>
        <v>191.84</v>
      </c>
      <c r="D124" s="275">
        <f>ROUND(IF(MinBase1Day&gt;ROUND(((1-(OverNightDiscount_21_Up+FedExExrpessEarnedDiscount))*'1Day Base'!D121),2),ROUND(MinBase1Day*(1+ExpressFuelSurcharge),2),ROUND(((1-(OverNightDiscount_21_Up+FedExExrpessEarnedDiscount))*'1Day Base'!D121)*(1+ExpressFuelSurcharge),2))*(1+FedEx_Markup),2)</f>
        <v>348.32</v>
      </c>
      <c r="E124" s="275">
        <f>ROUND(IF(MinBase1Day&gt;ROUND(((1-(OverNightDiscount_21_Up+FedExExrpessEarnedDiscount))*'1Day Base'!E121),2),ROUND(MinBase1Day*(1+ExpressFuelSurcharge),2),ROUND(((1-(OverNightDiscount_21_Up+FedExExrpessEarnedDiscount))*'1Day Base'!E121)*(1+ExpressFuelSurcharge),2))*(1+FedEx_Markup),2)</f>
        <v>415.66</v>
      </c>
      <c r="F124" s="275">
        <f>ROUND(IF(MinBase1Day&gt;ROUND(((1-(OverNightDiscount_21_Up+FedExExrpessEarnedDiscount))*'1Day Base'!F121),2),ROUND(MinBase1Day*(1+ExpressFuelSurcharge),2),ROUND(((1-(OverNightDiscount_21_Up+FedExExrpessEarnedDiscount))*'1Day Base'!F121)*(1+ExpressFuelSurcharge),2))*(1+FedEx_Markup),2)</f>
        <v>424.37</v>
      </c>
      <c r="G124" s="275">
        <f>ROUND(IF(MinBase1Day&gt;ROUND(((1-(OverNightDiscount_21_Up+FedExExrpessEarnedDiscount))*'1Day Base'!G121),2),ROUND(MinBase1Day*(1+ExpressFuelSurcharge),2),ROUND(((1-(OverNightDiscount_21_Up+FedExExrpessEarnedDiscount))*'1Day Base'!G121)*(1+ExpressFuelSurcharge),2))*(1+FedEx_Markup),2)</f>
        <v>509.65</v>
      </c>
      <c r="H124" s="275">
        <f>ROUND(IF(MinBase1Day&gt;ROUND(((1-(OverNightDiscount_21_Up+FedExExrpessEarnedDiscount))*'1Day Base'!H121),2),ROUND(MinBase1Day*(1+ExpressFuelSurcharge),2),ROUND(((1-(OverNightDiscount_21_Up+FedExExrpessEarnedDiscount))*'1Day Base'!H121)*(1+ExpressFuelSurcharge),2))*(1+FedEx_Markup),2)</f>
        <v>531.44</v>
      </c>
    </row>
    <row r="125" ht="12.75" customHeight="1">
      <c r="A125" s="274">
        <v>120.0</v>
      </c>
      <c r="B125" s="275">
        <f>ROUND(IF(MinBase1Day&gt;ROUND(((1-(OverNightDiscount_21_Up+FedExExrpessEarnedDiscount))*'1Day Base'!B122),2),ROUND(MinBase1Day*(1+ExpressFuelSurcharge),2),ROUND(((1-(OverNightDiscount_21_Up+FedExExrpessEarnedDiscount))*'1Day Base'!B122)*(1+ExpressFuelSurcharge),2))*(1+FedEx_Markup),2)</f>
        <v>138.25</v>
      </c>
      <c r="C125" s="275">
        <f>ROUND(IF(MinBase1Day&gt;ROUND(((1-(OverNightDiscount_21_Up+FedExExrpessEarnedDiscount))*'1Day Base'!C122),2),ROUND(MinBase1Day*(1+ExpressFuelSurcharge),2),ROUND(((1-(OverNightDiscount_21_Up+FedExExrpessEarnedDiscount))*'1Day Base'!C122)*(1+ExpressFuelSurcharge),2))*(1+FedEx_Markup),2)</f>
        <v>193.45</v>
      </c>
      <c r="D125" s="275">
        <f>ROUND(IF(MinBase1Day&gt;ROUND(((1-(OverNightDiscount_21_Up+FedExExrpessEarnedDiscount))*'1Day Base'!D122),2),ROUND(MinBase1Day*(1+ExpressFuelSurcharge),2),ROUND(((1-(OverNightDiscount_21_Up+FedExExrpessEarnedDiscount))*'1Day Base'!D122)*(1+ExpressFuelSurcharge),2))*(1+FedEx_Markup),2)</f>
        <v>351.24</v>
      </c>
      <c r="E125" s="275">
        <f>ROUND(IF(MinBase1Day&gt;ROUND(((1-(OverNightDiscount_21_Up+FedExExrpessEarnedDiscount))*'1Day Base'!E122),2),ROUND(MinBase1Day*(1+ExpressFuelSurcharge),2),ROUND(((1-(OverNightDiscount_21_Up+FedExExrpessEarnedDiscount))*'1Day Base'!E122)*(1+ExpressFuelSurcharge),2))*(1+FedEx_Markup),2)</f>
        <v>419.15</v>
      </c>
      <c r="F125" s="275">
        <f>ROUND(IF(MinBase1Day&gt;ROUND(((1-(OverNightDiscount_21_Up+FedExExrpessEarnedDiscount))*'1Day Base'!F122),2),ROUND(MinBase1Day*(1+ExpressFuelSurcharge),2),ROUND(((1-(OverNightDiscount_21_Up+FedExExrpessEarnedDiscount))*'1Day Base'!F122)*(1+ExpressFuelSurcharge),2))*(1+FedEx_Markup),2)</f>
        <v>427.94</v>
      </c>
      <c r="G125" s="275">
        <f>ROUND(IF(MinBase1Day&gt;ROUND(((1-(OverNightDiscount_21_Up+FedExExrpessEarnedDiscount))*'1Day Base'!G122),2),ROUND(MinBase1Day*(1+ExpressFuelSurcharge),2),ROUND(((1-(OverNightDiscount_21_Up+FedExExrpessEarnedDiscount))*'1Day Base'!G122)*(1+ExpressFuelSurcharge),2))*(1+FedEx_Markup),2)</f>
        <v>513.92</v>
      </c>
      <c r="H125" s="275">
        <f>ROUND(IF(MinBase1Day&gt;ROUND(((1-(OverNightDiscount_21_Up+FedExExrpessEarnedDiscount))*'1Day Base'!H122),2),ROUND(MinBase1Day*(1+ExpressFuelSurcharge),2),ROUND(((1-(OverNightDiscount_21_Up+FedExExrpessEarnedDiscount))*'1Day Base'!H122)*(1+ExpressFuelSurcharge),2))*(1+FedEx_Markup),2)</f>
        <v>535.91</v>
      </c>
    </row>
    <row r="126" ht="12.75" customHeight="1">
      <c r="A126" s="274">
        <v>121.0</v>
      </c>
      <c r="B126" s="275">
        <f>ROUND(IF(MinBase1Day&gt;ROUND(((1-(OverNightDiscount_21_Up+FedExExrpessEarnedDiscount))*'1Day Base'!B123),2),ROUND(MinBase1Day*(1+ExpressFuelSurcharge),2),ROUND(((1-(OverNightDiscount_21_Up+FedExExrpessEarnedDiscount))*'1Day Base'!B123)*(1+ExpressFuelSurcharge),2))*(1+FedEx_Markup),2)</f>
        <v>139.4</v>
      </c>
      <c r="C126" s="275">
        <f>ROUND(IF(MinBase1Day&gt;ROUND(((1-(OverNightDiscount_21_Up+FedExExrpessEarnedDiscount))*'1Day Base'!C123),2),ROUND(MinBase1Day*(1+ExpressFuelSurcharge),2),ROUND(((1-(OverNightDiscount_21_Up+FedExExrpessEarnedDiscount))*'1Day Base'!C123)*(1+ExpressFuelSurcharge),2))*(1+FedEx_Markup),2)</f>
        <v>195.06</v>
      </c>
      <c r="D126" s="275">
        <f>ROUND(IF(MinBase1Day&gt;ROUND(((1-(OverNightDiscount_21_Up+FedExExrpessEarnedDiscount))*'1Day Base'!D123),2),ROUND(MinBase1Day*(1+ExpressFuelSurcharge),2),ROUND(((1-(OverNightDiscount_21_Up+FedExExrpessEarnedDiscount))*'1Day Base'!D123)*(1+ExpressFuelSurcharge),2))*(1+FedEx_Markup),2)</f>
        <v>354.18</v>
      </c>
      <c r="E126" s="275">
        <f>ROUND(IF(MinBase1Day&gt;ROUND(((1-(OverNightDiscount_21_Up+FedExExrpessEarnedDiscount))*'1Day Base'!E123),2),ROUND(MinBase1Day*(1+ExpressFuelSurcharge),2),ROUND(((1-(OverNightDiscount_21_Up+FedExExrpessEarnedDiscount))*'1Day Base'!E123)*(1+ExpressFuelSurcharge),2))*(1+FedEx_Markup),2)</f>
        <v>422.65</v>
      </c>
      <c r="F126" s="275">
        <f>ROUND(IF(MinBase1Day&gt;ROUND(((1-(OverNightDiscount_21_Up+FedExExrpessEarnedDiscount))*'1Day Base'!F123),2),ROUND(MinBase1Day*(1+ExpressFuelSurcharge),2),ROUND(((1-(OverNightDiscount_21_Up+FedExExrpessEarnedDiscount))*'1Day Base'!F123)*(1+ExpressFuelSurcharge),2))*(1+FedEx_Markup),2)</f>
        <v>431.51</v>
      </c>
      <c r="G126" s="275">
        <f>ROUND(IF(MinBase1Day&gt;ROUND(((1-(OverNightDiscount_21_Up+FedExExrpessEarnedDiscount))*'1Day Base'!G123),2),ROUND(MinBase1Day*(1+ExpressFuelSurcharge),2),ROUND(((1-(OverNightDiscount_21_Up+FedExExrpessEarnedDiscount))*'1Day Base'!G123)*(1+ExpressFuelSurcharge),2))*(1+FedEx_Markup),2)</f>
        <v>518.2</v>
      </c>
      <c r="H126" s="275">
        <f>ROUND(IF(MinBase1Day&gt;ROUND(((1-(OverNightDiscount_21_Up+FedExExrpessEarnedDiscount))*'1Day Base'!H123),2),ROUND(MinBase1Day*(1+ExpressFuelSurcharge),2),ROUND(((1-(OverNightDiscount_21_Up+FedExExrpessEarnedDiscount))*'1Day Base'!H123)*(1+ExpressFuelSurcharge),2))*(1+FedEx_Markup),2)</f>
        <v>540.37</v>
      </c>
    </row>
    <row r="127" ht="12.75" customHeight="1">
      <c r="A127" s="274">
        <v>122.0</v>
      </c>
      <c r="B127" s="275">
        <f>ROUND(IF(MinBase1Day&gt;ROUND(((1-(OverNightDiscount_21_Up+FedExExrpessEarnedDiscount))*'1Day Base'!B124),2),ROUND(MinBase1Day*(1+ExpressFuelSurcharge),2),ROUND(((1-(OverNightDiscount_21_Up+FedExExrpessEarnedDiscount))*'1Day Base'!B124)*(1+ExpressFuelSurcharge),2))*(1+FedEx_Markup),2)</f>
        <v>140.55</v>
      </c>
      <c r="C127" s="275">
        <f>ROUND(IF(MinBase1Day&gt;ROUND(((1-(OverNightDiscount_21_Up+FedExExrpessEarnedDiscount))*'1Day Base'!C124),2),ROUND(MinBase1Day*(1+ExpressFuelSurcharge),2),ROUND(((1-(OverNightDiscount_21_Up+FedExExrpessEarnedDiscount))*'1Day Base'!C124)*(1+ExpressFuelSurcharge),2))*(1+FedEx_Markup),2)</f>
        <v>196.67</v>
      </c>
      <c r="D127" s="275">
        <f>ROUND(IF(MinBase1Day&gt;ROUND(((1-(OverNightDiscount_21_Up+FedExExrpessEarnedDiscount))*'1Day Base'!D124),2),ROUND(MinBase1Day*(1+ExpressFuelSurcharge),2),ROUND(((1-(OverNightDiscount_21_Up+FedExExrpessEarnedDiscount))*'1Day Base'!D124)*(1+ExpressFuelSurcharge),2))*(1+FedEx_Markup),2)</f>
        <v>357.1</v>
      </c>
      <c r="E127" s="275">
        <f>ROUND(IF(MinBase1Day&gt;ROUND(((1-(OverNightDiscount_21_Up+FedExExrpessEarnedDiscount))*'1Day Base'!E124),2),ROUND(MinBase1Day*(1+ExpressFuelSurcharge),2),ROUND(((1-(OverNightDiscount_21_Up+FedExExrpessEarnedDiscount))*'1Day Base'!E124)*(1+ExpressFuelSurcharge),2))*(1+FedEx_Markup),2)</f>
        <v>426.13</v>
      </c>
      <c r="F127" s="275">
        <f>ROUND(IF(MinBase1Day&gt;ROUND(((1-(OverNightDiscount_21_Up+FedExExrpessEarnedDiscount))*'1Day Base'!F124),2),ROUND(MinBase1Day*(1+ExpressFuelSurcharge),2),ROUND(((1-(OverNightDiscount_21_Up+FedExExrpessEarnedDiscount))*'1Day Base'!F124)*(1+ExpressFuelSurcharge),2))*(1+FedEx_Markup),2)</f>
        <v>435.08</v>
      </c>
      <c r="G127" s="275">
        <f>ROUND(IF(MinBase1Day&gt;ROUND(((1-(OverNightDiscount_21_Up+FedExExrpessEarnedDiscount))*'1Day Base'!G124),2),ROUND(MinBase1Day*(1+ExpressFuelSurcharge),2),ROUND(((1-(OverNightDiscount_21_Up+FedExExrpessEarnedDiscount))*'1Day Base'!G124)*(1+ExpressFuelSurcharge),2))*(1+FedEx_Markup),2)</f>
        <v>522.49</v>
      </c>
      <c r="H127" s="275">
        <f>ROUND(IF(MinBase1Day&gt;ROUND(((1-(OverNightDiscount_21_Up+FedExExrpessEarnedDiscount))*'1Day Base'!H124),2),ROUND(MinBase1Day*(1+ExpressFuelSurcharge),2),ROUND(((1-(OverNightDiscount_21_Up+FedExExrpessEarnedDiscount))*'1Day Base'!H124)*(1+ExpressFuelSurcharge),2))*(1+FedEx_Markup),2)</f>
        <v>544.84</v>
      </c>
    </row>
    <row r="128" ht="12.75" customHeight="1">
      <c r="A128" s="274">
        <v>123.0</v>
      </c>
      <c r="B128" s="275">
        <f>ROUND(IF(MinBase1Day&gt;ROUND(((1-(OverNightDiscount_21_Up+FedExExrpessEarnedDiscount))*'1Day Base'!B125),2),ROUND(MinBase1Day*(1+ExpressFuelSurcharge),2),ROUND(((1-(OverNightDiscount_21_Up+FedExExrpessEarnedDiscount))*'1Day Base'!B125)*(1+ExpressFuelSurcharge),2))*(1+FedEx_Markup),2)</f>
        <v>141.7</v>
      </c>
      <c r="C128" s="275">
        <f>ROUND(IF(MinBase1Day&gt;ROUND(((1-(OverNightDiscount_21_Up+FedExExrpessEarnedDiscount))*'1Day Base'!C125),2),ROUND(MinBase1Day*(1+ExpressFuelSurcharge),2),ROUND(((1-(OverNightDiscount_21_Up+FedExExrpessEarnedDiscount))*'1Day Base'!C125)*(1+ExpressFuelSurcharge),2))*(1+FedEx_Markup),2)</f>
        <v>198.29</v>
      </c>
      <c r="D128" s="275">
        <f>ROUND(IF(MinBase1Day&gt;ROUND(((1-(OverNightDiscount_21_Up+FedExExrpessEarnedDiscount))*'1Day Base'!D125),2),ROUND(MinBase1Day*(1+ExpressFuelSurcharge),2),ROUND(((1-(OverNightDiscount_21_Up+FedExExrpessEarnedDiscount))*'1Day Base'!D125)*(1+ExpressFuelSurcharge),2))*(1+FedEx_Markup),2)</f>
        <v>360.03</v>
      </c>
      <c r="E128" s="275">
        <f>ROUND(IF(MinBase1Day&gt;ROUND(((1-(OverNightDiscount_21_Up+FedExExrpessEarnedDiscount))*'1Day Base'!E125),2),ROUND(MinBase1Day*(1+ExpressFuelSurcharge),2),ROUND(((1-(OverNightDiscount_21_Up+FedExExrpessEarnedDiscount))*'1Day Base'!E125)*(1+ExpressFuelSurcharge),2))*(1+FedEx_Markup),2)</f>
        <v>429.63</v>
      </c>
      <c r="F128" s="275">
        <f>ROUND(IF(MinBase1Day&gt;ROUND(((1-(OverNightDiscount_21_Up+FedExExrpessEarnedDiscount))*'1Day Base'!F125),2),ROUND(MinBase1Day*(1+ExpressFuelSurcharge),2),ROUND(((1-(OverNightDiscount_21_Up+FedExExrpessEarnedDiscount))*'1Day Base'!F125)*(1+ExpressFuelSurcharge),2))*(1+FedEx_Markup),2)</f>
        <v>438.64</v>
      </c>
      <c r="G128" s="275">
        <f>ROUND(IF(MinBase1Day&gt;ROUND(((1-(OverNightDiscount_21_Up+FedExExrpessEarnedDiscount))*'1Day Base'!G125),2),ROUND(MinBase1Day*(1+ExpressFuelSurcharge),2),ROUND(((1-(OverNightDiscount_21_Up+FedExExrpessEarnedDiscount))*'1Day Base'!G125)*(1+ExpressFuelSurcharge),2))*(1+FedEx_Markup),2)</f>
        <v>526.77</v>
      </c>
      <c r="H128" s="275">
        <f>ROUND(IF(MinBase1Day&gt;ROUND(((1-(OverNightDiscount_21_Up+FedExExrpessEarnedDiscount))*'1Day Base'!H125),2),ROUND(MinBase1Day*(1+ExpressFuelSurcharge),2),ROUND(((1-(OverNightDiscount_21_Up+FedExExrpessEarnedDiscount))*'1Day Base'!H125)*(1+ExpressFuelSurcharge),2))*(1+FedEx_Markup),2)</f>
        <v>549.31</v>
      </c>
    </row>
    <row r="129" ht="12.75" customHeight="1">
      <c r="A129" s="274">
        <v>124.0</v>
      </c>
      <c r="B129" s="275">
        <f>ROUND(IF(MinBase1Day&gt;ROUND(((1-(OverNightDiscount_21_Up+FedExExrpessEarnedDiscount))*'1Day Base'!B126),2),ROUND(MinBase1Day*(1+ExpressFuelSurcharge),2),ROUND(((1-(OverNightDiscount_21_Up+FedExExrpessEarnedDiscount))*'1Day Base'!B126)*(1+ExpressFuelSurcharge),2))*(1+FedEx_Markup),2)</f>
        <v>142.86</v>
      </c>
      <c r="C129" s="275">
        <f>ROUND(IF(MinBase1Day&gt;ROUND(((1-(OverNightDiscount_21_Up+FedExExrpessEarnedDiscount))*'1Day Base'!C126),2),ROUND(MinBase1Day*(1+ExpressFuelSurcharge),2),ROUND(((1-(OverNightDiscount_21_Up+FedExExrpessEarnedDiscount))*'1Day Base'!C126)*(1+ExpressFuelSurcharge),2))*(1+FedEx_Markup),2)</f>
        <v>199.9</v>
      </c>
      <c r="D129" s="275">
        <f>ROUND(IF(MinBase1Day&gt;ROUND(((1-(OverNightDiscount_21_Up+FedExExrpessEarnedDiscount))*'1Day Base'!D126),2),ROUND(MinBase1Day*(1+ExpressFuelSurcharge),2),ROUND(((1-(OverNightDiscount_21_Up+FedExExrpessEarnedDiscount))*'1Day Base'!D126)*(1+ExpressFuelSurcharge),2))*(1+FedEx_Markup),2)</f>
        <v>362.95</v>
      </c>
      <c r="E129" s="275">
        <f>ROUND(IF(MinBase1Day&gt;ROUND(((1-(OverNightDiscount_21_Up+FedExExrpessEarnedDiscount))*'1Day Base'!E126),2),ROUND(MinBase1Day*(1+ExpressFuelSurcharge),2),ROUND(((1-(OverNightDiscount_21_Up+FedExExrpessEarnedDiscount))*'1Day Base'!E126)*(1+ExpressFuelSurcharge),2))*(1+FedEx_Markup),2)</f>
        <v>433.12</v>
      </c>
      <c r="F129" s="275">
        <f>ROUND(IF(MinBase1Day&gt;ROUND(((1-(OverNightDiscount_21_Up+FedExExrpessEarnedDiscount))*'1Day Base'!F126),2),ROUND(MinBase1Day*(1+ExpressFuelSurcharge),2),ROUND(((1-(OverNightDiscount_21_Up+FedExExrpessEarnedDiscount))*'1Day Base'!F126)*(1+ExpressFuelSurcharge),2))*(1+FedEx_Markup),2)</f>
        <v>442.21</v>
      </c>
      <c r="G129" s="275">
        <f>ROUND(IF(MinBase1Day&gt;ROUND(((1-(OverNightDiscount_21_Up+FedExExrpessEarnedDiscount))*'1Day Base'!G126),2),ROUND(MinBase1Day*(1+ExpressFuelSurcharge),2),ROUND(((1-(OverNightDiscount_21_Up+FedExExrpessEarnedDiscount))*'1Day Base'!G126)*(1+ExpressFuelSurcharge),2))*(1+FedEx_Markup),2)</f>
        <v>531.06</v>
      </c>
      <c r="H129" s="275">
        <f>ROUND(IF(MinBase1Day&gt;ROUND(((1-(OverNightDiscount_21_Up+FedExExrpessEarnedDiscount))*'1Day Base'!H126),2),ROUND(MinBase1Day*(1+ExpressFuelSurcharge),2),ROUND(((1-(OverNightDiscount_21_Up+FedExExrpessEarnedDiscount))*'1Day Base'!H126)*(1+ExpressFuelSurcharge),2))*(1+FedEx_Markup),2)</f>
        <v>553.77</v>
      </c>
    </row>
    <row r="130" ht="12.75" customHeight="1">
      <c r="A130" s="274">
        <v>125.0</v>
      </c>
      <c r="B130" s="275">
        <f>ROUND(IF(MinBase1Day&gt;ROUND(((1-(OverNightDiscount_21_Up+FedExExrpessEarnedDiscount))*'1Day Base'!B127),2),ROUND(MinBase1Day*(1+ExpressFuelSurcharge),2),ROUND(((1-(OverNightDiscount_21_Up+FedExExrpessEarnedDiscount))*'1Day Base'!B127)*(1+ExpressFuelSurcharge),2))*(1+FedEx_Markup),2)</f>
        <v>144.01</v>
      </c>
      <c r="C130" s="275">
        <f>ROUND(IF(MinBase1Day&gt;ROUND(((1-(OverNightDiscount_21_Up+FedExExrpessEarnedDiscount))*'1Day Base'!C127),2),ROUND(MinBase1Day*(1+ExpressFuelSurcharge),2),ROUND(((1-(OverNightDiscount_21_Up+FedExExrpessEarnedDiscount))*'1Day Base'!C127)*(1+ExpressFuelSurcharge),2))*(1+FedEx_Markup),2)</f>
        <v>201.51</v>
      </c>
      <c r="D130" s="275">
        <f>ROUND(IF(MinBase1Day&gt;ROUND(((1-(OverNightDiscount_21_Up+FedExExrpessEarnedDiscount))*'1Day Base'!D127),2),ROUND(MinBase1Day*(1+ExpressFuelSurcharge),2),ROUND(((1-(OverNightDiscount_21_Up+FedExExrpessEarnedDiscount))*'1Day Base'!D127)*(1+ExpressFuelSurcharge),2))*(1+FedEx_Markup),2)</f>
        <v>365.88</v>
      </c>
      <c r="E130" s="275">
        <f>ROUND(IF(MinBase1Day&gt;ROUND(((1-(OverNightDiscount_21_Up+FedExExrpessEarnedDiscount))*'1Day Base'!E127),2),ROUND(MinBase1Day*(1+ExpressFuelSurcharge),2),ROUND(((1-(OverNightDiscount_21_Up+FedExExrpessEarnedDiscount))*'1Day Base'!E127)*(1+ExpressFuelSurcharge),2))*(1+FedEx_Markup),2)</f>
        <v>436.62</v>
      </c>
      <c r="F130" s="275">
        <f>ROUND(IF(MinBase1Day&gt;ROUND(((1-(OverNightDiscount_21_Up+FedExExrpessEarnedDiscount))*'1Day Base'!F127),2),ROUND(MinBase1Day*(1+ExpressFuelSurcharge),2),ROUND(((1-(OverNightDiscount_21_Up+FedExExrpessEarnedDiscount))*'1Day Base'!F127)*(1+ExpressFuelSurcharge),2))*(1+FedEx_Markup),2)</f>
        <v>445.77</v>
      </c>
      <c r="G130" s="275">
        <f>ROUND(IF(MinBase1Day&gt;ROUND(((1-(OverNightDiscount_21_Up+FedExExrpessEarnedDiscount))*'1Day Base'!G127),2),ROUND(MinBase1Day*(1+ExpressFuelSurcharge),2),ROUND(((1-(OverNightDiscount_21_Up+FedExExrpessEarnedDiscount))*'1Day Base'!G127)*(1+ExpressFuelSurcharge),2))*(1+FedEx_Markup),2)</f>
        <v>535.34</v>
      </c>
      <c r="H130" s="275">
        <f>ROUND(IF(MinBase1Day&gt;ROUND(((1-(OverNightDiscount_21_Up+FedExExrpessEarnedDiscount))*'1Day Base'!H127),2),ROUND(MinBase1Day*(1+ExpressFuelSurcharge),2),ROUND(((1-(OverNightDiscount_21_Up+FedExExrpessEarnedDiscount))*'1Day Base'!H127)*(1+ExpressFuelSurcharge),2))*(1+FedEx_Markup),2)</f>
        <v>558.23</v>
      </c>
    </row>
    <row r="131" ht="12.75" customHeight="1">
      <c r="A131" s="274">
        <v>126.0</v>
      </c>
      <c r="B131" s="275">
        <f>ROUND(IF(MinBase1Day&gt;ROUND(((1-(OverNightDiscount_21_Up+FedExExrpessEarnedDiscount))*'1Day Base'!B128),2),ROUND(MinBase1Day*(1+ExpressFuelSurcharge),2),ROUND(((1-(OverNightDiscount_21_Up+FedExExrpessEarnedDiscount))*'1Day Base'!B128)*(1+ExpressFuelSurcharge),2))*(1+FedEx_Markup),2)</f>
        <v>145.16</v>
      </c>
      <c r="C131" s="275">
        <f>ROUND(IF(MinBase1Day&gt;ROUND(((1-(OverNightDiscount_21_Up+FedExExrpessEarnedDiscount))*'1Day Base'!C128),2),ROUND(MinBase1Day*(1+ExpressFuelSurcharge),2),ROUND(((1-(OverNightDiscount_21_Up+FedExExrpessEarnedDiscount))*'1Day Base'!C128)*(1+ExpressFuelSurcharge),2))*(1+FedEx_Markup),2)</f>
        <v>203.12</v>
      </c>
      <c r="D131" s="275">
        <f>ROUND(IF(MinBase1Day&gt;ROUND(((1-(OverNightDiscount_21_Up+FedExExrpessEarnedDiscount))*'1Day Base'!D128),2),ROUND(MinBase1Day*(1+ExpressFuelSurcharge),2),ROUND(((1-(OverNightDiscount_21_Up+FedExExrpessEarnedDiscount))*'1Day Base'!D128)*(1+ExpressFuelSurcharge),2))*(1+FedEx_Markup),2)</f>
        <v>368.81</v>
      </c>
      <c r="E131" s="275">
        <f>ROUND(IF(MinBase1Day&gt;ROUND(((1-(OverNightDiscount_21_Up+FedExExrpessEarnedDiscount))*'1Day Base'!E128),2),ROUND(MinBase1Day*(1+ExpressFuelSurcharge),2),ROUND(((1-(OverNightDiscount_21_Up+FedExExrpessEarnedDiscount))*'1Day Base'!E128)*(1+ExpressFuelSurcharge),2))*(1+FedEx_Markup),2)</f>
        <v>440.11</v>
      </c>
      <c r="F131" s="275">
        <f>ROUND(IF(MinBase1Day&gt;ROUND(((1-(OverNightDiscount_21_Up+FedExExrpessEarnedDiscount))*'1Day Base'!F128),2),ROUND(MinBase1Day*(1+ExpressFuelSurcharge),2),ROUND(((1-(OverNightDiscount_21_Up+FedExExrpessEarnedDiscount))*'1Day Base'!F128)*(1+ExpressFuelSurcharge),2))*(1+FedEx_Markup),2)</f>
        <v>449.34</v>
      </c>
      <c r="G131" s="275">
        <f>ROUND(IF(MinBase1Day&gt;ROUND(((1-(OverNightDiscount_21_Up+FedExExrpessEarnedDiscount))*'1Day Base'!G128),2),ROUND(MinBase1Day*(1+ExpressFuelSurcharge),2),ROUND(((1-(OverNightDiscount_21_Up+FedExExrpessEarnedDiscount))*'1Day Base'!G128)*(1+ExpressFuelSurcharge),2))*(1+FedEx_Markup),2)</f>
        <v>539.61</v>
      </c>
      <c r="H131" s="275">
        <f>ROUND(IF(MinBase1Day&gt;ROUND(((1-(OverNightDiscount_21_Up+FedExExrpessEarnedDiscount))*'1Day Base'!H128),2),ROUND(MinBase1Day*(1+ExpressFuelSurcharge),2),ROUND(((1-(OverNightDiscount_21_Up+FedExExrpessEarnedDiscount))*'1Day Base'!H128)*(1+ExpressFuelSurcharge),2))*(1+FedEx_Markup),2)</f>
        <v>562.71</v>
      </c>
    </row>
    <row r="132" ht="12.75" customHeight="1">
      <c r="A132" s="274">
        <v>127.0</v>
      </c>
      <c r="B132" s="275">
        <f>ROUND(IF(MinBase1Day&gt;ROUND(((1-(OverNightDiscount_21_Up+FedExExrpessEarnedDiscount))*'1Day Base'!B129),2),ROUND(MinBase1Day*(1+ExpressFuelSurcharge),2),ROUND(((1-(OverNightDiscount_21_Up+FedExExrpessEarnedDiscount))*'1Day Base'!B129)*(1+ExpressFuelSurcharge),2))*(1+FedEx_Markup),2)</f>
        <v>146.31</v>
      </c>
      <c r="C132" s="275">
        <f>ROUND(IF(MinBase1Day&gt;ROUND(((1-(OverNightDiscount_21_Up+FedExExrpessEarnedDiscount))*'1Day Base'!C129),2),ROUND(MinBase1Day*(1+ExpressFuelSurcharge),2),ROUND(((1-(OverNightDiscount_21_Up+FedExExrpessEarnedDiscount))*'1Day Base'!C129)*(1+ExpressFuelSurcharge),2))*(1+FedEx_Markup),2)</f>
        <v>204.73</v>
      </c>
      <c r="D132" s="275">
        <f>ROUND(IF(MinBase1Day&gt;ROUND(((1-(OverNightDiscount_21_Up+FedExExrpessEarnedDiscount))*'1Day Base'!D129),2),ROUND(MinBase1Day*(1+ExpressFuelSurcharge),2),ROUND(((1-(OverNightDiscount_21_Up+FedExExrpessEarnedDiscount))*'1Day Base'!D129)*(1+ExpressFuelSurcharge),2))*(1+FedEx_Markup),2)</f>
        <v>371.74</v>
      </c>
      <c r="E132" s="275">
        <f>ROUND(IF(MinBase1Day&gt;ROUND(((1-(OverNightDiscount_21_Up+FedExExrpessEarnedDiscount))*'1Day Base'!E129),2),ROUND(MinBase1Day*(1+ExpressFuelSurcharge),2),ROUND(((1-(OverNightDiscount_21_Up+FedExExrpessEarnedDiscount))*'1Day Base'!E129)*(1+ExpressFuelSurcharge),2))*(1+FedEx_Markup),2)</f>
        <v>443.6</v>
      </c>
      <c r="F132" s="275">
        <f>ROUND(IF(MinBase1Day&gt;ROUND(((1-(OverNightDiscount_21_Up+FedExExrpessEarnedDiscount))*'1Day Base'!F129),2),ROUND(MinBase1Day*(1+ExpressFuelSurcharge),2),ROUND(((1-(OverNightDiscount_21_Up+FedExExrpessEarnedDiscount))*'1Day Base'!F129)*(1+ExpressFuelSurcharge),2))*(1+FedEx_Markup),2)</f>
        <v>452.9</v>
      </c>
      <c r="G132" s="275">
        <f>ROUND(IF(MinBase1Day&gt;ROUND(((1-(OverNightDiscount_21_Up+FedExExrpessEarnedDiscount))*'1Day Base'!G129),2),ROUND(MinBase1Day*(1+ExpressFuelSurcharge),2),ROUND(((1-(OverNightDiscount_21_Up+FedExExrpessEarnedDiscount))*'1Day Base'!G129)*(1+ExpressFuelSurcharge),2))*(1+FedEx_Markup),2)</f>
        <v>543.9</v>
      </c>
      <c r="H132" s="275">
        <f>ROUND(IF(MinBase1Day&gt;ROUND(((1-(OverNightDiscount_21_Up+FedExExrpessEarnedDiscount))*'1Day Base'!H129),2),ROUND(MinBase1Day*(1+ExpressFuelSurcharge),2),ROUND(((1-(OverNightDiscount_21_Up+FedExExrpessEarnedDiscount))*'1Day Base'!H129)*(1+ExpressFuelSurcharge),2))*(1+FedEx_Markup),2)</f>
        <v>567.17</v>
      </c>
    </row>
    <row r="133" ht="12.75" customHeight="1">
      <c r="A133" s="274">
        <v>128.0</v>
      </c>
      <c r="B133" s="275">
        <f>ROUND(IF(MinBase1Day&gt;ROUND(((1-(OverNightDiscount_21_Up+FedExExrpessEarnedDiscount))*'1Day Base'!B130),2),ROUND(MinBase1Day*(1+ExpressFuelSurcharge),2),ROUND(((1-(OverNightDiscount_21_Up+FedExExrpessEarnedDiscount))*'1Day Base'!B130)*(1+ExpressFuelSurcharge),2))*(1+FedEx_Markup),2)</f>
        <v>147.46</v>
      </c>
      <c r="C133" s="275">
        <f>ROUND(IF(MinBase1Day&gt;ROUND(((1-(OverNightDiscount_21_Up+FedExExrpessEarnedDiscount))*'1Day Base'!C130),2),ROUND(MinBase1Day*(1+ExpressFuelSurcharge),2),ROUND(((1-(OverNightDiscount_21_Up+FedExExrpessEarnedDiscount))*'1Day Base'!C130)*(1+ExpressFuelSurcharge),2))*(1+FedEx_Markup),2)</f>
        <v>206.36</v>
      </c>
      <c r="D133" s="275">
        <f>ROUND(IF(MinBase1Day&gt;ROUND(((1-(OverNightDiscount_21_Up+FedExExrpessEarnedDiscount))*'1Day Base'!D130),2),ROUND(MinBase1Day*(1+ExpressFuelSurcharge),2),ROUND(((1-(OverNightDiscount_21_Up+FedExExrpessEarnedDiscount))*'1Day Base'!D130)*(1+ExpressFuelSurcharge),2))*(1+FedEx_Markup),2)</f>
        <v>374.66</v>
      </c>
      <c r="E133" s="275">
        <f>ROUND(IF(MinBase1Day&gt;ROUND(((1-(OverNightDiscount_21_Up+FedExExrpessEarnedDiscount))*'1Day Base'!E130),2),ROUND(MinBase1Day*(1+ExpressFuelSurcharge),2),ROUND(((1-(OverNightDiscount_21_Up+FedExExrpessEarnedDiscount))*'1Day Base'!E130)*(1+ExpressFuelSurcharge),2))*(1+FedEx_Markup),2)</f>
        <v>447.1</v>
      </c>
      <c r="F133" s="275">
        <f>ROUND(IF(MinBase1Day&gt;ROUND(((1-(OverNightDiscount_21_Up+FedExExrpessEarnedDiscount))*'1Day Base'!F130),2),ROUND(MinBase1Day*(1+ExpressFuelSurcharge),2),ROUND(((1-(OverNightDiscount_21_Up+FedExExrpessEarnedDiscount))*'1Day Base'!F130)*(1+ExpressFuelSurcharge),2))*(1+FedEx_Markup),2)</f>
        <v>456.47</v>
      </c>
      <c r="G133" s="275">
        <f>ROUND(IF(MinBase1Day&gt;ROUND(((1-(OverNightDiscount_21_Up+FedExExrpessEarnedDiscount))*'1Day Base'!G130),2),ROUND(MinBase1Day*(1+ExpressFuelSurcharge),2),ROUND(((1-(OverNightDiscount_21_Up+FedExExrpessEarnedDiscount))*'1Day Base'!G130)*(1+ExpressFuelSurcharge),2))*(1+FedEx_Markup),2)</f>
        <v>548.18</v>
      </c>
      <c r="H133" s="275">
        <f>ROUND(IF(MinBase1Day&gt;ROUND(((1-(OverNightDiscount_21_Up+FedExExrpessEarnedDiscount))*'1Day Base'!H130),2),ROUND(MinBase1Day*(1+ExpressFuelSurcharge),2),ROUND(((1-(OverNightDiscount_21_Up+FedExExrpessEarnedDiscount))*'1Day Base'!H130)*(1+ExpressFuelSurcharge),2))*(1+FedEx_Markup),2)</f>
        <v>571.63</v>
      </c>
    </row>
    <row r="134" ht="12.75" customHeight="1">
      <c r="A134" s="274">
        <v>129.0</v>
      </c>
      <c r="B134" s="275">
        <f>ROUND(IF(MinBase1Day&gt;ROUND(((1-(OverNightDiscount_21_Up+FedExExrpessEarnedDiscount))*'1Day Base'!B131),2),ROUND(MinBase1Day*(1+ExpressFuelSurcharge),2),ROUND(((1-(OverNightDiscount_21_Up+FedExExrpessEarnedDiscount))*'1Day Base'!B131)*(1+ExpressFuelSurcharge),2))*(1+FedEx_Markup),2)</f>
        <v>148.61</v>
      </c>
      <c r="C134" s="275">
        <f>ROUND(IF(MinBase1Day&gt;ROUND(((1-(OverNightDiscount_21_Up+FedExExrpessEarnedDiscount))*'1Day Base'!C131),2),ROUND(MinBase1Day*(1+ExpressFuelSurcharge),2),ROUND(((1-(OverNightDiscount_21_Up+FedExExrpessEarnedDiscount))*'1Day Base'!C131)*(1+ExpressFuelSurcharge),2))*(1+FedEx_Markup),2)</f>
        <v>207.97</v>
      </c>
      <c r="D134" s="275">
        <f>ROUND(IF(MinBase1Day&gt;ROUND(((1-(OverNightDiscount_21_Up+FedExExrpessEarnedDiscount))*'1Day Base'!D131),2),ROUND(MinBase1Day*(1+ExpressFuelSurcharge),2),ROUND(((1-(OverNightDiscount_21_Up+FedExExrpessEarnedDiscount))*'1Day Base'!D131)*(1+ExpressFuelSurcharge),2))*(1+FedEx_Markup),2)</f>
        <v>377.59</v>
      </c>
      <c r="E134" s="275">
        <f>ROUND(IF(MinBase1Day&gt;ROUND(((1-(OverNightDiscount_21_Up+FedExExrpessEarnedDiscount))*'1Day Base'!E131),2),ROUND(MinBase1Day*(1+ExpressFuelSurcharge),2),ROUND(((1-(OverNightDiscount_21_Up+FedExExrpessEarnedDiscount))*'1Day Base'!E131)*(1+ExpressFuelSurcharge),2))*(1+FedEx_Markup),2)</f>
        <v>450.58</v>
      </c>
      <c r="F134" s="275">
        <f>ROUND(IF(MinBase1Day&gt;ROUND(((1-(OverNightDiscount_21_Up+FedExExrpessEarnedDiscount))*'1Day Base'!F131),2),ROUND(MinBase1Day*(1+ExpressFuelSurcharge),2),ROUND(((1-(OverNightDiscount_21_Up+FedExExrpessEarnedDiscount))*'1Day Base'!F131)*(1+ExpressFuelSurcharge),2))*(1+FedEx_Markup),2)</f>
        <v>460.03</v>
      </c>
      <c r="G134" s="275">
        <f>ROUND(IF(MinBase1Day&gt;ROUND(((1-(OverNightDiscount_21_Up+FedExExrpessEarnedDiscount))*'1Day Base'!G131),2),ROUND(MinBase1Day*(1+ExpressFuelSurcharge),2),ROUND(((1-(OverNightDiscount_21_Up+FedExExrpessEarnedDiscount))*'1Day Base'!G131)*(1+ExpressFuelSurcharge),2))*(1+FedEx_Markup),2)</f>
        <v>552.47</v>
      </c>
      <c r="H134" s="275">
        <f>ROUND(IF(MinBase1Day&gt;ROUND(((1-(OverNightDiscount_21_Up+FedExExrpessEarnedDiscount))*'1Day Base'!H131),2),ROUND(MinBase1Day*(1+ExpressFuelSurcharge),2),ROUND(((1-(OverNightDiscount_21_Up+FedExExrpessEarnedDiscount))*'1Day Base'!H131)*(1+ExpressFuelSurcharge),2))*(1+FedEx_Markup),2)</f>
        <v>576.1</v>
      </c>
    </row>
    <row r="135" ht="12.75" customHeight="1">
      <c r="A135" s="274">
        <v>130.0</v>
      </c>
      <c r="B135" s="275">
        <f>ROUND(IF(MinBase1Day&gt;ROUND(((1-(OverNightDiscount_21_Up+FedExExrpessEarnedDiscount))*'1Day Base'!B132),2),ROUND(MinBase1Day*(1+ExpressFuelSurcharge),2),ROUND(((1-(OverNightDiscount_21_Up+FedExExrpessEarnedDiscount))*'1Day Base'!B132)*(1+ExpressFuelSurcharge),2))*(1+FedEx_Markup),2)</f>
        <v>149.78</v>
      </c>
      <c r="C135" s="275">
        <f>ROUND(IF(MinBase1Day&gt;ROUND(((1-(OverNightDiscount_21_Up+FedExExrpessEarnedDiscount))*'1Day Base'!C132),2),ROUND(MinBase1Day*(1+ExpressFuelSurcharge),2),ROUND(((1-(OverNightDiscount_21_Up+FedExExrpessEarnedDiscount))*'1Day Base'!C132)*(1+ExpressFuelSurcharge),2))*(1+FedEx_Markup),2)</f>
        <v>209.58</v>
      </c>
      <c r="D135" s="275">
        <f>ROUND(IF(MinBase1Day&gt;ROUND(((1-(OverNightDiscount_21_Up+FedExExrpessEarnedDiscount))*'1Day Base'!D132),2),ROUND(MinBase1Day*(1+ExpressFuelSurcharge),2),ROUND(((1-(OverNightDiscount_21_Up+FedExExrpessEarnedDiscount))*'1Day Base'!D132)*(1+ExpressFuelSurcharge),2))*(1+FedEx_Markup),2)</f>
        <v>380.51</v>
      </c>
      <c r="E135" s="275">
        <f>ROUND(IF(MinBase1Day&gt;ROUND(((1-(OverNightDiscount_21_Up+FedExExrpessEarnedDiscount))*'1Day Base'!E132),2),ROUND(MinBase1Day*(1+ExpressFuelSurcharge),2),ROUND(((1-(OverNightDiscount_21_Up+FedExExrpessEarnedDiscount))*'1Day Base'!E132)*(1+ExpressFuelSurcharge),2))*(1+FedEx_Markup),2)</f>
        <v>454.08</v>
      </c>
      <c r="F135" s="275">
        <f>ROUND(IF(MinBase1Day&gt;ROUND(((1-(OverNightDiscount_21_Up+FedExExrpessEarnedDiscount))*'1Day Base'!F132),2),ROUND(MinBase1Day*(1+ExpressFuelSurcharge),2),ROUND(((1-(OverNightDiscount_21_Up+FedExExrpessEarnedDiscount))*'1Day Base'!F132)*(1+ExpressFuelSurcharge),2))*(1+FedEx_Markup),2)</f>
        <v>463.61</v>
      </c>
      <c r="G135" s="275">
        <f>ROUND(IF(MinBase1Day&gt;ROUND(((1-(OverNightDiscount_21_Up+FedExExrpessEarnedDiscount))*'1Day Base'!G132),2),ROUND(MinBase1Day*(1+ExpressFuelSurcharge),2),ROUND(((1-(OverNightDiscount_21_Up+FedExExrpessEarnedDiscount))*'1Day Base'!G132)*(1+ExpressFuelSurcharge),2))*(1+FedEx_Markup),2)</f>
        <v>556.75</v>
      </c>
      <c r="H135" s="275">
        <f>ROUND(IF(MinBase1Day&gt;ROUND(((1-(OverNightDiscount_21_Up+FedExExrpessEarnedDiscount))*'1Day Base'!H132),2),ROUND(MinBase1Day*(1+ExpressFuelSurcharge),2),ROUND(((1-(OverNightDiscount_21_Up+FedExExrpessEarnedDiscount))*'1Day Base'!H132)*(1+ExpressFuelSurcharge),2))*(1+FedEx_Markup),2)</f>
        <v>580.57</v>
      </c>
    </row>
    <row r="136" ht="12.75" customHeight="1">
      <c r="A136" s="274">
        <v>131.0</v>
      </c>
      <c r="B136" s="275">
        <f>ROUND(IF(MinBase1Day&gt;ROUND(((1-(OverNightDiscount_21_Up+FedExExrpessEarnedDiscount))*'1Day Base'!B133),2),ROUND(MinBase1Day*(1+ExpressFuelSurcharge),2),ROUND(((1-(OverNightDiscount_21_Up+FedExExrpessEarnedDiscount))*'1Day Base'!B133)*(1+ExpressFuelSurcharge),2))*(1+FedEx_Markup),2)</f>
        <v>150.93</v>
      </c>
      <c r="C136" s="275">
        <f>ROUND(IF(MinBase1Day&gt;ROUND(((1-(OverNightDiscount_21_Up+FedExExrpessEarnedDiscount))*'1Day Base'!C133),2),ROUND(MinBase1Day*(1+ExpressFuelSurcharge),2),ROUND(((1-(OverNightDiscount_21_Up+FedExExrpessEarnedDiscount))*'1Day Base'!C133)*(1+ExpressFuelSurcharge),2))*(1+FedEx_Markup),2)</f>
        <v>211.19</v>
      </c>
      <c r="D136" s="275">
        <f>ROUND(IF(MinBase1Day&gt;ROUND(((1-(OverNightDiscount_21_Up+FedExExrpessEarnedDiscount))*'1Day Base'!D133),2),ROUND(MinBase1Day*(1+ExpressFuelSurcharge),2),ROUND(((1-(OverNightDiscount_21_Up+FedExExrpessEarnedDiscount))*'1Day Base'!D133)*(1+ExpressFuelSurcharge),2))*(1+FedEx_Markup),2)</f>
        <v>383.44</v>
      </c>
      <c r="E136" s="275">
        <f>ROUND(IF(MinBase1Day&gt;ROUND(((1-(OverNightDiscount_21_Up+FedExExrpessEarnedDiscount))*'1Day Base'!E133),2),ROUND(MinBase1Day*(1+ExpressFuelSurcharge),2),ROUND(((1-(OverNightDiscount_21_Up+FedExExrpessEarnedDiscount))*'1Day Base'!E133)*(1+ExpressFuelSurcharge),2))*(1+FedEx_Markup),2)</f>
        <v>457.57</v>
      </c>
      <c r="F136" s="275">
        <f>ROUND(IF(MinBase1Day&gt;ROUND(((1-(OverNightDiscount_21_Up+FedExExrpessEarnedDiscount))*'1Day Base'!F133),2),ROUND(MinBase1Day*(1+ExpressFuelSurcharge),2),ROUND(((1-(OverNightDiscount_21_Up+FedExExrpessEarnedDiscount))*'1Day Base'!F133)*(1+ExpressFuelSurcharge),2))*(1+FedEx_Markup),2)</f>
        <v>467.18</v>
      </c>
      <c r="G136" s="275">
        <f>ROUND(IF(MinBase1Day&gt;ROUND(((1-(OverNightDiscount_21_Up+FedExExrpessEarnedDiscount))*'1Day Base'!G133),2),ROUND(MinBase1Day*(1+ExpressFuelSurcharge),2),ROUND(((1-(OverNightDiscount_21_Up+FedExExrpessEarnedDiscount))*'1Day Base'!G133)*(1+ExpressFuelSurcharge),2))*(1+FedEx_Markup),2)</f>
        <v>561.03</v>
      </c>
      <c r="H136" s="275">
        <f>ROUND(IF(MinBase1Day&gt;ROUND(((1-(OverNightDiscount_21_Up+FedExExrpessEarnedDiscount))*'1Day Base'!H133),2),ROUND(MinBase1Day*(1+ExpressFuelSurcharge),2),ROUND(((1-(OverNightDiscount_21_Up+FedExExrpessEarnedDiscount))*'1Day Base'!H133)*(1+ExpressFuelSurcharge),2))*(1+FedEx_Markup),2)</f>
        <v>585.03</v>
      </c>
    </row>
    <row r="137" ht="12.75" customHeight="1">
      <c r="A137" s="274">
        <v>132.0</v>
      </c>
      <c r="B137" s="275">
        <f>ROUND(IF(MinBase1Day&gt;ROUND(((1-(OverNightDiscount_21_Up+FedExExrpessEarnedDiscount))*'1Day Base'!B134),2),ROUND(MinBase1Day*(1+ExpressFuelSurcharge),2),ROUND(((1-(OverNightDiscount_21_Up+FedExExrpessEarnedDiscount))*'1Day Base'!B134)*(1+ExpressFuelSurcharge),2))*(1+FedEx_Markup),2)</f>
        <v>152.08</v>
      </c>
      <c r="C137" s="275">
        <f>ROUND(IF(MinBase1Day&gt;ROUND(((1-(OverNightDiscount_21_Up+FedExExrpessEarnedDiscount))*'1Day Base'!C134),2),ROUND(MinBase1Day*(1+ExpressFuelSurcharge),2),ROUND(((1-(OverNightDiscount_21_Up+FedExExrpessEarnedDiscount))*'1Day Base'!C134)*(1+ExpressFuelSurcharge),2))*(1+FedEx_Markup),2)</f>
        <v>212.8</v>
      </c>
      <c r="D137" s="275">
        <f>ROUND(IF(MinBase1Day&gt;ROUND(((1-(OverNightDiscount_21_Up+FedExExrpessEarnedDiscount))*'1Day Base'!D134),2),ROUND(MinBase1Day*(1+ExpressFuelSurcharge),2),ROUND(((1-(OverNightDiscount_21_Up+FedExExrpessEarnedDiscount))*'1Day Base'!D134)*(1+ExpressFuelSurcharge),2))*(1+FedEx_Markup),2)</f>
        <v>386.37</v>
      </c>
      <c r="E137" s="275">
        <f>ROUND(IF(MinBase1Day&gt;ROUND(((1-(OverNightDiscount_21_Up+FedExExrpessEarnedDiscount))*'1Day Base'!E134),2),ROUND(MinBase1Day*(1+ExpressFuelSurcharge),2),ROUND(((1-(OverNightDiscount_21_Up+FedExExrpessEarnedDiscount))*'1Day Base'!E134)*(1+ExpressFuelSurcharge),2))*(1+FedEx_Markup),2)</f>
        <v>461.07</v>
      </c>
      <c r="F137" s="275">
        <f>ROUND(IF(MinBase1Day&gt;ROUND(((1-(OverNightDiscount_21_Up+FedExExrpessEarnedDiscount))*'1Day Base'!F134),2),ROUND(MinBase1Day*(1+ExpressFuelSurcharge),2),ROUND(((1-(OverNightDiscount_21_Up+FedExExrpessEarnedDiscount))*'1Day Base'!F134)*(1+ExpressFuelSurcharge),2))*(1+FedEx_Markup),2)</f>
        <v>470.74</v>
      </c>
      <c r="G137" s="275">
        <f>ROUND(IF(MinBase1Day&gt;ROUND(((1-(OverNightDiscount_21_Up+FedExExrpessEarnedDiscount))*'1Day Base'!G134),2),ROUND(MinBase1Day*(1+ExpressFuelSurcharge),2),ROUND(((1-(OverNightDiscount_21_Up+FedExExrpessEarnedDiscount))*'1Day Base'!G134)*(1+ExpressFuelSurcharge),2))*(1+FedEx_Markup),2)</f>
        <v>565.32</v>
      </c>
      <c r="H137" s="275">
        <f>ROUND(IF(MinBase1Day&gt;ROUND(((1-(OverNightDiscount_21_Up+FedExExrpessEarnedDiscount))*'1Day Base'!H134),2),ROUND(MinBase1Day*(1+ExpressFuelSurcharge),2),ROUND(((1-(OverNightDiscount_21_Up+FedExExrpessEarnedDiscount))*'1Day Base'!H134)*(1+ExpressFuelSurcharge),2))*(1+FedEx_Markup),2)</f>
        <v>589.5</v>
      </c>
    </row>
    <row r="138" ht="12.75" customHeight="1">
      <c r="A138" s="274">
        <v>133.0</v>
      </c>
      <c r="B138" s="275">
        <f>ROUND(IF(MinBase1Day&gt;ROUND(((1-(OverNightDiscount_21_Up+FedExExrpessEarnedDiscount))*'1Day Base'!B135),2),ROUND(MinBase1Day*(1+ExpressFuelSurcharge),2),ROUND(((1-(OverNightDiscount_21_Up+FedExExrpessEarnedDiscount))*'1Day Base'!B135)*(1+ExpressFuelSurcharge),2))*(1+FedEx_Markup),2)</f>
        <v>153.23</v>
      </c>
      <c r="C138" s="275">
        <f>ROUND(IF(MinBase1Day&gt;ROUND(((1-(OverNightDiscount_21_Up+FedExExrpessEarnedDiscount))*'1Day Base'!C135),2),ROUND(MinBase1Day*(1+ExpressFuelSurcharge),2),ROUND(((1-(OverNightDiscount_21_Up+FedExExrpessEarnedDiscount))*'1Day Base'!C135)*(1+ExpressFuelSurcharge),2))*(1+FedEx_Markup),2)</f>
        <v>214.41</v>
      </c>
      <c r="D138" s="275">
        <f>ROUND(IF(MinBase1Day&gt;ROUND(((1-(OverNightDiscount_21_Up+FedExExrpessEarnedDiscount))*'1Day Base'!D135),2),ROUND(MinBase1Day*(1+ExpressFuelSurcharge),2),ROUND(((1-(OverNightDiscount_21_Up+FedExExrpessEarnedDiscount))*'1Day Base'!D135)*(1+ExpressFuelSurcharge),2))*(1+FedEx_Markup),2)</f>
        <v>389.3</v>
      </c>
      <c r="E138" s="275">
        <f>ROUND(IF(MinBase1Day&gt;ROUND(((1-(OverNightDiscount_21_Up+FedExExrpessEarnedDiscount))*'1Day Base'!E135),2),ROUND(MinBase1Day*(1+ExpressFuelSurcharge),2),ROUND(((1-(OverNightDiscount_21_Up+FedExExrpessEarnedDiscount))*'1Day Base'!E135)*(1+ExpressFuelSurcharge),2))*(1+FedEx_Markup),2)</f>
        <v>464.55</v>
      </c>
      <c r="F138" s="275">
        <f>ROUND(IF(MinBase1Day&gt;ROUND(((1-(OverNightDiscount_21_Up+FedExExrpessEarnedDiscount))*'1Day Base'!F135),2),ROUND(MinBase1Day*(1+ExpressFuelSurcharge),2),ROUND(((1-(OverNightDiscount_21_Up+FedExExrpessEarnedDiscount))*'1Day Base'!F135)*(1+ExpressFuelSurcharge),2))*(1+FedEx_Markup),2)</f>
        <v>474.31</v>
      </c>
      <c r="G138" s="275">
        <f>ROUND(IF(MinBase1Day&gt;ROUND(((1-(OverNightDiscount_21_Up+FedExExrpessEarnedDiscount))*'1Day Base'!G135),2),ROUND(MinBase1Day*(1+ExpressFuelSurcharge),2),ROUND(((1-(OverNightDiscount_21_Up+FedExExrpessEarnedDiscount))*'1Day Base'!G135)*(1+ExpressFuelSurcharge),2))*(1+FedEx_Markup),2)</f>
        <v>569.6</v>
      </c>
      <c r="H138" s="275">
        <f>ROUND(IF(MinBase1Day&gt;ROUND(((1-(OverNightDiscount_21_Up+FedExExrpessEarnedDiscount))*'1Day Base'!H135),2),ROUND(MinBase1Day*(1+ExpressFuelSurcharge),2),ROUND(((1-(OverNightDiscount_21_Up+FedExExrpessEarnedDiscount))*'1Day Base'!H135)*(1+ExpressFuelSurcharge),2))*(1+FedEx_Markup),2)</f>
        <v>593.96</v>
      </c>
    </row>
    <row r="139" ht="12.75" customHeight="1">
      <c r="A139" s="274">
        <v>134.0</v>
      </c>
      <c r="B139" s="275">
        <f>ROUND(IF(MinBase1Day&gt;ROUND(((1-(OverNightDiscount_21_Up+FedExExrpessEarnedDiscount))*'1Day Base'!B136),2),ROUND(MinBase1Day*(1+ExpressFuelSurcharge),2),ROUND(((1-(OverNightDiscount_21_Up+FedExExrpessEarnedDiscount))*'1Day Base'!B136)*(1+ExpressFuelSurcharge),2))*(1+FedEx_Markup),2)</f>
        <v>154.38</v>
      </c>
      <c r="C139" s="275">
        <f>ROUND(IF(MinBase1Day&gt;ROUND(((1-(OverNightDiscount_21_Up+FedExExrpessEarnedDiscount))*'1Day Base'!C136),2),ROUND(MinBase1Day*(1+ExpressFuelSurcharge),2),ROUND(((1-(OverNightDiscount_21_Up+FedExExrpessEarnedDiscount))*'1Day Base'!C136)*(1+ExpressFuelSurcharge),2))*(1+FedEx_Markup),2)</f>
        <v>216.03</v>
      </c>
      <c r="D139" s="275">
        <f>ROUND(IF(MinBase1Day&gt;ROUND(((1-(OverNightDiscount_21_Up+FedExExrpessEarnedDiscount))*'1Day Base'!D136),2),ROUND(MinBase1Day*(1+ExpressFuelSurcharge),2),ROUND(((1-(OverNightDiscount_21_Up+FedExExrpessEarnedDiscount))*'1Day Base'!D136)*(1+ExpressFuelSurcharge),2))*(1+FedEx_Markup),2)</f>
        <v>392.22</v>
      </c>
      <c r="E139" s="275">
        <f>ROUND(IF(MinBase1Day&gt;ROUND(((1-(OverNightDiscount_21_Up+FedExExrpessEarnedDiscount))*'1Day Base'!E136),2),ROUND(MinBase1Day*(1+ExpressFuelSurcharge),2),ROUND(((1-(OverNightDiscount_21_Up+FedExExrpessEarnedDiscount))*'1Day Base'!E136)*(1+ExpressFuelSurcharge),2))*(1+FedEx_Markup),2)</f>
        <v>468.05</v>
      </c>
      <c r="F139" s="275">
        <f>ROUND(IF(MinBase1Day&gt;ROUND(((1-(OverNightDiscount_21_Up+FedExExrpessEarnedDiscount))*'1Day Base'!F136),2),ROUND(MinBase1Day*(1+ExpressFuelSurcharge),2),ROUND(((1-(OverNightDiscount_21_Up+FedExExrpessEarnedDiscount))*'1Day Base'!F136)*(1+ExpressFuelSurcharge),2))*(1+FedEx_Markup),2)</f>
        <v>477.87</v>
      </c>
      <c r="G139" s="275">
        <f>ROUND(IF(MinBase1Day&gt;ROUND(((1-(OverNightDiscount_21_Up+FedExExrpessEarnedDiscount))*'1Day Base'!G136),2),ROUND(MinBase1Day*(1+ExpressFuelSurcharge),2),ROUND(((1-(OverNightDiscount_21_Up+FedExExrpessEarnedDiscount))*'1Day Base'!G136)*(1+ExpressFuelSurcharge),2))*(1+FedEx_Markup),2)</f>
        <v>573.88</v>
      </c>
      <c r="H139" s="275">
        <f>ROUND(IF(MinBase1Day&gt;ROUND(((1-(OverNightDiscount_21_Up+FedExExrpessEarnedDiscount))*'1Day Base'!H136),2),ROUND(MinBase1Day*(1+ExpressFuelSurcharge),2),ROUND(((1-(OverNightDiscount_21_Up+FedExExrpessEarnedDiscount))*'1Day Base'!H136)*(1+ExpressFuelSurcharge),2))*(1+FedEx_Markup),2)</f>
        <v>598.43</v>
      </c>
    </row>
    <row r="140" ht="12.75" customHeight="1">
      <c r="A140" s="274">
        <v>135.0</v>
      </c>
      <c r="B140" s="275">
        <f>ROUND(IF(MinBase1Day&gt;ROUND(((1-(OverNightDiscount_21_Up+FedExExrpessEarnedDiscount))*'1Day Base'!B137),2),ROUND(MinBase1Day*(1+ExpressFuelSurcharge),2),ROUND(((1-(OverNightDiscount_21_Up+FedExExrpessEarnedDiscount))*'1Day Base'!B137)*(1+ExpressFuelSurcharge),2))*(1+FedEx_Markup),2)</f>
        <v>155.54</v>
      </c>
      <c r="C140" s="275">
        <f>ROUND(IF(MinBase1Day&gt;ROUND(((1-(OverNightDiscount_21_Up+FedExExrpessEarnedDiscount))*'1Day Base'!C137),2),ROUND(MinBase1Day*(1+ExpressFuelSurcharge),2),ROUND(((1-(OverNightDiscount_21_Up+FedExExrpessEarnedDiscount))*'1Day Base'!C137)*(1+ExpressFuelSurcharge),2))*(1+FedEx_Markup),2)</f>
        <v>217.64</v>
      </c>
      <c r="D140" s="275">
        <f>ROUND(IF(MinBase1Day&gt;ROUND(((1-(OverNightDiscount_21_Up+FedExExrpessEarnedDiscount))*'1Day Base'!D137),2),ROUND(MinBase1Day*(1+ExpressFuelSurcharge),2),ROUND(((1-(OverNightDiscount_21_Up+FedExExrpessEarnedDiscount))*'1Day Base'!D137)*(1+ExpressFuelSurcharge),2))*(1+FedEx_Markup),2)</f>
        <v>395.15</v>
      </c>
      <c r="E140" s="275">
        <f>ROUND(IF(MinBase1Day&gt;ROUND(((1-(OverNightDiscount_21_Up+FedExExrpessEarnedDiscount))*'1Day Base'!E137),2),ROUND(MinBase1Day*(1+ExpressFuelSurcharge),2),ROUND(((1-(OverNightDiscount_21_Up+FedExExrpessEarnedDiscount))*'1Day Base'!E137)*(1+ExpressFuelSurcharge),2))*(1+FedEx_Markup),2)</f>
        <v>471.55</v>
      </c>
      <c r="F140" s="275">
        <f>ROUND(IF(MinBase1Day&gt;ROUND(((1-(OverNightDiscount_21_Up+FedExExrpessEarnedDiscount))*'1Day Base'!F137),2),ROUND(MinBase1Day*(1+ExpressFuelSurcharge),2),ROUND(((1-(OverNightDiscount_21_Up+FedExExrpessEarnedDiscount))*'1Day Base'!F137)*(1+ExpressFuelSurcharge),2))*(1+FedEx_Markup),2)</f>
        <v>481.44</v>
      </c>
      <c r="G140" s="275">
        <f>ROUND(IF(MinBase1Day&gt;ROUND(((1-(OverNightDiscount_21_Up+FedExExrpessEarnedDiscount))*'1Day Base'!G137),2),ROUND(MinBase1Day*(1+ExpressFuelSurcharge),2),ROUND(((1-(OverNightDiscount_21_Up+FedExExrpessEarnedDiscount))*'1Day Base'!G137)*(1+ExpressFuelSurcharge),2))*(1+FedEx_Markup),2)</f>
        <v>578.16</v>
      </c>
      <c r="H140" s="275">
        <f>ROUND(IF(MinBase1Day&gt;ROUND(((1-(OverNightDiscount_21_Up+FedExExrpessEarnedDiscount))*'1Day Base'!H137),2),ROUND(MinBase1Day*(1+ExpressFuelSurcharge),2),ROUND(((1-(OverNightDiscount_21_Up+FedExExrpessEarnedDiscount))*'1Day Base'!H137)*(1+ExpressFuelSurcharge),2))*(1+FedEx_Markup),2)</f>
        <v>602.9</v>
      </c>
    </row>
    <row r="141" ht="12.75" customHeight="1">
      <c r="A141" s="274">
        <v>136.0</v>
      </c>
      <c r="B141" s="275">
        <f>ROUND(IF(MinBase1Day&gt;ROUND(((1-(OverNightDiscount_21_Up+FedExExrpessEarnedDiscount))*'1Day Base'!B138),2),ROUND(MinBase1Day*(1+ExpressFuelSurcharge),2),ROUND(((1-(OverNightDiscount_21_Up+FedExExrpessEarnedDiscount))*'1Day Base'!B138)*(1+ExpressFuelSurcharge),2))*(1+FedEx_Markup),2)</f>
        <v>156.69</v>
      </c>
      <c r="C141" s="275">
        <f>ROUND(IF(MinBase1Day&gt;ROUND(((1-(OverNightDiscount_21_Up+FedExExrpessEarnedDiscount))*'1Day Base'!C138),2),ROUND(MinBase1Day*(1+ExpressFuelSurcharge),2),ROUND(((1-(OverNightDiscount_21_Up+FedExExrpessEarnedDiscount))*'1Day Base'!C138)*(1+ExpressFuelSurcharge),2))*(1+FedEx_Markup),2)</f>
        <v>219.25</v>
      </c>
      <c r="D141" s="275">
        <f>ROUND(IF(MinBase1Day&gt;ROUND(((1-(OverNightDiscount_21_Up+FedExExrpessEarnedDiscount))*'1Day Base'!D138),2),ROUND(MinBase1Day*(1+ExpressFuelSurcharge),2),ROUND(((1-(OverNightDiscount_21_Up+FedExExrpessEarnedDiscount))*'1Day Base'!D138)*(1+ExpressFuelSurcharge),2))*(1+FedEx_Markup),2)</f>
        <v>398.08</v>
      </c>
      <c r="E141" s="275">
        <f>ROUND(IF(MinBase1Day&gt;ROUND(((1-(OverNightDiscount_21_Up+FedExExrpessEarnedDiscount))*'1Day Base'!E138),2),ROUND(MinBase1Day*(1+ExpressFuelSurcharge),2),ROUND(((1-(OverNightDiscount_21_Up+FedExExrpessEarnedDiscount))*'1Day Base'!E138)*(1+ExpressFuelSurcharge),2))*(1+FedEx_Markup),2)</f>
        <v>475.04</v>
      </c>
      <c r="F141" s="275">
        <f>ROUND(IF(MinBase1Day&gt;ROUND(((1-(OverNightDiscount_21_Up+FedExExrpessEarnedDiscount))*'1Day Base'!F138),2),ROUND(MinBase1Day*(1+ExpressFuelSurcharge),2),ROUND(((1-(OverNightDiscount_21_Up+FedExExrpessEarnedDiscount))*'1Day Base'!F138)*(1+ExpressFuelSurcharge),2))*(1+FedEx_Markup),2)</f>
        <v>485</v>
      </c>
      <c r="G141" s="275">
        <f>ROUND(IF(MinBase1Day&gt;ROUND(((1-(OverNightDiscount_21_Up+FedExExrpessEarnedDiscount))*'1Day Base'!G138),2),ROUND(MinBase1Day*(1+ExpressFuelSurcharge),2),ROUND(((1-(OverNightDiscount_21_Up+FedExExrpessEarnedDiscount))*'1Day Base'!G138)*(1+ExpressFuelSurcharge),2))*(1+FedEx_Markup),2)</f>
        <v>582.44</v>
      </c>
      <c r="H141" s="275">
        <f>ROUND(IF(MinBase1Day&gt;ROUND(((1-(OverNightDiscount_21_Up+FedExExrpessEarnedDiscount))*'1Day Base'!H138),2),ROUND(MinBase1Day*(1+ExpressFuelSurcharge),2),ROUND(((1-(OverNightDiscount_21_Up+FedExExrpessEarnedDiscount))*'1Day Base'!H138)*(1+ExpressFuelSurcharge),2))*(1+FedEx_Markup),2)</f>
        <v>607.36</v>
      </c>
    </row>
    <row r="142" ht="12.75" customHeight="1">
      <c r="A142" s="274">
        <v>137.0</v>
      </c>
      <c r="B142" s="275">
        <f>ROUND(IF(MinBase1Day&gt;ROUND(((1-(OverNightDiscount_21_Up+FedExExrpessEarnedDiscount))*'1Day Base'!B139),2),ROUND(MinBase1Day*(1+ExpressFuelSurcharge),2),ROUND(((1-(OverNightDiscount_21_Up+FedExExrpessEarnedDiscount))*'1Day Base'!B139)*(1+ExpressFuelSurcharge),2))*(1+FedEx_Markup),2)</f>
        <v>157.84</v>
      </c>
      <c r="C142" s="275">
        <f>ROUND(IF(MinBase1Day&gt;ROUND(((1-(OverNightDiscount_21_Up+FedExExrpessEarnedDiscount))*'1Day Base'!C139),2),ROUND(MinBase1Day*(1+ExpressFuelSurcharge),2),ROUND(((1-(OverNightDiscount_21_Up+FedExExrpessEarnedDiscount))*'1Day Base'!C139)*(1+ExpressFuelSurcharge),2))*(1+FedEx_Markup),2)</f>
        <v>220.86</v>
      </c>
      <c r="D142" s="275">
        <f>ROUND(IF(MinBase1Day&gt;ROUND(((1-(OverNightDiscount_21_Up+FedExExrpessEarnedDiscount))*'1Day Base'!D139),2),ROUND(MinBase1Day*(1+ExpressFuelSurcharge),2),ROUND(((1-(OverNightDiscount_21_Up+FedExExrpessEarnedDiscount))*'1Day Base'!D139)*(1+ExpressFuelSurcharge),2))*(1+FedEx_Markup),2)</f>
        <v>401.01</v>
      </c>
      <c r="E142" s="275">
        <f>ROUND(IF(MinBase1Day&gt;ROUND(((1-(OverNightDiscount_21_Up+FedExExrpessEarnedDiscount))*'1Day Base'!E139),2),ROUND(MinBase1Day*(1+ExpressFuelSurcharge),2),ROUND(((1-(OverNightDiscount_21_Up+FedExExrpessEarnedDiscount))*'1Day Base'!E139)*(1+ExpressFuelSurcharge),2))*(1+FedEx_Markup),2)</f>
        <v>478.53</v>
      </c>
      <c r="F142" s="275">
        <f>ROUND(IF(MinBase1Day&gt;ROUND(((1-(OverNightDiscount_21_Up+FedExExrpessEarnedDiscount))*'1Day Base'!F139),2),ROUND(MinBase1Day*(1+ExpressFuelSurcharge),2),ROUND(((1-(OverNightDiscount_21_Up+FedExExrpessEarnedDiscount))*'1Day Base'!F139)*(1+ExpressFuelSurcharge),2))*(1+FedEx_Markup),2)</f>
        <v>488.57</v>
      </c>
      <c r="G142" s="275">
        <f>ROUND(IF(MinBase1Day&gt;ROUND(((1-(OverNightDiscount_21_Up+FedExExrpessEarnedDiscount))*'1Day Base'!G139),2),ROUND(MinBase1Day*(1+ExpressFuelSurcharge),2),ROUND(((1-(OverNightDiscount_21_Up+FedExExrpessEarnedDiscount))*'1Day Base'!G139)*(1+ExpressFuelSurcharge),2))*(1+FedEx_Markup),2)</f>
        <v>586.73</v>
      </c>
      <c r="H142" s="275">
        <f>ROUND(IF(MinBase1Day&gt;ROUND(((1-(OverNightDiscount_21_Up+FedExExrpessEarnedDiscount))*'1Day Base'!H139),2),ROUND(MinBase1Day*(1+ExpressFuelSurcharge),2),ROUND(((1-(OverNightDiscount_21_Up+FedExExrpessEarnedDiscount))*'1Day Base'!H139)*(1+ExpressFuelSurcharge),2))*(1+FedEx_Markup),2)</f>
        <v>611.82</v>
      </c>
    </row>
    <row r="143" ht="12.75" customHeight="1">
      <c r="A143" s="274">
        <v>138.0</v>
      </c>
      <c r="B143" s="275">
        <f>ROUND(IF(MinBase1Day&gt;ROUND(((1-(OverNightDiscount_21_Up+FedExExrpessEarnedDiscount))*'1Day Base'!B140),2),ROUND(MinBase1Day*(1+ExpressFuelSurcharge),2),ROUND(((1-(OverNightDiscount_21_Up+FedExExrpessEarnedDiscount))*'1Day Base'!B140)*(1+ExpressFuelSurcharge),2))*(1+FedEx_Markup),2)</f>
        <v>158.99</v>
      </c>
      <c r="C143" s="275">
        <f>ROUND(IF(MinBase1Day&gt;ROUND(((1-(OverNightDiscount_21_Up+FedExExrpessEarnedDiscount))*'1Day Base'!C140),2),ROUND(MinBase1Day*(1+ExpressFuelSurcharge),2),ROUND(((1-(OverNightDiscount_21_Up+FedExExrpessEarnedDiscount))*'1Day Base'!C140)*(1+ExpressFuelSurcharge),2))*(1+FedEx_Markup),2)</f>
        <v>222.47</v>
      </c>
      <c r="D143" s="275">
        <f>ROUND(IF(MinBase1Day&gt;ROUND(((1-(OverNightDiscount_21_Up+FedExExrpessEarnedDiscount))*'1Day Base'!D140),2),ROUND(MinBase1Day*(1+ExpressFuelSurcharge),2),ROUND(((1-(OverNightDiscount_21_Up+FedExExrpessEarnedDiscount))*'1Day Base'!D140)*(1+ExpressFuelSurcharge),2))*(1+FedEx_Markup),2)</f>
        <v>403.94</v>
      </c>
      <c r="E143" s="275">
        <f>ROUND(IF(MinBase1Day&gt;ROUND(((1-(OverNightDiscount_21_Up+FedExExrpessEarnedDiscount))*'1Day Base'!E140),2),ROUND(MinBase1Day*(1+ExpressFuelSurcharge),2),ROUND(((1-(OverNightDiscount_21_Up+FedExExrpessEarnedDiscount))*'1Day Base'!E140)*(1+ExpressFuelSurcharge),2))*(1+FedEx_Markup),2)</f>
        <v>482.02</v>
      </c>
      <c r="F143" s="275">
        <f>ROUND(IF(MinBase1Day&gt;ROUND(((1-(OverNightDiscount_21_Up+FedExExrpessEarnedDiscount))*'1Day Base'!F140),2),ROUND(MinBase1Day*(1+ExpressFuelSurcharge),2),ROUND(((1-(OverNightDiscount_21_Up+FedExExrpessEarnedDiscount))*'1Day Base'!F140)*(1+ExpressFuelSurcharge),2))*(1+FedEx_Markup),2)</f>
        <v>492.13</v>
      </c>
      <c r="G143" s="275">
        <f>ROUND(IF(MinBase1Day&gt;ROUND(((1-(OverNightDiscount_21_Up+FedExExrpessEarnedDiscount))*'1Day Base'!G140),2),ROUND(MinBase1Day*(1+ExpressFuelSurcharge),2),ROUND(((1-(OverNightDiscount_21_Up+FedExExrpessEarnedDiscount))*'1Day Base'!G140)*(1+ExpressFuelSurcharge),2))*(1+FedEx_Markup),2)</f>
        <v>591.01</v>
      </c>
      <c r="H143" s="275">
        <f>ROUND(IF(MinBase1Day&gt;ROUND(((1-(OverNightDiscount_21_Up+FedExExrpessEarnedDiscount))*'1Day Base'!H140),2),ROUND(MinBase1Day*(1+ExpressFuelSurcharge),2),ROUND(((1-(OverNightDiscount_21_Up+FedExExrpessEarnedDiscount))*'1Day Base'!H140)*(1+ExpressFuelSurcharge),2))*(1+FedEx_Markup),2)</f>
        <v>616.3</v>
      </c>
    </row>
    <row r="144" ht="12.75" customHeight="1">
      <c r="A144" s="274">
        <v>139.0</v>
      </c>
      <c r="B144" s="275">
        <f>ROUND(IF(MinBase1Day&gt;ROUND(((1-(OverNightDiscount_21_Up+FedExExrpessEarnedDiscount))*'1Day Base'!B141),2),ROUND(MinBase1Day*(1+ExpressFuelSurcharge),2),ROUND(((1-(OverNightDiscount_21_Up+FedExExrpessEarnedDiscount))*'1Day Base'!B141)*(1+ExpressFuelSurcharge),2))*(1+FedEx_Markup),2)</f>
        <v>160.14</v>
      </c>
      <c r="C144" s="275">
        <f>ROUND(IF(MinBase1Day&gt;ROUND(((1-(OverNightDiscount_21_Up+FedExExrpessEarnedDiscount))*'1Day Base'!C141),2),ROUND(MinBase1Day*(1+ExpressFuelSurcharge),2),ROUND(((1-(OverNightDiscount_21_Up+FedExExrpessEarnedDiscount))*'1Day Base'!C141)*(1+ExpressFuelSurcharge),2))*(1+FedEx_Markup),2)</f>
        <v>224.09</v>
      </c>
      <c r="D144" s="275">
        <f>ROUND(IF(MinBase1Day&gt;ROUND(((1-(OverNightDiscount_21_Up+FedExExrpessEarnedDiscount))*'1Day Base'!D141),2),ROUND(MinBase1Day*(1+ExpressFuelSurcharge),2),ROUND(((1-(OverNightDiscount_21_Up+FedExExrpessEarnedDiscount))*'1Day Base'!D141)*(1+ExpressFuelSurcharge),2))*(1+FedEx_Markup),2)</f>
        <v>406.86</v>
      </c>
      <c r="E144" s="275">
        <f>ROUND(IF(MinBase1Day&gt;ROUND(((1-(OverNightDiscount_21_Up+FedExExrpessEarnedDiscount))*'1Day Base'!E141),2),ROUND(MinBase1Day*(1+ExpressFuelSurcharge),2),ROUND(((1-(OverNightDiscount_21_Up+FedExExrpessEarnedDiscount))*'1Day Base'!E141)*(1+ExpressFuelSurcharge),2))*(1+FedEx_Markup),2)</f>
        <v>485.52</v>
      </c>
      <c r="F144" s="275">
        <f>ROUND(IF(MinBase1Day&gt;ROUND(((1-(OverNightDiscount_21_Up+FedExExrpessEarnedDiscount))*'1Day Base'!F141),2),ROUND(MinBase1Day*(1+ExpressFuelSurcharge),2),ROUND(((1-(OverNightDiscount_21_Up+FedExExrpessEarnedDiscount))*'1Day Base'!F141)*(1+ExpressFuelSurcharge),2))*(1+FedEx_Markup),2)</f>
        <v>495.7</v>
      </c>
      <c r="G144" s="275">
        <f>ROUND(IF(MinBase1Day&gt;ROUND(((1-(OverNightDiscount_21_Up+FedExExrpessEarnedDiscount))*'1Day Base'!G141),2),ROUND(MinBase1Day*(1+ExpressFuelSurcharge),2),ROUND(((1-(OverNightDiscount_21_Up+FedExExrpessEarnedDiscount))*'1Day Base'!G141)*(1+ExpressFuelSurcharge),2))*(1+FedEx_Markup),2)</f>
        <v>595.3</v>
      </c>
      <c r="H144" s="275">
        <f>ROUND(IF(MinBase1Day&gt;ROUND(((1-(OverNightDiscount_21_Up+FedExExrpessEarnedDiscount))*'1Day Base'!H141),2),ROUND(MinBase1Day*(1+ExpressFuelSurcharge),2),ROUND(((1-(OverNightDiscount_21_Up+FedExExrpessEarnedDiscount))*'1Day Base'!H141)*(1+ExpressFuelSurcharge),2))*(1+FedEx_Markup),2)</f>
        <v>620.76</v>
      </c>
    </row>
    <row r="145" ht="12.75" customHeight="1">
      <c r="A145" s="274">
        <v>140.0</v>
      </c>
      <c r="B145" s="275">
        <f>ROUND(IF(MinBase1Day&gt;ROUND(((1-(OverNightDiscount_21_Up+FedExExrpessEarnedDiscount))*'1Day Base'!B142),2),ROUND(MinBase1Day*(1+ExpressFuelSurcharge),2),ROUND(((1-(OverNightDiscount_21_Up+FedExExrpessEarnedDiscount))*'1Day Base'!B142)*(1+ExpressFuelSurcharge),2))*(1+FedEx_Markup),2)</f>
        <v>161.29</v>
      </c>
      <c r="C145" s="275">
        <f>ROUND(IF(MinBase1Day&gt;ROUND(((1-(OverNightDiscount_21_Up+FedExExrpessEarnedDiscount))*'1Day Base'!C142),2),ROUND(MinBase1Day*(1+ExpressFuelSurcharge),2),ROUND(((1-(OverNightDiscount_21_Up+FedExExrpessEarnedDiscount))*'1Day Base'!C142)*(1+ExpressFuelSurcharge),2))*(1+FedEx_Markup),2)</f>
        <v>225.7</v>
      </c>
      <c r="D145" s="275">
        <f>ROUND(IF(MinBase1Day&gt;ROUND(((1-(OverNightDiscount_21_Up+FedExExrpessEarnedDiscount))*'1Day Base'!D142),2),ROUND(MinBase1Day*(1+ExpressFuelSurcharge),2),ROUND(((1-(OverNightDiscount_21_Up+FedExExrpessEarnedDiscount))*'1Day Base'!D142)*(1+ExpressFuelSurcharge),2))*(1+FedEx_Markup),2)</f>
        <v>409.79</v>
      </c>
      <c r="E145" s="275">
        <f>ROUND(IF(MinBase1Day&gt;ROUND(((1-(OverNightDiscount_21_Up+FedExExrpessEarnedDiscount))*'1Day Base'!E142),2),ROUND(MinBase1Day*(1+ExpressFuelSurcharge),2),ROUND(((1-(OverNightDiscount_21_Up+FedExExrpessEarnedDiscount))*'1Day Base'!E142)*(1+ExpressFuelSurcharge),2))*(1+FedEx_Markup),2)</f>
        <v>489</v>
      </c>
      <c r="F145" s="275">
        <f>ROUND(IF(MinBase1Day&gt;ROUND(((1-(OverNightDiscount_21_Up+FedExExrpessEarnedDiscount))*'1Day Base'!F142),2),ROUND(MinBase1Day*(1+ExpressFuelSurcharge),2),ROUND(((1-(OverNightDiscount_21_Up+FedExExrpessEarnedDiscount))*'1Day Base'!F142)*(1+ExpressFuelSurcharge),2))*(1+FedEx_Markup),2)</f>
        <v>499.27</v>
      </c>
      <c r="G145" s="275">
        <f>ROUND(IF(MinBase1Day&gt;ROUND(((1-(OverNightDiscount_21_Up+FedExExrpessEarnedDiscount))*'1Day Base'!G142),2),ROUND(MinBase1Day*(1+ExpressFuelSurcharge),2),ROUND(((1-(OverNightDiscount_21_Up+FedExExrpessEarnedDiscount))*'1Day Base'!G142)*(1+ExpressFuelSurcharge),2))*(1+FedEx_Markup),2)</f>
        <v>599.58</v>
      </c>
      <c r="H145" s="275">
        <f>ROUND(IF(MinBase1Day&gt;ROUND(((1-(OverNightDiscount_21_Up+FedExExrpessEarnedDiscount))*'1Day Base'!H142),2),ROUND(MinBase1Day*(1+ExpressFuelSurcharge),2),ROUND(((1-(OverNightDiscount_21_Up+FedExExrpessEarnedDiscount))*'1Day Base'!H142)*(1+ExpressFuelSurcharge),2))*(1+FedEx_Markup),2)</f>
        <v>625.22</v>
      </c>
    </row>
    <row r="146" ht="12.75" customHeight="1">
      <c r="A146" s="274">
        <v>141.0</v>
      </c>
      <c r="B146" s="275">
        <f>ROUND(IF(MinBase1Day&gt;ROUND(((1-(OverNightDiscount_21_Up+FedExExrpessEarnedDiscount))*'1Day Base'!B143),2),ROUND(MinBase1Day*(1+ExpressFuelSurcharge),2),ROUND(((1-(OverNightDiscount_21_Up+FedExExrpessEarnedDiscount))*'1Day Base'!B143)*(1+ExpressFuelSurcharge),2))*(1+FedEx_Markup),2)</f>
        <v>162.45</v>
      </c>
      <c r="C146" s="275">
        <f>ROUND(IF(MinBase1Day&gt;ROUND(((1-(OverNightDiscount_21_Up+FedExExrpessEarnedDiscount))*'1Day Base'!C143),2),ROUND(MinBase1Day*(1+ExpressFuelSurcharge),2),ROUND(((1-(OverNightDiscount_21_Up+FedExExrpessEarnedDiscount))*'1Day Base'!C143)*(1+ExpressFuelSurcharge),2))*(1+FedEx_Markup),2)</f>
        <v>227.31</v>
      </c>
      <c r="D146" s="275">
        <f>ROUND(IF(MinBase1Day&gt;ROUND(((1-(OverNightDiscount_21_Up+FedExExrpessEarnedDiscount))*'1Day Base'!D143),2),ROUND(MinBase1Day*(1+ExpressFuelSurcharge),2),ROUND(((1-(OverNightDiscount_21_Up+FedExExrpessEarnedDiscount))*'1Day Base'!D143)*(1+ExpressFuelSurcharge),2))*(1+FedEx_Markup),2)</f>
        <v>412.71</v>
      </c>
      <c r="E146" s="275">
        <f>ROUND(IF(MinBase1Day&gt;ROUND(((1-(OverNightDiscount_21_Up+FedExExrpessEarnedDiscount))*'1Day Base'!E143),2),ROUND(MinBase1Day*(1+ExpressFuelSurcharge),2),ROUND(((1-(OverNightDiscount_21_Up+FedExExrpessEarnedDiscount))*'1Day Base'!E143)*(1+ExpressFuelSurcharge),2))*(1+FedEx_Markup),2)</f>
        <v>492.5</v>
      </c>
      <c r="F146" s="275">
        <f>ROUND(IF(MinBase1Day&gt;ROUND(((1-(OverNightDiscount_21_Up+FedExExrpessEarnedDiscount))*'1Day Base'!F143),2),ROUND(MinBase1Day*(1+ExpressFuelSurcharge),2),ROUND(((1-(OverNightDiscount_21_Up+FedExExrpessEarnedDiscount))*'1Day Base'!F143)*(1+ExpressFuelSurcharge),2))*(1+FedEx_Markup),2)</f>
        <v>502.84</v>
      </c>
      <c r="G146" s="275">
        <f>ROUND(IF(MinBase1Day&gt;ROUND(((1-(OverNightDiscount_21_Up+FedExExrpessEarnedDiscount))*'1Day Base'!G143),2),ROUND(MinBase1Day*(1+ExpressFuelSurcharge),2),ROUND(((1-(OverNightDiscount_21_Up+FedExExrpessEarnedDiscount))*'1Day Base'!G143)*(1+ExpressFuelSurcharge),2))*(1+FedEx_Markup),2)</f>
        <v>603.87</v>
      </c>
      <c r="H146" s="275">
        <f>ROUND(IF(MinBase1Day&gt;ROUND(((1-(OverNightDiscount_21_Up+FedExExrpessEarnedDiscount))*'1Day Base'!H143),2),ROUND(MinBase1Day*(1+ExpressFuelSurcharge),2),ROUND(((1-(OverNightDiscount_21_Up+FedExExrpessEarnedDiscount))*'1Day Base'!H143)*(1+ExpressFuelSurcharge),2))*(1+FedEx_Markup),2)</f>
        <v>629.69</v>
      </c>
    </row>
    <row r="147" ht="12.75" customHeight="1">
      <c r="A147" s="274">
        <v>142.0</v>
      </c>
      <c r="B147" s="275">
        <f>ROUND(IF(MinBase1Day&gt;ROUND(((1-(OverNightDiscount_21_Up+FedExExrpessEarnedDiscount))*'1Day Base'!B144),2),ROUND(MinBase1Day*(1+ExpressFuelSurcharge),2),ROUND(((1-(OverNightDiscount_21_Up+FedExExrpessEarnedDiscount))*'1Day Base'!B144)*(1+ExpressFuelSurcharge),2))*(1+FedEx_Markup),2)</f>
        <v>163.6</v>
      </c>
      <c r="C147" s="275">
        <f>ROUND(IF(MinBase1Day&gt;ROUND(((1-(OverNightDiscount_21_Up+FedExExrpessEarnedDiscount))*'1Day Base'!C144),2),ROUND(MinBase1Day*(1+ExpressFuelSurcharge),2),ROUND(((1-(OverNightDiscount_21_Up+FedExExrpessEarnedDiscount))*'1Day Base'!C144)*(1+ExpressFuelSurcharge),2))*(1+FedEx_Markup),2)</f>
        <v>228.92</v>
      </c>
      <c r="D147" s="275">
        <f>ROUND(IF(MinBase1Day&gt;ROUND(((1-(OverNightDiscount_21_Up+FedExExrpessEarnedDiscount))*'1Day Base'!D144),2),ROUND(MinBase1Day*(1+ExpressFuelSurcharge),2),ROUND(((1-(OverNightDiscount_21_Up+FedExExrpessEarnedDiscount))*'1Day Base'!D144)*(1+ExpressFuelSurcharge),2))*(1+FedEx_Markup),2)</f>
        <v>415.64</v>
      </c>
      <c r="E147" s="275">
        <f>ROUND(IF(MinBase1Day&gt;ROUND(((1-(OverNightDiscount_21_Up+FedExExrpessEarnedDiscount))*'1Day Base'!E144),2),ROUND(MinBase1Day*(1+ExpressFuelSurcharge),2),ROUND(((1-(OverNightDiscount_21_Up+FedExExrpessEarnedDiscount))*'1Day Base'!E144)*(1+ExpressFuelSurcharge),2))*(1+FedEx_Markup),2)</f>
        <v>496</v>
      </c>
      <c r="F147" s="275">
        <f>ROUND(IF(MinBase1Day&gt;ROUND(((1-(OverNightDiscount_21_Up+FedExExrpessEarnedDiscount))*'1Day Base'!F144),2),ROUND(MinBase1Day*(1+ExpressFuelSurcharge),2),ROUND(((1-(OverNightDiscount_21_Up+FedExExrpessEarnedDiscount))*'1Day Base'!F144)*(1+ExpressFuelSurcharge),2))*(1+FedEx_Markup),2)</f>
        <v>506.4</v>
      </c>
      <c r="G147" s="275">
        <f>ROUND(IF(MinBase1Day&gt;ROUND(((1-(OverNightDiscount_21_Up+FedExExrpessEarnedDiscount))*'1Day Base'!G144),2),ROUND(MinBase1Day*(1+ExpressFuelSurcharge),2),ROUND(((1-(OverNightDiscount_21_Up+FedExExrpessEarnedDiscount))*'1Day Base'!G144)*(1+ExpressFuelSurcharge),2))*(1+FedEx_Markup),2)</f>
        <v>608.14</v>
      </c>
      <c r="H147" s="275">
        <f>ROUND(IF(MinBase1Day&gt;ROUND(((1-(OverNightDiscount_21_Up+FedExExrpessEarnedDiscount))*'1Day Base'!H144),2),ROUND(MinBase1Day*(1+ExpressFuelSurcharge),2),ROUND(((1-(OverNightDiscount_21_Up+FedExExrpessEarnedDiscount))*'1Day Base'!H144)*(1+ExpressFuelSurcharge),2))*(1+FedEx_Markup),2)</f>
        <v>634.16</v>
      </c>
    </row>
    <row r="148" ht="12.75" customHeight="1">
      <c r="A148" s="274">
        <v>143.0</v>
      </c>
      <c r="B148" s="275">
        <f>ROUND(IF(MinBase1Day&gt;ROUND(((1-(OverNightDiscount_21_Up+FedExExrpessEarnedDiscount))*'1Day Base'!B145),2),ROUND(MinBase1Day*(1+ExpressFuelSurcharge),2),ROUND(((1-(OverNightDiscount_21_Up+FedExExrpessEarnedDiscount))*'1Day Base'!B145)*(1+ExpressFuelSurcharge),2))*(1+FedEx_Markup),2)</f>
        <v>164.75</v>
      </c>
      <c r="C148" s="275">
        <f>ROUND(IF(MinBase1Day&gt;ROUND(((1-(OverNightDiscount_21_Up+FedExExrpessEarnedDiscount))*'1Day Base'!C145),2),ROUND(MinBase1Day*(1+ExpressFuelSurcharge),2),ROUND(((1-(OverNightDiscount_21_Up+FedExExrpessEarnedDiscount))*'1Day Base'!C145)*(1+ExpressFuelSurcharge),2))*(1+FedEx_Markup),2)</f>
        <v>230.53</v>
      </c>
      <c r="D148" s="275">
        <f>ROUND(IF(MinBase1Day&gt;ROUND(((1-(OverNightDiscount_21_Up+FedExExrpessEarnedDiscount))*'1Day Base'!D145),2),ROUND(MinBase1Day*(1+ExpressFuelSurcharge),2),ROUND(((1-(OverNightDiscount_21_Up+FedExExrpessEarnedDiscount))*'1Day Base'!D145)*(1+ExpressFuelSurcharge),2))*(1+FedEx_Markup),2)</f>
        <v>418.57</v>
      </c>
      <c r="E148" s="275">
        <f>ROUND(IF(MinBase1Day&gt;ROUND(((1-(OverNightDiscount_21_Up+FedExExrpessEarnedDiscount))*'1Day Base'!E145),2),ROUND(MinBase1Day*(1+ExpressFuelSurcharge),2),ROUND(((1-(OverNightDiscount_21_Up+FedExExrpessEarnedDiscount))*'1Day Base'!E145)*(1+ExpressFuelSurcharge),2))*(1+FedEx_Markup),2)</f>
        <v>499.49</v>
      </c>
      <c r="F148" s="275">
        <f>ROUND(IF(MinBase1Day&gt;ROUND(((1-(OverNightDiscount_21_Up+FedExExrpessEarnedDiscount))*'1Day Base'!F145),2),ROUND(MinBase1Day*(1+ExpressFuelSurcharge),2),ROUND(((1-(OverNightDiscount_21_Up+FedExExrpessEarnedDiscount))*'1Day Base'!F145)*(1+ExpressFuelSurcharge),2))*(1+FedEx_Markup),2)</f>
        <v>509.97</v>
      </c>
      <c r="G148" s="275">
        <f>ROUND(IF(MinBase1Day&gt;ROUND(((1-(OverNightDiscount_21_Up+FedExExrpessEarnedDiscount))*'1Day Base'!G145),2),ROUND(MinBase1Day*(1+ExpressFuelSurcharge),2),ROUND(((1-(OverNightDiscount_21_Up+FedExExrpessEarnedDiscount))*'1Day Base'!G145)*(1+ExpressFuelSurcharge),2))*(1+FedEx_Markup),2)</f>
        <v>612.42</v>
      </c>
      <c r="H148" s="275">
        <f>ROUND(IF(MinBase1Day&gt;ROUND(((1-(OverNightDiscount_21_Up+FedExExrpessEarnedDiscount))*'1Day Base'!H145),2),ROUND(MinBase1Day*(1+ExpressFuelSurcharge),2),ROUND(((1-(OverNightDiscount_21_Up+FedExExrpessEarnedDiscount))*'1Day Base'!H145)*(1+ExpressFuelSurcharge),2))*(1+FedEx_Markup),2)</f>
        <v>638.62</v>
      </c>
    </row>
    <row r="149" ht="12.75" customHeight="1">
      <c r="A149" s="274">
        <v>144.0</v>
      </c>
      <c r="B149" s="275">
        <f>ROUND(IF(MinBase1Day&gt;ROUND(((1-(OverNightDiscount_21_Up+FedExExrpessEarnedDiscount))*'1Day Base'!B146),2),ROUND(MinBase1Day*(1+ExpressFuelSurcharge),2),ROUND(((1-(OverNightDiscount_21_Up+FedExExrpessEarnedDiscount))*'1Day Base'!B146)*(1+ExpressFuelSurcharge),2))*(1+FedEx_Markup),2)</f>
        <v>165.9</v>
      </c>
      <c r="C149" s="275">
        <f>ROUND(IF(MinBase1Day&gt;ROUND(((1-(OverNightDiscount_21_Up+FedExExrpessEarnedDiscount))*'1Day Base'!C146),2),ROUND(MinBase1Day*(1+ExpressFuelSurcharge),2),ROUND(((1-(OverNightDiscount_21_Up+FedExExrpessEarnedDiscount))*'1Day Base'!C146)*(1+ExpressFuelSurcharge),2))*(1+FedEx_Markup),2)</f>
        <v>232.14</v>
      </c>
      <c r="D149" s="275">
        <f>ROUND(IF(MinBase1Day&gt;ROUND(((1-(OverNightDiscount_21_Up+FedExExrpessEarnedDiscount))*'1Day Base'!D146),2),ROUND(MinBase1Day*(1+ExpressFuelSurcharge),2),ROUND(((1-(OverNightDiscount_21_Up+FedExExrpessEarnedDiscount))*'1Day Base'!D146)*(1+ExpressFuelSurcharge),2))*(1+FedEx_Markup),2)</f>
        <v>421.5</v>
      </c>
      <c r="E149" s="275">
        <f>ROUND(IF(MinBase1Day&gt;ROUND(((1-(OverNightDiscount_21_Up+FedExExrpessEarnedDiscount))*'1Day Base'!E146),2),ROUND(MinBase1Day*(1+ExpressFuelSurcharge),2),ROUND(((1-(OverNightDiscount_21_Up+FedExExrpessEarnedDiscount))*'1Day Base'!E146)*(1+ExpressFuelSurcharge),2))*(1+FedEx_Markup),2)</f>
        <v>502.98</v>
      </c>
      <c r="F149" s="275">
        <f>ROUND(IF(MinBase1Day&gt;ROUND(((1-(OverNightDiscount_21_Up+FedExExrpessEarnedDiscount))*'1Day Base'!F146),2),ROUND(MinBase1Day*(1+ExpressFuelSurcharge),2),ROUND(((1-(OverNightDiscount_21_Up+FedExExrpessEarnedDiscount))*'1Day Base'!F146)*(1+ExpressFuelSurcharge),2))*(1+FedEx_Markup),2)</f>
        <v>513.53</v>
      </c>
      <c r="G149" s="275">
        <f>ROUND(IF(MinBase1Day&gt;ROUND(((1-(OverNightDiscount_21_Up+FedExExrpessEarnedDiscount))*'1Day Base'!G146),2),ROUND(MinBase1Day*(1+ExpressFuelSurcharge),2),ROUND(((1-(OverNightDiscount_21_Up+FedExExrpessEarnedDiscount))*'1Day Base'!G146)*(1+ExpressFuelSurcharge),2))*(1+FedEx_Markup),2)</f>
        <v>616.71</v>
      </c>
      <c r="H149" s="275">
        <f>ROUND(IF(MinBase1Day&gt;ROUND(((1-(OverNightDiscount_21_Up+FedExExrpessEarnedDiscount))*'1Day Base'!H146),2),ROUND(MinBase1Day*(1+ExpressFuelSurcharge),2),ROUND(((1-(OverNightDiscount_21_Up+FedExExrpessEarnedDiscount))*'1Day Base'!H146)*(1+ExpressFuelSurcharge),2))*(1+FedEx_Markup),2)</f>
        <v>643.09</v>
      </c>
    </row>
    <row r="150" ht="12.75" customHeight="1">
      <c r="A150" s="274">
        <v>145.0</v>
      </c>
      <c r="B150" s="275">
        <f>ROUND(IF(MinBase1Day&gt;ROUND(((1-(OverNightDiscount_21_Up+FedExExrpessEarnedDiscount))*'1Day Base'!B147),2),ROUND(MinBase1Day*(1+ExpressFuelSurcharge),2),ROUND(((1-(OverNightDiscount_21_Up+FedExExrpessEarnedDiscount))*'1Day Base'!B147)*(1+ExpressFuelSurcharge),2))*(1+FedEx_Markup),2)</f>
        <v>167.05</v>
      </c>
      <c r="C150" s="275">
        <f>ROUND(IF(MinBase1Day&gt;ROUND(((1-(OverNightDiscount_21_Up+FedExExrpessEarnedDiscount))*'1Day Base'!C147),2),ROUND(MinBase1Day*(1+ExpressFuelSurcharge),2),ROUND(((1-(OverNightDiscount_21_Up+FedExExrpessEarnedDiscount))*'1Day Base'!C147)*(1+ExpressFuelSurcharge),2))*(1+FedEx_Markup),2)</f>
        <v>233.76</v>
      </c>
      <c r="D150" s="275">
        <f>ROUND(IF(MinBase1Day&gt;ROUND(((1-(OverNightDiscount_21_Up+FedExExrpessEarnedDiscount))*'1Day Base'!D147),2),ROUND(MinBase1Day*(1+ExpressFuelSurcharge),2),ROUND(((1-(OverNightDiscount_21_Up+FedExExrpessEarnedDiscount))*'1Day Base'!D147)*(1+ExpressFuelSurcharge),2))*(1+FedEx_Markup),2)</f>
        <v>424.42</v>
      </c>
      <c r="E150" s="275">
        <f>ROUND(IF(MinBase1Day&gt;ROUND(((1-(OverNightDiscount_21_Up+FedExExrpessEarnedDiscount))*'1Day Base'!E147),2),ROUND(MinBase1Day*(1+ExpressFuelSurcharge),2),ROUND(((1-(OverNightDiscount_21_Up+FedExExrpessEarnedDiscount))*'1Day Base'!E147)*(1+ExpressFuelSurcharge),2))*(1+FedEx_Markup),2)</f>
        <v>506.47</v>
      </c>
      <c r="F150" s="275">
        <f>ROUND(IF(MinBase1Day&gt;ROUND(((1-(OverNightDiscount_21_Up+FedExExrpessEarnedDiscount))*'1Day Base'!F147),2),ROUND(MinBase1Day*(1+ExpressFuelSurcharge),2),ROUND(((1-(OverNightDiscount_21_Up+FedExExrpessEarnedDiscount))*'1Day Base'!F147)*(1+ExpressFuelSurcharge),2))*(1+FedEx_Markup),2)</f>
        <v>517.1</v>
      </c>
      <c r="G150" s="275">
        <f>ROUND(IF(MinBase1Day&gt;ROUND(((1-(OverNightDiscount_21_Up+FedExExrpessEarnedDiscount))*'1Day Base'!G147),2),ROUND(MinBase1Day*(1+ExpressFuelSurcharge),2),ROUND(((1-(OverNightDiscount_21_Up+FedExExrpessEarnedDiscount))*'1Day Base'!G147)*(1+ExpressFuelSurcharge),2))*(1+FedEx_Markup),2)</f>
        <v>620.99</v>
      </c>
      <c r="H150" s="275">
        <f>ROUND(IF(MinBase1Day&gt;ROUND(((1-(OverNightDiscount_21_Up+FedExExrpessEarnedDiscount))*'1Day Base'!H147),2),ROUND(MinBase1Day*(1+ExpressFuelSurcharge),2),ROUND(((1-(OverNightDiscount_21_Up+FedExExrpessEarnedDiscount))*'1Day Base'!H147)*(1+ExpressFuelSurcharge),2))*(1+FedEx_Markup),2)</f>
        <v>647.55</v>
      </c>
    </row>
    <row r="151" ht="12.75" customHeight="1">
      <c r="A151" s="274">
        <v>146.0</v>
      </c>
      <c r="B151" s="275">
        <f>ROUND(IF(MinBase1Day&gt;ROUND(((1-(OverNightDiscount_21_Up+FedExExrpessEarnedDiscount))*'1Day Base'!B148),2),ROUND(MinBase1Day*(1+ExpressFuelSurcharge),2),ROUND(((1-(OverNightDiscount_21_Up+FedExExrpessEarnedDiscount))*'1Day Base'!B148)*(1+ExpressFuelSurcharge),2))*(1+FedEx_Markup),2)</f>
        <v>168.21</v>
      </c>
      <c r="C151" s="275">
        <f>ROUND(IF(MinBase1Day&gt;ROUND(((1-(OverNightDiscount_21_Up+FedExExrpessEarnedDiscount))*'1Day Base'!C148),2),ROUND(MinBase1Day*(1+ExpressFuelSurcharge),2),ROUND(((1-(OverNightDiscount_21_Up+FedExExrpessEarnedDiscount))*'1Day Base'!C148)*(1+ExpressFuelSurcharge),2))*(1+FedEx_Markup),2)</f>
        <v>235.37</v>
      </c>
      <c r="D151" s="275">
        <f>ROUND(IF(MinBase1Day&gt;ROUND(((1-(OverNightDiscount_21_Up+FedExExrpessEarnedDiscount))*'1Day Base'!D148),2),ROUND(MinBase1Day*(1+ExpressFuelSurcharge),2),ROUND(((1-(OverNightDiscount_21_Up+FedExExrpessEarnedDiscount))*'1Day Base'!D148)*(1+ExpressFuelSurcharge),2))*(1+FedEx_Markup),2)</f>
        <v>427.35</v>
      </c>
      <c r="E151" s="275">
        <f>ROUND(IF(MinBase1Day&gt;ROUND(((1-(OverNightDiscount_21_Up+FedExExrpessEarnedDiscount))*'1Day Base'!E148),2),ROUND(MinBase1Day*(1+ExpressFuelSurcharge),2),ROUND(((1-(OverNightDiscount_21_Up+FedExExrpessEarnedDiscount))*'1Day Base'!E148)*(1+ExpressFuelSurcharge),2))*(1+FedEx_Markup),2)</f>
        <v>509.97</v>
      </c>
      <c r="F151" s="275">
        <f>ROUND(IF(MinBase1Day&gt;ROUND(((1-(OverNightDiscount_21_Up+FedExExrpessEarnedDiscount))*'1Day Base'!F148),2),ROUND(MinBase1Day*(1+ExpressFuelSurcharge),2),ROUND(((1-(OverNightDiscount_21_Up+FedExExrpessEarnedDiscount))*'1Day Base'!F148)*(1+ExpressFuelSurcharge),2))*(1+FedEx_Markup),2)</f>
        <v>520.66</v>
      </c>
      <c r="G151" s="275">
        <f>ROUND(IF(MinBase1Day&gt;ROUND(((1-(OverNightDiscount_21_Up+FedExExrpessEarnedDiscount))*'1Day Base'!G148),2),ROUND(MinBase1Day*(1+ExpressFuelSurcharge),2),ROUND(((1-(OverNightDiscount_21_Up+FedExExrpessEarnedDiscount))*'1Day Base'!G148)*(1+ExpressFuelSurcharge),2))*(1+FedEx_Markup),2)</f>
        <v>625.28</v>
      </c>
      <c r="H151" s="275">
        <f>ROUND(IF(MinBase1Day&gt;ROUND(((1-(OverNightDiscount_21_Up+FedExExrpessEarnedDiscount))*'1Day Base'!H148),2),ROUND(MinBase1Day*(1+ExpressFuelSurcharge),2),ROUND(((1-(OverNightDiscount_21_Up+FedExExrpessEarnedDiscount))*'1Day Base'!H148)*(1+ExpressFuelSurcharge),2))*(1+FedEx_Markup),2)</f>
        <v>652.02</v>
      </c>
    </row>
    <row r="152" ht="12.75" customHeight="1">
      <c r="A152" s="274">
        <v>147.0</v>
      </c>
      <c r="B152" s="275">
        <f>ROUND(IF(MinBase1Day&gt;ROUND(((1-(OverNightDiscount_21_Up+FedExExrpessEarnedDiscount))*'1Day Base'!B149),2),ROUND(MinBase1Day*(1+ExpressFuelSurcharge),2),ROUND(((1-(OverNightDiscount_21_Up+FedExExrpessEarnedDiscount))*'1Day Base'!B149)*(1+ExpressFuelSurcharge),2))*(1+FedEx_Markup),2)</f>
        <v>169.36</v>
      </c>
      <c r="C152" s="275">
        <f>ROUND(IF(MinBase1Day&gt;ROUND(((1-(OverNightDiscount_21_Up+FedExExrpessEarnedDiscount))*'1Day Base'!C149),2),ROUND(MinBase1Day*(1+ExpressFuelSurcharge),2),ROUND(((1-(OverNightDiscount_21_Up+FedExExrpessEarnedDiscount))*'1Day Base'!C149)*(1+ExpressFuelSurcharge),2))*(1+FedEx_Markup),2)</f>
        <v>236.98</v>
      </c>
      <c r="D152" s="275">
        <f>ROUND(IF(MinBase1Day&gt;ROUND(((1-(OverNightDiscount_21_Up+FedExExrpessEarnedDiscount))*'1Day Base'!D149),2),ROUND(MinBase1Day*(1+ExpressFuelSurcharge),2),ROUND(((1-(OverNightDiscount_21_Up+FedExExrpessEarnedDiscount))*'1Day Base'!D149)*(1+ExpressFuelSurcharge),2))*(1+FedEx_Markup),2)</f>
        <v>430.27</v>
      </c>
      <c r="E152" s="275">
        <f>ROUND(IF(MinBase1Day&gt;ROUND(((1-(OverNightDiscount_21_Up+FedExExrpessEarnedDiscount))*'1Day Base'!E149),2),ROUND(MinBase1Day*(1+ExpressFuelSurcharge),2),ROUND(((1-(OverNightDiscount_21_Up+FedExExrpessEarnedDiscount))*'1Day Base'!E149)*(1+ExpressFuelSurcharge),2))*(1+FedEx_Markup),2)</f>
        <v>513.46</v>
      </c>
      <c r="F152" s="275">
        <f>ROUND(IF(MinBase1Day&gt;ROUND(((1-(OverNightDiscount_21_Up+FedExExrpessEarnedDiscount))*'1Day Base'!F149),2),ROUND(MinBase1Day*(1+ExpressFuelSurcharge),2),ROUND(((1-(OverNightDiscount_21_Up+FedExExrpessEarnedDiscount))*'1Day Base'!F149)*(1+ExpressFuelSurcharge),2))*(1+FedEx_Markup),2)</f>
        <v>524.23</v>
      </c>
      <c r="G152" s="275">
        <f>ROUND(IF(MinBase1Day&gt;ROUND(((1-(OverNightDiscount_21_Up+FedExExrpessEarnedDiscount))*'1Day Base'!G149),2),ROUND(MinBase1Day*(1+ExpressFuelSurcharge),2),ROUND(((1-(OverNightDiscount_21_Up+FedExExrpessEarnedDiscount))*'1Day Base'!G149)*(1+ExpressFuelSurcharge),2))*(1+FedEx_Markup),2)</f>
        <v>629.56</v>
      </c>
      <c r="H152" s="275">
        <f>ROUND(IF(MinBase1Day&gt;ROUND(((1-(OverNightDiscount_21_Up+FedExExrpessEarnedDiscount))*'1Day Base'!H149),2),ROUND(MinBase1Day*(1+ExpressFuelSurcharge),2),ROUND(((1-(OverNightDiscount_21_Up+FedExExrpessEarnedDiscount))*'1Day Base'!H149)*(1+ExpressFuelSurcharge),2))*(1+FedEx_Markup),2)</f>
        <v>656.49</v>
      </c>
    </row>
    <row r="153" ht="12.75" customHeight="1">
      <c r="A153" s="274">
        <v>148.0</v>
      </c>
      <c r="B153" s="275">
        <f>ROUND(IF(MinBase1Day&gt;ROUND(((1-(OverNightDiscount_21_Up+FedExExrpessEarnedDiscount))*'1Day Base'!B150),2),ROUND(MinBase1Day*(1+ExpressFuelSurcharge),2),ROUND(((1-(OverNightDiscount_21_Up+FedExExrpessEarnedDiscount))*'1Day Base'!B150)*(1+ExpressFuelSurcharge),2))*(1+FedEx_Markup),2)</f>
        <v>170.51</v>
      </c>
      <c r="C153" s="275">
        <f>ROUND(IF(MinBase1Day&gt;ROUND(((1-(OverNightDiscount_21_Up+FedExExrpessEarnedDiscount))*'1Day Base'!C150),2),ROUND(MinBase1Day*(1+ExpressFuelSurcharge),2),ROUND(((1-(OverNightDiscount_21_Up+FedExExrpessEarnedDiscount))*'1Day Base'!C150)*(1+ExpressFuelSurcharge),2))*(1+FedEx_Markup),2)</f>
        <v>238.59</v>
      </c>
      <c r="D153" s="275">
        <f>ROUND(IF(MinBase1Day&gt;ROUND(((1-(OverNightDiscount_21_Up+FedExExrpessEarnedDiscount))*'1Day Base'!D150),2),ROUND(MinBase1Day*(1+ExpressFuelSurcharge),2),ROUND(((1-(OverNightDiscount_21_Up+FedExExrpessEarnedDiscount))*'1Day Base'!D150)*(1+ExpressFuelSurcharge),2))*(1+FedEx_Markup),2)</f>
        <v>433.21</v>
      </c>
      <c r="E153" s="275">
        <f>ROUND(IF(MinBase1Day&gt;ROUND(((1-(OverNightDiscount_21_Up+FedExExrpessEarnedDiscount))*'1Day Base'!E150),2),ROUND(MinBase1Day*(1+ExpressFuelSurcharge),2),ROUND(((1-(OverNightDiscount_21_Up+FedExExrpessEarnedDiscount))*'1Day Base'!E150)*(1+ExpressFuelSurcharge),2))*(1+FedEx_Markup),2)</f>
        <v>516.95</v>
      </c>
      <c r="F153" s="275">
        <f>ROUND(IF(MinBase1Day&gt;ROUND(((1-(OverNightDiscount_21_Up+FedExExrpessEarnedDiscount))*'1Day Base'!F150),2),ROUND(MinBase1Day*(1+ExpressFuelSurcharge),2),ROUND(((1-(OverNightDiscount_21_Up+FedExExrpessEarnedDiscount))*'1Day Base'!F150)*(1+ExpressFuelSurcharge),2))*(1+FedEx_Markup),2)</f>
        <v>527.79</v>
      </c>
      <c r="G153" s="275">
        <f>ROUND(IF(MinBase1Day&gt;ROUND(((1-(OverNightDiscount_21_Up+FedExExrpessEarnedDiscount))*'1Day Base'!G150),2),ROUND(MinBase1Day*(1+ExpressFuelSurcharge),2),ROUND(((1-(OverNightDiscount_21_Up+FedExExrpessEarnedDiscount))*'1Day Base'!G150)*(1+ExpressFuelSurcharge),2))*(1+FedEx_Markup),2)</f>
        <v>633.83</v>
      </c>
      <c r="H153" s="275">
        <f>ROUND(IF(MinBase1Day&gt;ROUND(((1-(OverNightDiscount_21_Up+FedExExrpessEarnedDiscount))*'1Day Base'!H150),2),ROUND(MinBase1Day*(1+ExpressFuelSurcharge),2),ROUND(((1-(OverNightDiscount_21_Up+FedExExrpessEarnedDiscount))*'1Day Base'!H150)*(1+ExpressFuelSurcharge),2))*(1+FedEx_Markup),2)</f>
        <v>660.95</v>
      </c>
    </row>
    <row r="154" ht="12.75" customHeight="1">
      <c r="A154" s="274">
        <v>149.0</v>
      </c>
      <c r="B154" s="275">
        <f>ROUND(IF(MinBase1Day&gt;ROUND(((1-(OverNightDiscount_21_Up+FedExExrpessEarnedDiscount))*'1Day Base'!B151),2),ROUND(MinBase1Day*(1+ExpressFuelSurcharge),2),ROUND(((1-(OverNightDiscount_21_Up+FedExExrpessEarnedDiscount))*'1Day Base'!B151)*(1+ExpressFuelSurcharge),2))*(1+FedEx_Markup),2)</f>
        <v>171.66</v>
      </c>
      <c r="C154" s="275">
        <f>ROUND(IF(MinBase1Day&gt;ROUND(((1-(OverNightDiscount_21_Up+FedExExrpessEarnedDiscount))*'1Day Base'!C151),2),ROUND(MinBase1Day*(1+ExpressFuelSurcharge),2),ROUND(((1-(OverNightDiscount_21_Up+FedExExrpessEarnedDiscount))*'1Day Base'!C151)*(1+ExpressFuelSurcharge),2))*(1+FedEx_Markup),2)</f>
        <v>240.2</v>
      </c>
      <c r="D154" s="275">
        <f>ROUND(IF(MinBase1Day&gt;ROUND(((1-(OverNightDiscount_21_Up+FedExExrpessEarnedDiscount))*'1Day Base'!D151),2),ROUND(MinBase1Day*(1+ExpressFuelSurcharge),2),ROUND(((1-(OverNightDiscount_21_Up+FedExExrpessEarnedDiscount))*'1Day Base'!D151)*(1+ExpressFuelSurcharge),2))*(1+FedEx_Markup),2)</f>
        <v>436.13</v>
      </c>
      <c r="E154" s="275">
        <f>ROUND(IF(MinBase1Day&gt;ROUND(((1-(OverNightDiscount_21_Up+FedExExrpessEarnedDiscount))*'1Day Base'!E151),2),ROUND(MinBase1Day*(1+ExpressFuelSurcharge),2),ROUND(((1-(OverNightDiscount_21_Up+FedExExrpessEarnedDiscount))*'1Day Base'!E151)*(1+ExpressFuelSurcharge),2))*(1+FedEx_Markup),2)</f>
        <v>520.44</v>
      </c>
      <c r="F154" s="275">
        <f>ROUND(IF(MinBase1Day&gt;ROUND(((1-(OverNightDiscount_21_Up+FedExExrpessEarnedDiscount))*'1Day Base'!F151),2),ROUND(MinBase1Day*(1+ExpressFuelSurcharge),2),ROUND(((1-(OverNightDiscount_21_Up+FedExExrpessEarnedDiscount))*'1Day Base'!F151)*(1+ExpressFuelSurcharge),2))*(1+FedEx_Markup),2)</f>
        <v>531.36</v>
      </c>
      <c r="G154" s="275">
        <f>ROUND(IF(MinBase1Day&gt;ROUND(((1-(OverNightDiscount_21_Up+FedExExrpessEarnedDiscount))*'1Day Base'!G151),2),ROUND(MinBase1Day*(1+ExpressFuelSurcharge),2),ROUND(((1-(OverNightDiscount_21_Up+FedExExrpessEarnedDiscount))*'1Day Base'!G151)*(1+ExpressFuelSurcharge),2))*(1+FedEx_Markup),2)</f>
        <v>638.12</v>
      </c>
      <c r="H154" s="275">
        <f>ROUND(IF(MinBase1Day&gt;ROUND(((1-(OverNightDiscount_21_Up+FedExExrpessEarnedDiscount))*'1Day Base'!H151),2),ROUND(MinBase1Day*(1+ExpressFuelSurcharge),2),ROUND(((1-(OverNightDiscount_21_Up+FedExExrpessEarnedDiscount))*'1Day Base'!H151)*(1+ExpressFuelSurcharge),2))*(1+FedEx_Markup),2)</f>
        <v>665.41</v>
      </c>
    </row>
    <row r="155" ht="12.75" customHeight="1">
      <c r="A155" s="274">
        <v>150.0</v>
      </c>
      <c r="B155" s="275">
        <f>ROUND(IF(MinBase1Day&gt;ROUND(((1-(OverNightDiscount_21_Up+FedExExrpessEarnedDiscount))*'1Day Base'!B152),2),ROUND(MinBase1Day*(1+ExpressFuelSurcharge),2),ROUND(((1-(OverNightDiscount_21_Up+FedExExrpessEarnedDiscount))*'1Day Base'!B152)*(1+ExpressFuelSurcharge),2))*(1+FedEx_Markup),2)</f>
        <v>172.81</v>
      </c>
      <c r="C155" s="275">
        <f>ROUND(IF(MinBase1Day&gt;ROUND(((1-(OverNightDiscount_21_Up+FedExExrpessEarnedDiscount))*'1Day Base'!C152),2),ROUND(MinBase1Day*(1+ExpressFuelSurcharge),2),ROUND(((1-(OverNightDiscount_21_Up+FedExExrpessEarnedDiscount))*'1Day Base'!C152)*(1+ExpressFuelSurcharge),2))*(1+FedEx_Markup),2)</f>
        <v>241.82</v>
      </c>
      <c r="D155" s="275">
        <f>ROUND(IF(MinBase1Day&gt;ROUND(((1-(OverNightDiscount_21_Up+FedExExrpessEarnedDiscount))*'1Day Base'!D152),2),ROUND(MinBase1Day*(1+ExpressFuelSurcharge),2),ROUND(((1-(OverNightDiscount_21_Up+FedExExrpessEarnedDiscount))*'1Day Base'!D152)*(1+ExpressFuelSurcharge),2))*(1+FedEx_Markup),2)</f>
        <v>439.06</v>
      </c>
      <c r="E155" s="275">
        <f>ROUND(IF(MinBase1Day&gt;ROUND(((1-(OverNightDiscount_21_Up+FedExExrpessEarnedDiscount))*'1Day Base'!E152),2),ROUND(MinBase1Day*(1+ExpressFuelSurcharge),2),ROUND(((1-(OverNightDiscount_21_Up+FedExExrpessEarnedDiscount))*'1Day Base'!E152)*(1+ExpressFuelSurcharge),2))*(1+FedEx_Markup),2)</f>
        <v>523.94</v>
      </c>
      <c r="F155" s="275">
        <f>ROUND(IF(MinBase1Day&gt;ROUND(((1-(OverNightDiscount_21_Up+FedExExrpessEarnedDiscount))*'1Day Base'!F152),2),ROUND(MinBase1Day*(1+ExpressFuelSurcharge),2),ROUND(((1-(OverNightDiscount_21_Up+FedExExrpessEarnedDiscount))*'1Day Base'!F152)*(1+ExpressFuelSurcharge),2))*(1+FedEx_Markup),2)</f>
        <v>534.93</v>
      </c>
      <c r="G155" s="275">
        <f>ROUND(IF(MinBase1Day&gt;ROUND(((1-(OverNightDiscount_21_Up+FedExExrpessEarnedDiscount))*'1Day Base'!G152),2),ROUND(MinBase1Day*(1+ExpressFuelSurcharge),2),ROUND(((1-(OverNightDiscount_21_Up+FedExExrpessEarnedDiscount))*'1Day Base'!G152)*(1+ExpressFuelSurcharge),2))*(1+FedEx_Markup),2)</f>
        <v>642.4</v>
      </c>
      <c r="H155" s="275">
        <f>ROUND(IF(MinBase1Day&gt;ROUND(((1-(OverNightDiscount_21_Up+FedExExrpessEarnedDiscount))*'1Day Base'!H152),2),ROUND(MinBase1Day*(1+ExpressFuelSurcharge),2),ROUND(((1-(OverNightDiscount_21_Up+FedExExrpessEarnedDiscount))*'1Day Base'!H152)*(1+ExpressFuelSurcharge),2))*(1+FedEx_Markup),2)</f>
        <v>669.89</v>
      </c>
    </row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6:H155">
    <cfRule type="expression" dxfId="0" priority="1">
      <formula>MOD(ROW(),2)=0</formula>
    </cfRule>
  </conditionalFormatting>
  <printOptions/>
  <pageMargins bottom="0.57" footer="0.0" header="0.0" left="0.75" right="0.75" top="0.51"/>
  <pageSetup scale="92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CAAC"/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1" width="6.63"/>
    <col customWidth="1" min="2" max="9" width="7.63"/>
    <col customWidth="1" min="10" max="10" width="24.0"/>
    <col customWidth="1" min="11" max="11" width="8.38"/>
    <col customWidth="1" min="12" max="12" width="3.63"/>
    <col customWidth="1" min="13" max="26" width="8.63"/>
  </cols>
  <sheetData>
    <row r="1" ht="12.75" customHeight="1">
      <c r="B1" s="284"/>
      <c r="C1" s="284"/>
      <c r="D1" s="285" t="s">
        <v>121</v>
      </c>
      <c r="E1" s="286">
        <f>ExpressResWithFS</f>
        <v>7.73</v>
      </c>
      <c r="H1" s="264" t="s">
        <v>113</v>
      </c>
    </row>
    <row r="2" ht="12.75" customHeight="1">
      <c r="B2" s="270" t="s">
        <v>115</v>
      </c>
      <c r="H2" s="264" t="s">
        <v>123</v>
      </c>
    </row>
    <row r="3" ht="12.75" customHeight="1">
      <c r="B3" s="270" t="s">
        <v>122</v>
      </c>
    </row>
    <row r="4" ht="12.75" customHeight="1">
      <c r="A4" s="272" t="s">
        <v>1</v>
      </c>
      <c r="B4" s="272" t="s">
        <v>0</v>
      </c>
      <c r="C4" s="272" t="s">
        <v>0</v>
      </c>
      <c r="D4" s="272" t="s">
        <v>0</v>
      </c>
      <c r="E4" s="272" t="s">
        <v>0</v>
      </c>
      <c r="F4" s="272" t="s">
        <v>0</v>
      </c>
      <c r="G4" s="272" t="s">
        <v>0</v>
      </c>
      <c r="H4" s="272" t="s">
        <v>0</v>
      </c>
    </row>
    <row r="5" ht="12.75" customHeight="1">
      <c r="A5" s="271" t="s">
        <v>80</v>
      </c>
      <c r="B5" s="273">
        <v>2.0</v>
      </c>
      <c r="C5" s="273">
        <v>3.0</v>
      </c>
      <c r="D5" s="273">
        <v>4.0</v>
      </c>
      <c r="E5" s="273">
        <v>5.0</v>
      </c>
      <c r="F5" s="273">
        <v>6.0</v>
      </c>
      <c r="G5" s="273">
        <v>7.0</v>
      </c>
      <c r="H5" s="273">
        <v>8.0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274" t="s">
        <v>117</v>
      </c>
      <c r="B6" s="275">
        <f>ROUND((IF(MinBase1AMDay&gt;ROUND(((1-(OvernightDiscount1_to_10+FedExExrpessEarnedDiscount))*'1Day AM Base'!B3),2),ROUND(MinBase1AMDay*(1+ExpressFuelSurcharge),2),ROUND(((1-(OvernightDiscount1_to_10+FedExExrpessEarnedDiscount))*'1Day AM Base'!B3)*(1+ExpressFuelSurcharge),2)))*(1+FedEx_Markup),2)</f>
        <v>32.28</v>
      </c>
      <c r="C6" s="275">
        <f>ROUND((IF(MinBase1AMDay&gt;ROUND(((1-(OvernightDiscount1_to_10+FedExExrpessEarnedDiscount))*'1Day AM Base'!C3),2),ROUND(MinBase1AMDay*(1+ExpressFuelSurcharge),2),ROUND(((1-(OvernightDiscount1_to_10+FedExExrpessEarnedDiscount))*'1Day AM Base'!C3)*(1+ExpressFuelSurcharge),2)))*(1+FedEx_Markup),2)</f>
        <v>32.28</v>
      </c>
      <c r="D6" s="275">
        <f>ROUND((IF(MinBase1AMDay&gt;ROUND(((1-(OvernightDiscount1_to_10+FedExExrpessEarnedDiscount))*'1Day AM Base'!D3),2),ROUND(MinBase1AMDay*(1+ExpressFuelSurcharge),2),ROUND(((1-(OvernightDiscount1_to_10+FedExExrpessEarnedDiscount))*'1Day AM Base'!D3)*(1+ExpressFuelSurcharge),2)))*(1+FedEx_Markup),2)</f>
        <v>36.01</v>
      </c>
      <c r="E6" s="275">
        <f>ROUND((IF(MinBase1AMDay&gt;ROUND(((1-(OvernightDiscount1_to_10+FedExExrpessEarnedDiscount))*'1Day AM Base'!E3),2),ROUND(MinBase1AMDay*(1+ExpressFuelSurcharge),2),ROUND(((1-(OvernightDiscount1_to_10+FedExExrpessEarnedDiscount))*'1Day AM Base'!E3)*(1+ExpressFuelSurcharge),2)))*(1+FedEx_Markup),2)</f>
        <v>39.81</v>
      </c>
      <c r="F6" s="275">
        <f>ROUND((IF(MinBase1AMDay&gt;ROUND(((1-(OvernightDiscount1_to_10+FedExExrpessEarnedDiscount))*'1Day AM Base'!F3),2),ROUND(MinBase1AMDay*(1+ExpressFuelSurcharge),2),ROUND(((1-(OvernightDiscount1_to_10+FedExExrpessEarnedDiscount))*'1Day AM Base'!F3)*(1+ExpressFuelSurcharge),2)))*(1+FedEx_Markup),2)</f>
        <v>41.91</v>
      </c>
      <c r="G6" s="275">
        <f>ROUND((IF(MinBase1AMDay&gt;ROUND(((1-(OvernightDiscount1_to_10+FedExExrpessEarnedDiscount))*'1Day AM Base'!G3),2),ROUND(MinBase1AMDay*(1+ExpressFuelSurcharge),2),ROUND(((1-(OvernightDiscount1_to_10+FedExExrpessEarnedDiscount))*'1Day AM Base'!G3)*(1+ExpressFuelSurcharge),2)))*(1+FedEx_Markup),2)</f>
        <v>46.48</v>
      </c>
      <c r="H6" s="275">
        <f>ROUND((IF(MinBase1AMDay&gt;ROUND(((1-(OvernightDiscount1_to_10+FedExExrpessEarnedDiscount))*'1Day AM Base'!H3),2),ROUND(MinBase1AMDay*(1+ExpressFuelSurcharge),2),ROUND(((1-(OvernightDiscount1_to_10+FedExExrpessEarnedDiscount))*'1Day AM Base'!H3)*(1+ExpressFuelSurcharge),2)))*(1+FedEx_Markup),2)</f>
        <v>47.71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274">
        <v>2.0</v>
      </c>
      <c r="B7" s="275">
        <f>ROUND((IF(MinBase1AMDay&gt;ROUND(((1-(OvernightDiscount1_to_10+FedExExrpessEarnedDiscount))*'1Day AM Base'!B4),2),ROUND(MinBase1AMDay*(1+ExpressFuelSurcharge),2),ROUND(((1-(OvernightDiscount1_to_10+FedExExrpessEarnedDiscount))*'1Day AM Base'!B4)*(1+ExpressFuelSurcharge),2)))*(1+FedEx_Markup),2)</f>
        <v>32.28</v>
      </c>
      <c r="C7" s="275">
        <f>ROUND((IF(MinBase1AMDay&gt;ROUND(((1-(OvernightDiscount1_to_10+FedExExrpessEarnedDiscount))*'1Day AM Base'!C4),2),ROUND(MinBase1AMDay*(1+ExpressFuelSurcharge),2),ROUND(((1-(OvernightDiscount1_to_10+FedExExrpessEarnedDiscount))*'1Day AM Base'!C4)*(1+ExpressFuelSurcharge),2)))*(1+FedEx_Markup),2)</f>
        <v>32.28</v>
      </c>
      <c r="D7" s="275">
        <f>ROUND((IF(MinBase1AMDay&gt;ROUND(((1-(OvernightDiscount1_to_10+FedExExrpessEarnedDiscount))*'1Day AM Base'!D4),2),ROUND(MinBase1AMDay*(1+ExpressFuelSurcharge),2),ROUND(((1-(OvernightDiscount1_to_10+FedExExrpessEarnedDiscount))*'1Day AM Base'!D4)*(1+ExpressFuelSurcharge),2)))*(1+FedEx_Markup),2)</f>
        <v>39.32</v>
      </c>
      <c r="E7" s="275">
        <f>ROUND((IF(MinBase1AMDay&gt;ROUND(((1-(OvernightDiscount1_to_10+FedExExrpessEarnedDiscount))*'1Day AM Base'!E4),2),ROUND(MinBase1AMDay*(1+ExpressFuelSurcharge),2),ROUND(((1-(OvernightDiscount1_to_10+FedExExrpessEarnedDiscount))*'1Day AM Base'!E4)*(1+ExpressFuelSurcharge),2)))*(1+FedEx_Markup),2)</f>
        <v>42.75</v>
      </c>
      <c r="F7" s="275">
        <f>ROUND((IF(MinBase1AMDay&gt;ROUND(((1-(OvernightDiscount1_to_10+FedExExrpessEarnedDiscount))*'1Day AM Base'!F4),2),ROUND(MinBase1AMDay*(1+ExpressFuelSurcharge),2),ROUND(((1-(OvernightDiscount1_to_10+FedExExrpessEarnedDiscount))*'1Day AM Base'!F4)*(1+ExpressFuelSurcharge),2)))*(1+FedEx_Markup),2)</f>
        <v>44.02</v>
      </c>
      <c r="G7" s="275">
        <f>ROUND((IF(MinBase1AMDay&gt;ROUND(((1-(OvernightDiscount1_to_10+FedExExrpessEarnedDiscount))*'1Day AM Base'!G4),2),ROUND(MinBase1AMDay*(1+ExpressFuelSurcharge),2),ROUND(((1-(OvernightDiscount1_to_10+FedExExrpessEarnedDiscount))*'1Day AM Base'!G4)*(1+ExpressFuelSurcharge),2)))*(1+FedEx_Markup),2)</f>
        <v>49.57</v>
      </c>
      <c r="H7" s="275">
        <f>ROUND((IF(MinBase1AMDay&gt;ROUND(((1-(OvernightDiscount1_to_10+FedExExrpessEarnedDiscount))*'1Day AM Base'!H4),2),ROUND(MinBase1AMDay*(1+ExpressFuelSurcharge),2),ROUND(((1-(OvernightDiscount1_to_10+FedExExrpessEarnedDiscount))*'1Day AM Base'!H4)*(1+ExpressFuelSurcharge),2)))*(1+FedEx_Markup),2)</f>
        <v>54.64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274">
        <v>3.0</v>
      </c>
      <c r="B8" s="275">
        <f>ROUND((IF(MinBase1AMDay&gt;ROUND(((1-(OvernightDiscount1_to_10+FedExExrpessEarnedDiscount))*'1Day AM Base'!B5),2),ROUND(MinBase1AMDay*(1+ExpressFuelSurcharge),2),ROUND(((1-(OvernightDiscount1_to_10+FedExExrpessEarnedDiscount))*'1Day AM Base'!B5)*(1+ExpressFuelSurcharge),2)))*(1+FedEx_Markup),2)</f>
        <v>32.28</v>
      </c>
      <c r="C8" s="275">
        <f>ROUND((IF(MinBase1AMDay&gt;ROUND(((1-(OvernightDiscount1_to_10+FedExExrpessEarnedDiscount))*'1Day AM Base'!C5),2),ROUND(MinBase1AMDay*(1+ExpressFuelSurcharge),2),ROUND(((1-(OvernightDiscount1_to_10+FedExExrpessEarnedDiscount))*'1Day AM Base'!C5)*(1+ExpressFuelSurcharge),2)))*(1+FedEx_Markup),2)</f>
        <v>32.28</v>
      </c>
      <c r="D8" s="275">
        <f>ROUND((IF(MinBase1AMDay&gt;ROUND(((1-(OvernightDiscount1_to_10+FedExExrpessEarnedDiscount))*'1Day AM Base'!D5),2),ROUND(MinBase1AMDay*(1+ExpressFuelSurcharge),2),ROUND(((1-(OvernightDiscount1_to_10+FedExExrpessEarnedDiscount))*'1Day AM Base'!D5)*(1+ExpressFuelSurcharge),2)))*(1+FedEx_Markup),2)</f>
        <v>43.54</v>
      </c>
      <c r="E8" s="275">
        <f>ROUND((IF(MinBase1AMDay&gt;ROUND(((1-(OvernightDiscount1_to_10+FedExExrpessEarnedDiscount))*'1Day AM Base'!E5),2),ROUND(MinBase1AMDay*(1+ExpressFuelSurcharge),2),ROUND(((1-(OvernightDiscount1_to_10+FedExExrpessEarnedDiscount))*'1Day AM Base'!E5)*(1+ExpressFuelSurcharge),2)))*(1+FedEx_Markup),2)</f>
        <v>48.85</v>
      </c>
      <c r="F8" s="275">
        <f>ROUND((IF(MinBase1AMDay&gt;ROUND(((1-(OvernightDiscount1_to_10+FedExExrpessEarnedDiscount))*'1Day AM Base'!F5),2),ROUND(MinBase1AMDay*(1+ExpressFuelSurcharge),2),ROUND(((1-(OvernightDiscount1_to_10+FedExExrpessEarnedDiscount))*'1Day AM Base'!F5)*(1+ExpressFuelSurcharge),2)))*(1+FedEx_Markup),2)</f>
        <v>52.53</v>
      </c>
      <c r="G8" s="275">
        <f>ROUND((IF(MinBase1AMDay&gt;ROUND(((1-(OvernightDiscount1_to_10+FedExExrpessEarnedDiscount))*'1Day AM Base'!G5),2),ROUND(MinBase1AMDay*(1+ExpressFuelSurcharge),2),ROUND(((1-(OvernightDiscount1_to_10+FedExExrpessEarnedDiscount))*'1Day AM Base'!G5)*(1+ExpressFuelSurcharge),2)))*(1+FedEx_Markup),2)</f>
        <v>57.68</v>
      </c>
      <c r="H8" s="275">
        <f>ROUND((IF(MinBase1AMDay&gt;ROUND(((1-(OvernightDiscount1_to_10+FedExExrpessEarnedDiscount))*'1Day AM Base'!H5),2),ROUND(MinBase1AMDay*(1+ExpressFuelSurcharge),2),ROUND(((1-(OvernightDiscount1_to_10+FedExExrpessEarnedDiscount))*'1Day AM Base'!H5)*(1+ExpressFuelSurcharge),2)))*(1+FedEx_Markup),2)</f>
        <v>59.73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74">
        <v>4.0</v>
      </c>
      <c r="B9" s="275">
        <f>ROUND((IF(MinBase1AMDay&gt;ROUND(((1-(OvernightDiscount1_to_10+FedExExrpessEarnedDiscount))*'1Day AM Base'!B6),2),ROUND(MinBase1AMDay*(1+ExpressFuelSurcharge),2),ROUND(((1-(OvernightDiscount1_to_10+FedExExrpessEarnedDiscount))*'1Day AM Base'!B6)*(1+ExpressFuelSurcharge),2)))*(1+FedEx_Markup),2)</f>
        <v>32.28</v>
      </c>
      <c r="C9" s="275">
        <f>ROUND((IF(MinBase1AMDay&gt;ROUND(((1-(OvernightDiscount1_to_10+FedExExrpessEarnedDiscount))*'1Day AM Base'!C6),2),ROUND(MinBase1AMDay*(1+ExpressFuelSurcharge),2),ROUND(((1-(OvernightDiscount1_to_10+FedExExrpessEarnedDiscount))*'1Day AM Base'!C6)*(1+ExpressFuelSurcharge),2)))*(1+FedEx_Markup),2)</f>
        <v>32.28</v>
      </c>
      <c r="D9" s="275">
        <f>ROUND((IF(MinBase1AMDay&gt;ROUND(((1-(OvernightDiscount1_to_10+FedExExrpessEarnedDiscount))*'1Day AM Base'!D6),2),ROUND(MinBase1AMDay*(1+ExpressFuelSurcharge),2),ROUND(((1-(OvernightDiscount1_to_10+FedExExrpessEarnedDiscount))*'1Day AM Base'!D6)*(1+ExpressFuelSurcharge),2)))*(1+FedEx_Markup),2)</f>
        <v>48.7</v>
      </c>
      <c r="E9" s="275">
        <f>ROUND((IF(MinBase1AMDay&gt;ROUND(((1-(OvernightDiscount1_to_10+FedExExrpessEarnedDiscount))*'1Day AM Base'!E6),2),ROUND(MinBase1AMDay*(1+ExpressFuelSurcharge),2),ROUND(((1-(OvernightDiscount1_to_10+FedExExrpessEarnedDiscount))*'1Day AM Base'!E6)*(1+ExpressFuelSurcharge),2)))*(1+FedEx_Markup),2)</f>
        <v>53.5</v>
      </c>
      <c r="F9" s="275">
        <f>ROUND((IF(MinBase1AMDay&gt;ROUND(((1-(OvernightDiscount1_to_10+FedExExrpessEarnedDiscount))*'1Day AM Base'!F6),2),ROUND(MinBase1AMDay*(1+ExpressFuelSurcharge),2),ROUND(((1-(OvernightDiscount1_to_10+FedExExrpessEarnedDiscount))*'1Day AM Base'!F6)*(1+ExpressFuelSurcharge),2)))*(1+FedEx_Markup),2)</f>
        <v>55.44</v>
      </c>
      <c r="G9" s="275">
        <f>ROUND((IF(MinBase1AMDay&gt;ROUND(((1-(OvernightDiscount1_to_10+FedExExrpessEarnedDiscount))*'1Day AM Base'!G6),2),ROUND(MinBase1AMDay*(1+ExpressFuelSurcharge),2),ROUND(((1-(OvernightDiscount1_to_10+FedExExrpessEarnedDiscount))*'1Day AM Base'!G6)*(1+ExpressFuelSurcharge),2)))*(1+FedEx_Markup),2)</f>
        <v>62.65</v>
      </c>
      <c r="H9" s="275">
        <f>ROUND((IF(MinBase1AMDay&gt;ROUND(((1-(OvernightDiscount1_to_10+FedExExrpessEarnedDiscount))*'1Day AM Base'!H6),2),ROUND(MinBase1AMDay*(1+ExpressFuelSurcharge),2),ROUND(((1-(OvernightDiscount1_to_10+FedExExrpessEarnedDiscount))*'1Day AM Base'!H6)*(1+ExpressFuelSurcharge),2)))*(1+FedEx_Markup),2)</f>
        <v>65.01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274">
        <v>5.0</v>
      </c>
      <c r="B10" s="275">
        <f>ROUND((IF(MinBase1AMDay&gt;ROUND(((1-(OvernightDiscount1_to_10+FedExExrpessEarnedDiscount))*'1Day AM Base'!B7),2),ROUND(MinBase1AMDay*(1+ExpressFuelSurcharge),2),ROUND(((1-(OvernightDiscount1_to_10+FedExExrpessEarnedDiscount))*'1Day AM Base'!B7)*(1+ExpressFuelSurcharge),2)))*(1+FedEx_Markup),2)</f>
        <v>32.28</v>
      </c>
      <c r="C10" s="275">
        <f>ROUND((IF(MinBase1AMDay&gt;ROUND(((1-(OvernightDiscount1_to_10+FedExExrpessEarnedDiscount))*'1Day AM Base'!C7),2),ROUND(MinBase1AMDay*(1+ExpressFuelSurcharge),2),ROUND(((1-(OvernightDiscount1_to_10+FedExExrpessEarnedDiscount))*'1Day AM Base'!C7)*(1+ExpressFuelSurcharge),2)))*(1+FedEx_Markup),2)</f>
        <v>32.28</v>
      </c>
      <c r="D10" s="275">
        <f>ROUND((IF(MinBase1AMDay&gt;ROUND(((1-(OvernightDiscount1_to_10+FedExExrpessEarnedDiscount))*'1Day AM Base'!D7),2),ROUND(MinBase1AMDay*(1+ExpressFuelSurcharge),2),ROUND(((1-(OvernightDiscount1_to_10+FedExExrpessEarnedDiscount))*'1Day AM Base'!D7)*(1+ExpressFuelSurcharge),2)))*(1+FedEx_Markup),2)</f>
        <v>49.73</v>
      </c>
      <c r="E10" s="275">
        <f>ROUND((IF(MinBase1AMDay&gt;ROUND(((1-(OvernightDiscount1_to_10+FedExExrpessEarnedDiscount))*'1Day AM Base'!E7),2),ROUND(MinBase1AMDay*(1+ExpressFuelSurcharge),2),ROUND(((1-(OvernightDiscount1_to_10+FedExExrpessEarnedDiscount))*'1Day AM Base'!E7)*(1+ExpressFuelSurcharge),2)))*(1+FedEx_Markup),2)</f>
        <v>53.97</v>
      </c>
      <c r="F10" s="275">
        <f>ROUND((IF(MinBase1AMDay&gt;ROUND(((1-(OvernightDiscount1_to_10+FedExExrpessEarnedDiscount))*'1Day AM Base'!F7),2),ROUND(MinBase1AMDay*(1+ExpressFuelSurcharge),2),ROUND(((1-(OvernightDiscount1_to_10+FedExExrpessEarnedDiscount))*'1Day AM Base'!F7)*(1+ExpressFuelSurcharge),2)))*(1+FedEx_Markup),2)</f>
        <v>55.96</v>
      </c>
      <c r="G10" s="275">
        <f>ROUND((IF(MinBase1AMDay&gt;ROUND(((1-(OvernightDiscount1_to_10+FedExExrpessEarnedDiscount))*'1Day AM Base'!G7),2),ROUND(MinBase1AMDay*(1+ExpressFuelSurcharge),2),ROUND(((1-(OvernightDiscount1_to_10+FedExExrpessEarnedDiscount))*'1Day AM Base'!G7)*(1+ExpressFuelSurcharge),2)))*(1+FedEx_Markup),2)</f>
        <v>63.51</v>
      </c>
      <c r="H10" s="275">
        <f>ROUND((IF(MinBase1AMDay&gt;ROUND(((1-(OvernightDiscount1_to_10+FedExExrpessEarnedDiscount))*'1Day AM Base'!H7),2),ROUND(MinBase1AMDay*(1+ExpressFuelSurcharge),2),ROUND(((1-(OvernightDiscount1_to_10+FedExExrpessEarnedDiscount))*'1Day AM Base'!H7)*(1+ExpressFuelSurcharge),2)))*(1+FedEx_Markup),2)</f>
        <v>65.54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274">
        <v>6.0</v>
      </c>
      <c r="B11" s="275">
        <f>ROUND((IF(MinBase1AMDay&gt;ROUND(((1-(OvernightDiscount1_to_10+FedExExrpessEarnedDiscount))*'1Day AM Base'!B8),2),ROUND(MinBase1AMDay*(1+ExpressFuelSurcharge),2),ROUND(((1-(OvernightDiscount1_to_10+FedExExrpessEarnedDiscount))*'1Day AM Base'!B8)*(1+ExpressFuelSurcharge),2)))*(1+FedEx_Markup),2)</f>
        <v>32.28</v>
      </c>
      <c r="C11" s="275">
        <f>ROUND((IF(MinBase1AMDay&gt;ROUND(((1-(OvernightDiscount1_to_10+FedExExrpessEarnedDiscount))*'1Day AM Base'!C8),2),ROUND(MinBase1AMDay*(1+ExpressFuelSurcharge),2),ROUND(((1-(OvernightDiscount1_to_10+FedExExrpessEarnedDiscount))*'1Day AM Base'!C8)*(1+ExpressFuelSurcharge),2)))*(1+FedEx_Markup),2)</f>
        <v>36</v>
      </c>
      <c r="D11" s="275">
        <f>ROUND((IF(MinBase1AMDay&gt;ROUND(((1-(OvernightDiscount1_to_10+FedExExrpessEarnedDiscount))*'1Day AM Base'!D8),2),ROUND(MinBase1AMDay*(1+ExpressFuelSurcharge),2),ROUND(((1-(OvernightDiscount1_to_10+FedExExrpessEarnedDiscount))*'1Day AM Base'!D8)*(1+ExpressFuelSurcharge),2)))*(1+FedEx_Markup),2)</f>
        <v>55.92</v>
      </c>
      <c r="E11" s="275">
        <f>ROUND((IF(MinBase1AMDay&gt;ROUND(((1-(OvernightDiscount1_to_10+FedExExrpessEarnedDiscount))*'1Day AM Base'!E8),2),ROUND(MinBase1AMDay*(1+ExpressFuelSurcharge),2),ROUND(((1-(OvernightDiscount1_to_10+FedExExrpessEarnedDiscount))*'1Day AM Base'!E8)*(1+ExpressFuelSurcharge),2)))*(1+FedEx_Markup),2)</f>
        <v>63.12</v>
      </c>
      <c r="F11" s="275">
        <f>ROUND((IF(MinBase1AMDay&gt;ROUND(((1-(OvernightDiscount1_to_10+FedExExrpessEarnedDiscount))*'1Day AM Base'!F8),2),ROUND(MinBase1AMDay*(1+ExpressFuelSurcharge),2),ROUND(((1-(OvernightDiscount1_to_10+FedExExrpessEarnedDiscount))*'1Day AM Base'!F8)*(1+ExpressFuelSurcharge),2)))*(1+FedEx_Markup),2)</f>
        <v>66.03</v>
      </c>
      <c r="G11" s="275">
        <f>ROUND((IF(MinBase1AMDay&gt;ROUND(((1-(OvernightDiscount1_to_10+FedExExrpessEarnedDiscount))*'1Day AM Base'!G8),2),ROUND(MinBase1AMDay*(1+ExpressFuelSurcharge),2),ROUND(((1-(OvernightDiscount1_to_10+FedExExrpessEarnedDiscount))*'1Day AM Base'!G8)*(1+ExpressFuelSurcharge),2)))*(1+FedEx_Markup),2)</f>
        <v>72.85</v>
      </c>
      <c r="H11" s="275">
        <f>ROUND((IF(MinBase1AMDay&gt;ROUND(((1-(OvernightDiscount1_to_10+FedExExrpessEarnedDiscount))*'1Day AM Base'!H8),2),ROUND(MinBase1AMDay*(1+ExpressFuelSurcharge),2),ROUND(((1-(OvernightDiscount1_to_10+FedExExrpessEarnedDiscount))*'1Day AM Base'!H8)*(1+ExpressFuelSurcharge),2)))*(1+FedEx_Markup),2)</f>
        <v>75.99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4">
        <v>7.0</v>
      </c>
      <c r="B12" s="275">
        <f>ROUND((IF(MinBase1AMDay&gt;ROUND(((1-(OvernightDiscount1_to_10+FedExExrpessEarnedDiscount))*'1Day AM Base'!B9),2),ROUND(MinBase1AMDay*(1+ExpressFuelSurcharge),2),ROUND(((1-(OvernightDiscount1_to_10+FedExExrpessEarnedDiscount))*'1Day AM Base'!B9)*(1+ExpressFuelSurcharge),2)))*(1+FedEx_Markup),2)</f>
        <v>32.28</v>
      </c>
      <c r="C12" s="275">
        <f>ROUND((IF(MinBase1AMDay&gt;ROUND(((1-(OvernightDiscount1_to_10+FedExExrpessEarnedDiscount))*'1Day AM Base'!C9),2),ROUND(MinBase1AMDay*(1+ExpressFuelSurcharge),2),ROUND(((1-(OvernightDiscount1_to_10+FedExExrpessEarnedDiscount))*'1Day AM Base'!C9)*(1+ExpressFuelSurcharge),2)))*(1+FedEx_Markup),2)</f>
        <v>37.88</v>
      </c>
      <c r="D12" s="275">
        <f>ROUND((IF(MinBase1AMDay&gt;ROUND(((1-(OvernightDiscount1_to_10+FedExExrpessEarnedDiscount))*'1Day AM Base'!D9),2),ROUND(MinBase1AMDay*(1+ExpressFuelSurcharge),2),ROUND(((1-(OvernightDiscount1_to_10+FedExExrpessEarnedDiscount))*'1Day AM Base'!D9)*(1+ExpressFuelSurcharge),2)))*(1+FedEx_Markup),2)</f>
        <v>58.42</v>
      </c>
      <c r="E12" s="275">
        <f>ROUND((IF(MinBase1AMDay&gt;ROUND(((1-(OvernightDiscount1_to_10+FedExExrpessEarnedDiscount))*'1Day AM Base'!E9),2),ROUND(MinBase1AMDay*(1+ExpressFuelSurcharge),2),ROUND(((1-(OvernightDiscount1_to_10+FedExExrpessEarnedDiscount))*'1Day AM Base'!E9)*(1+ExpressFuelSurcharge),2)))*(1+FedEx_Markup),2)</f>
        <v>66.24</v>
      </c>
      <c r="F12" s="275">
        <f>ROUND((IF(MinBase1AMDay&gt;ROUND(((1-(OvernightDiscount1_to_10+FedExExrpessEarnedDiscount))*'1Day AM Base'!F9),2),ROUND(MinBase1AMDay*(1+ExpressFuelSurcharge),2),ROUND(((1-(OvernightDiscount1_to_10+FedExExrpessEarnedDiscount))*'1Day AM Base'!F9)*(1+ExpressFuelSurcharge),2)))*(1+FedEx_Markup),2)</f>
        <v>68.75</v>
      </c>
      <c r="G12" s="275">
        <f>ROUND((IF(MinBase1AMDay&gt;ROUND(((1-(OvernightDiscount1_to_10+FedExExrpessEarnedDiscount))*'1Day AM Base'!G9),2),ROUND(MinBase1AMDay*(1+ExpressFuelSurcharge),2),ROUND(((1-(OvernightDiscount1_to_10+FedExExrpessEarnedDiscount))*'1Day AM Base'!G9)*(1+ExpressFuelSurcharge),2)))*(1+FedEx_Markup),2)</f>
        <v>76.04</v>
      </c>
      <c r="H12" s="275">
        <f>ROUND((IF(MinBase1AMDay&gt;ROUND(((1-(OvernightDiscount1_to_10+FedExExrpessEarnedDiscount))*'1Day AM Base'!H9),2),ROUND(MinBase1AMDay*(1+ExpressFuelSurcharge),2),ROUND(((1-(OvernightDiscount1_to_10+FedExExrpessEarnedDiscount))*'1Day AM Base'!H9)*(1+ExpressFuelSurcharge),2)))*(1+FedEx_Markup),2)</f>
        <v>81.19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274">
        <v>8.0</v>
      </c>
      <c r="B13" s="275">
        <f>ROUND((IF(MinBase1AMDay&gt;ROUND(((1-(OvernightDiscount1_to_10+FedExExrpessEarnedDiscount))*'1Day AM Base'!B10),2),ROUND(MinBase1AMDay*(1+ExpressFuelSurcharge),2),ROUND(((1-(OvernightDiscount1_to_10+FedExExrpessEarnedDiscount))*'1Day AM Base'!B10)*(1+ExpressFuelSurcharge),2)))*(1+FedEx_Markup),2)</f>
        <v>32.28</v>
      </c>
      <c r="C13" s="275">
        <f>ROUND((IF(MinBase1AMDay&gt;ROUND(((1-(OvernightDiscount1_to_10+FedExExrpessEarnedDiscount))*'1Day AM Base'!C10),2),ROUND(MinBase1AMDay*(1+ExpressFuelSurcharge),2),ROUND(((1-(OvernightDiscount1_to_10+FedExExrpessEarnedDiscount))*'1Day AM Base'!C10)*(1+ExpressFuelSurcharge),2)))*(1+FedEx_Markup),2)</f>
        <v>38.07</v>
      </c>
      <c r="D13" s="275">
        <f>ROUND((IF(MinBase1AMDay&gt;ROUND(((1-(OvernightDiscount1_to_10+FedExExrpessEarnedDiscount))*'1Day AM Base'!D10),2),ROUND(MinBase1AMDay*(1+ExpressFuelSurcharge),2),ROUND(((1-(OvernightDiscount1_to_10+FedExExrpessEarnedDiscount))*'1Day AM Base'!D10)*(1+ExpressFuelSurcharge),2)))*(1+FedEx_Markup),2)</f>
        <v>60.96</v>
      </c>
      <c r="E13" s="275">
        <f>ROUND((IF(MinBase1AMDay&gt;ROUND(((1-(OvernightDiscount1_to_10+FedExExrpessEarnedDiscount))*'1Day AM Base'!E10),2),ROUND(MinBase1AMDay*(1+ExpressFuelSurcharge),2),ROUND(((1-(OvernightDiscount1_to_10+FedExExrpessEarnedDiscount))*'1Day AM Base'!E10)*(1+ExpressFuelSurcharge),2)))*(1+FedEx_Markup),2)</f>
        <v>68.82</v>
      </c>
      <c r="F13" s="275">
        <f>ROUND((IF(MinBase1AMDay&gt;ROUND(((1-(OvernightDiscount1_to_10+FedExExrpessEarnedDiscount))*'1Day AM Base'!F10),2),ROUND(MinBase1AMDay*(1+ExpressFuelSurcharge),2),ROUND(((1-(OvernightDiscount1_to_10+FedExExrpessEarnedDiscount))*'1Day AM Base'!F10)*(1+ExpressFuelSurcharge),2)))*(1+FedEx_Markup),2)</f>
        <v>71.99</v>
      </c>
      <c r="G13" s="275">
        <f>ROUND((IF(MinBase1AMDay&gt;ROUND(((1-(OvernightDiscount1_to_10+FedExExrpessEarnedDiscount))*'1Day AM Base'!G10),2),ROUND(MinBase1AMDay*(1+ExpressFuelSurcharge),2),ROUND(((1-(OvernightDiscount1_to_10+FedExExrpessEarnedDiscount))*'1Day AM Base'!G10)*(1+ExpressFuelSurcharge),2)))*(1+FedEx_Markup),2)</f>
        <v>80.53</v>
      </c>
      <c r="H13" s="275">
        <f>ROUND((IF(MinBase1AMDay&gt;ROUND(((1-(OvernightDiscount1_to_10+FedExExrpessEarnedDiscount))*'1Day AM Base'!H10),2),ROUND(MinBase1AMDay*(1+ExpressFuelSurcharge),2),ROUND(((1-(OvernightDiscount1_to_10+FedExExrpessEarnedDiscount))*'1Day AM Base'!H10)*(1+ExpressFuelSurcharge),2)))*(1+FedEx_Markup),2)</f>
        <v>83.71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274">
        <v>9.0</v>
      </c>
      <c r="B14" s="275">
        <f>ROUND((IF(MinBase1AMDay&gt;ROUND(((1-(OvernightDiscount1_to_10+FedExExrpessEarnedDiscount))*'1Day AM Base'!B11),2),ROUND(MinBase1AMDay*(1+ExpressFuelSurcharge),2),ROUND(((1-(OvernightDiscount1_to_10+FedExExrpessEarnedDiscount))*'1Day AM Base'!B11)*(1+ExpressFuelSurcharge),2)))*(1+FedEx_Markup),2)</f>
        <v>32.28</v>
      </c>
      <c r="C14" s="275">
        <f>ROUND((IF(MinBase1AMDay&gt;ROUND(((1-(OvernightDiscount1_to_10+FedExExrpessEarnedDiscount))*'1Day AM Base'!C11),2),ROUND(MinBase1AMDay*(1+ExpressFuelSurcharge),2),ROUND(((1-(OvernightDiscount1_to_10+FedExExrpessEarnedDiscount))*'1Day AM Base'!C11)*(1+ExpressFuelSurcharge),2)))*(1+FedEx_Markup),2)</f>
        <v>38.33</v>
      </c>
      <c r="D14" s="275">
        <f>ROUND((IF(MinBase1AMDay&gt;ROUND(((1-(OvernightDiscount1_to_10+FedExExrpessEarnedDiscount))*'1Day AM Base'!D11),2),ROUND(MinBase1AMDay*(1+ExpressFuelSurcharge),2),ROUND(((1-(OvernightDiscount1_to_10+FedExExrpessEarnedDiscount))*'1Day AM Base'!D11)*(1+ExpressFuelSurcharge),2)))*(1+FedEx_Markup),2)</f>
        <v>63.12</v>
      </c>
      <c r="E14" s="275">
        <f>ROUND((IF(MinBase1AMDay&gt;ROUND(((1-(OvernightDiscount1_to_10+FedExExrpessEarnedDiscount))*'1Day AM Base'!E11),2),ROUND(MinBase1AMDay*(1+ExpressFuelSurcharge),2),ROUND(((1-(OvernightDiscount1_to_10+FedExExrpessEarnedDiscount))*'1Day AM Base'!E11)*(1+ExpressFuelSurcharge),2)))*(1+FedEx_Markup),2)</f>
        <v>69.07</v>
      </c>
      <c r="F14" s="275">
        <f>ROUND((IF(MinBase1AMDay&gt;ROUND(((1-(OvernightDiscount1_to_10+FedExExrpessEarnedDiscount))*'1Day AM Base'!F11),2),ROUND(MinBase1AMDay*(1+ExpressFuelSurcharge),2),ROUND(((1-(OvernightDiscount1_to_10+FedExExrpessEarnedDiscount))*'1Day AM Base'!F11)*(1+ExpressFuelSurcharge),2)))*(1+FedEx_Markup),2)</f>
        <v>72.31</v>
      </c>
      <c r="G14" s="275">
        <f>ROUND((IF(MinBase1AMDay&gt;ROUND(((1-(OvernightDiscount1_to_10+FedExExrpessEarnedDiscount))*'1Day AM Base'!G11),2),ROUND(MinBase1AMDay*(1+ExpressFuelSurcharge),2),ROUND(((1-(OvernightDiscount1_to_10+FedExExrpessEarnedDiscount))*'1Day AM Base'!G11)*(1+ExpressFuelSurcharge),2)))*(1+FedEx_Markup),2)</f>
        <v>80.98</v>
      </c>
      <c r="H14" s="275">
        <f>ROUND((IF(MinBase1AMDay&gt;ROUND(((1-(OvernightDiscount1_to_10+FedExExrpessEarnedDiscount))*'1Day AM Base'!H11),2),ROUND(MinBase1AMDay*(1+ExpressFuelSurcharge),2),ROUND(((1-(OvernightDiscount1_to_10+FedExExrpessEarnedDiscount))*'1Day AM Base'!H11)*(1+ExpressFuelSurcharge),2)))*(1+FedEx_Markup),2)</f>
        <v>83.97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274">
        <v>10.0</v>
      </c>
      <c r="B15" s="275">
        <f>ROUND((IF(MinBase1AMDay&gt;ROUND(((1-(OvernightDiscount1_to_10+FedExExrpessEarnedDiscount))*'1Day AM Base'!B12),2),ROUND(MinBase1AMDay*(1+ExpressFuelSurcharge),2),ROUND(((1-(OvernightDiscount1_to_10+FedExExrpessEarnedDiscount))*'1Day AM Base'!B12)*(1+ExpressFuelSurcharge),2)))*(1+FedEx_Markup),2)</f>
        <v>32.28</v>
      </c>
      <c r="C15" s="275">
        <f>ROUND((IF(MinBase1AMDay&gt;ROUND(((1-(OvernightDiscount1_to_10+FedExExrpessEarnedDiscount))*'1Day AM Base'!C12),2),ROUND(MinBase1AMDay*(1+ExpressFuelSurcharge),2),ROUND(((1-(OvernightDiscount1_to_10+FedExExrpessEarnedDiscount))*'1Day AM Base'!C12)*(1+ExpressFuelSurcharge),2)))*(1+FedEx_Markup),2)</f>
        <v>38.82</v>
      </c>
      <c r="D15" s="275">
        <f>ROUND((IF(MinBase1AMDay&gt;ROUND(((1-(OvernightDiscount1_to_10+FedExExrpessEarnedDiscount))*'1Day AM Base'!D12),2),ROUND(MinBase1AMDay*(1+ExpressFuelSurcharge),2),ROUND(((1-(OvernightDiscount1_to_10+FedExExrpessEarnedDiscount))*'1Day AM Base'!D12)*(1+ExpressFuelSurcharge),2)))*(1+FedEx_Markup),2)</f>
        <v>63.84</v>
      </c>
      <c r="E15" s="275">
        <f>ROUND((IF(MinBase1AMDay&gt;ROUND(((1-(OvernightDiscount1_to_10+FedExExrpessEarnedDiscount))*'1Day AM Base'!E12),2),ROUND(MinBase1AMDay*(1+ExpressFuelSurcharge),2),ROUND(((1-(OvernightDiscount1_to_10+FedExExrpessEarnedDiscount))*'1Day AM Base'!E12)*(1+ExpressFuelSurcharge),2)))*(1+FedEx_Markup),2)</f>
        <v>70.04</v>
      </c>
      <c r="F15" s="275">
        <f>ROUND((IF(MinBase1AMDay&gt;ROUND(((1-(OvernightDiscount1_to_10+FedExExrpessEarnedDiscount))*'1Day AM Base'!F12),2),ROUND(MinBase1AMDay*(1+ExpressFuelSurcharge),2),ROUND(((1-(OvernightDiscount1_to_10+FedExExrpessEarnedDiscount))*'1Day AM Base'!F12)*(1+ExpressFuelSurcharge),2)))*(1+FedEx_Markup),2)</f>
        <v>73.32</v>
      </c>
      <c r="G15" s="275">
        <f>ROUND((IF(MinBase1AMDay&gt;ROUND(((1-(OvernightDiscount1_to_10+FedExExrpessEarnedDiscount))*'1Day AM Base'!G12),2),ROUND(MinBase1AMDay*(1+ExpressFuelSurcharge),2),ROUND(((1-(OvernightDiscount1_to_10+FedExExrpessEarnedDiscount))*'1Day AM Base'!G12)*(1+ExpressFuelSurcharge),2)))*(1+FedEx_Markup),2)</f>
        <v>81.77</v>
      </c>
      <c r="H15" s="275">
        <f>ROUND((IF(MinBase1AMDay&gt;ROUND(((1-(OvernightDiscount1_to_10+FedExExrpessEarnedDiscount))*'1Day AM Base'!H12),2),ROUND(MinBase1AMDay*(1+ExpressFuelSurcharge),2),ROUND(((1-(OvernightDiscount1_to_10+FedExExrpessEarnedDiscount))*'1Day AM Base'!H12)*(1+ExpressFuelSurcharge),2)))*(1+FedEx_Markup),2)</f>
        <v>84.71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274">
        <v>11.0</v>
      </c>
      <c r="B16" s="275">
        <f>ROUND((IF(MinBase1AMDay&gt;ROUND(((1-(OverNightDiscount_11_to_20+FedExExrpessEarnedDiscount))*'1Day AM Base'!B13),2),ROUND(MinBase1AMDay*(1+ExpressFuelSurcharge),2),ROUND(((1-(OverNightDiscount_11_to_20+FedExExrpessEarnedDiscount))*'1Day AM Base'!B13)*(1+ExpressFuelSurcharge),2)))*(1+FedEx_Markup),2)</f>
        <v>32.28</v>
      </c>
      <c r="C16" s="275">
        <f>ROUND((IF(MinBase1AMDay&gt;ROUND(((1-(OverNightDiscount_11_to_20+FedExExrpessEarnedDiscount))*'1Day AM Base'!C13),2),ROUND(MinBase1AMDay*(1+ExpressFuelSurcharge),2),ROUND(((1-(OverNightDiscount_11_to_20+FedExExrpessEarnedDiscount))*'1Day AM Base'!C13)*(1+ExpressFuelSurcharge),2)))*(1+FedEx_Markup),2)</f>
        <v>44.33</v>
      </c>
      <c r="D16" s="275">
        <f>ROUND((IF(MinBase1AMDay&gt;ROUND(((1-(OverNightDiscount_11_to_20+FedExExrpessEarnedDiscount))*'1Day AM Base'!D13),2),ROUND(MinBase1AMDay*(1+ExpressFuelSurcharge),2),ROUND(((1-(OverNightDiscount_11_to_20+FedExExrpessEarnedDiscount))*'1Day AM Base'!D13)*(1+ExpressFuelSurcharge),2)))*(1+FedEx_Markup),2)</f>
        <v>75.52</v>
      </c>
      <c r="E16" s="275">
        <f>ROUND((IF(MinBase1AMDay&gt;ROUND(((1-(OverNightDiscount_11_to_20+FedExExrpessEarnedDiscount))*'1Day AM Base'!E13),2),ROUND(MinBase1AMDay*(1+ExpressFuelSurcharge),2),ROUND(((1-(OverNightDiscount_11_to_20+FedExExrpessEarnedDiscount))*'1Day AM Base'!E13)*(1+ExpressFuelSurcharge),2)))*(1+FedEx_Markup),2)</f>
        <v>86.58</v>
      </c>
      <c r="F16" s="275">
        <f>ROUND((IF(MinBase1AMDay&gt;ROUND(((1-(OverNightDiscount_11_to_20+FedExExrpessEarnedDiscount))*'1Day AM Base'!F13),2),ROUND(MinBase1AMDay*(1+ExpressFuelSurcharge),2),ROUND(((1-(OverNightDiscount_11_to_20+FedExExrpessEarnedDiscount))*'1Day AM Base'!F13)*(1+ExpressFuelSurcharge),2)))*(1+FedEx_Markup),2)</f>
        <v>90.41</v>
      </c>
      <c r="G16" s="275">
        <f>ROUND((IF(MinBase1AMDay&gt;ROUND(((1-(OverNightDiscount_11_to_20+FedExExrpessEarnedDiscount))*'1Day AM Base'!G13),2),ROUND(MinBase1AMDay*(1+ExpressFuelSurcharge),2),ROUND(((1-(OverNightDiscount_11_to_20+FedExExrpessEarnedDiscount))*'1Day AM Base'!G13)*(1+ExpressFuelSurcharge),2)))*(1+FedEx_Markup),2)</f>
        <v>94.46</v>
      </c>
      <c r="H16" s="275">
        <f>ROUND((IF(MinBase1AMDay&gt;ROUND(((1-(OverNightDiscount_11_to_20+FedExExrpessEarnedDiscount))*'1Day AM Base'!H13),2),ROUND(MinBase1AMDay*(1+ExpressFuelSurcharge),2),ROUND(((1-(OverNightDiscount_11_to_20+FedExExrpessEarnedDiscount))*'1Day AM Base'!H13)*(1+ExpressFuelSurcharge),2)))*(1+FedEx_Markup),2)</f>
        <v>96.36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274">
        <v>12.0</v>
      </c>
      <c r="B17" s="275">
        <f>ROUND((IF(MinBase1AMDay&gt;ROUND(((1-(OverNightDiscount_11_to_20+FedExExrpessEarnedDiscount))*'1Day AM Base'!B14),2),ROUND(MinBase1AMDay*(1+ExpressFuelSurcharge),2),ROUND(((1-(OverNightDiscount_11_to_20+FedExExrpessEarnedDiscount))*'1Day AM Base'!B14)*(1+ExpressFuelSurcharge),2)))*(1+FedEx_Markup),2)</f>
        <v>32.28</v>
      </c>
      <c r="C17" s="275">
        <f>ROUND((IF(MinBase1AMDay&gt;ROUND(((1-(OverNightDiscount_11_to_20+FedExExrpessEarnedDiscount))*'1Day AM Base'!C14),2),ROUND(MinBase1AMDay*(1+ExpressFuelSurcharge),2),ROUND(((1-(OverNightDiscount_11_to_20+FedExExrpessEarnedDiscount))*'1Day AM Base'!C14)*(1+ExpressFuelSurcharge),2)))*(1+FedEx_Markup),2)</f>
        <v>45.8</v>
      </c>
      <c r="D17" s="275">
        <f>ROUND((IF(MinBase1AMDay&gt;ROUND(((1-(OverNightDiscount_11_to_20+FedExExrpessEarnedDiscount))*'1Day AM Base'!D14),2),ROUND(MinBase1AMDay*(1+ExpressFuelSurcharge),2),ROUND(((1-(OverNightDiscount_11_to_20+FedExExrpessEarnedDiscount))*'1Day AM Base'!D14)*(1+ExpressFuelSurcharge),2)))*(1+FedEx_Markup),2)</f>
        <v>77.21</v>
      </c>
      <c r="E17" s="275">
        <f>ROUND((IF(MinBase1AMDay&gt;ROUND(((1-(OverNightDiscount_11_to_20+FedExExrpessEarnedDiscount))*'1Day AM Base'!E14),2),ROUND(MinBase1AMDay*(1+ExpressFuelSurcharge),2),ROUND(((1-(OverNightDiscount_11_to_20+FedExExrpessEarnedDiscount))*'1Day AM Base'!E14)*(1+ExpressFuelSurcharge),2)))*(1+FedEx_Markup),2)</f>
        <v>90.68</v>
      </c>
      <c r="F17" s="275">
        <f>ROUND((IF(MinBase1AMDay&gt;ROUND(((1-(OverNightDiscount_11_to_20+FedExExrpessEarnedDiscount))*'1Day AM Base'!F14),2),ROUND(MinBase1AMDay*(1+ExpressFuelSurcharge),2),ROUND(((1-(OverNightDiscount_11_to_20+FedExExrpessEarnedDiscount))*'1Day AM Base'!F14)*(1+ExpressFuelSurcharge),2)))*(1+FedEx_Markup),2)</f>
        <v>94.24</v>
      </c>
      <c r="G17" s="275">
        <f>ROUND((IF(MinBase1AMDay&gt;ROUND(((1-(OverNightDiscount_11_to_20+FedExExrpessEarnedDiscount))*'1Day AM Base'!G14),2),ROUND(MinBase1AMDay*(1+ExpressFuelSurcharge),2),ROUND(((1-(OverNightDiscount_11_to_20+FedExExrpessEarnedDiscount))*'1Day AM Base'!G14)*(1+ExpressFuelSurcharge),2)))*(1+FedEx_Markup),2)</f>
        <v>96.44</v>
      </c>
      <c r="H17" s="275">
        <f>ROUND((IF(MinBase1AMDay&gt;ROUND(((1-(OverNightDiscount_11_to_20+FedExExrpessEarnedDiscount))*'1Day AM Base'!H14),2),ROUND(MinBase1AMDay*(1+ExpressFuelSurcharge),2),ROUND(((1-(OverNightDiscount_11_to_20+FedExExrpessEarnedDiscount))*'1Day AM Base'!H14)*(1+ExpressFuelSurcharge),2)))*(1+FedEx_Markup),2)</f>
        <v>98.38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274">
        <v>13.0</v>
      </c>
      <c r="B18" s="275">
        <f>ROUND((IF(MinBase1AMDay&gt;ROUND(((1-(OverNightDiscount_11_to_20+FedExExrpessEarnedDiscount))*'1Day AM Base'!B15),2),ROUND(MinBase1AMDay*(1+ExpressFuelSurcharge),2),ROUND(((1-(OverNightDiscount_11_to_20+FedExExrpessEarnedDiscount))*'1Day AM Base'!B15)*(1+ExpressFuelSurcharge),2)))*(1+FedEx_Markup),2)</f>
        <v>32.28</v>
      </c>
      <c r="C18" s="275">
        <f>ROUND((IF(MinBase1AMDay&gt;ROUND(((1-(OverNightDiscount_11_to_20+FedExExrpessEarnedDiscount))*'1Day AM Base'!C15),2),ROUND(MinBase1AMDay*(1+ExpressFuelSurcharge),2),ROUND(((1-(OverNightDiscount_11_to_20+FedExExrpessEarnedDiscount))*'1Day AM Base'!C15)*(1+ExpressFuelSurcharge),2)))*(1+FedEx_Markup),2)</f>
        <v>46.25</v>
      </c>
      <c r="D18" s="275">
        <f>ROUND((IF(MinBase1AMDay&gt;ROUND(((1-(OverNightDiscount_11_to_20+FedExExrpessEarnedDiscount))*'1Day AM Base'!D15),2),ROUND(MinBase1AMDay*(1+ExpressFuelSurcharge),2),ROUND(((1-(OverNightDiscount_11_to_20+FedExExrpessEarnedDiscount))*'1Day AM Base'!D15)*(1+ExpressFuelSurcharge),2)))*(1+FedEx_Markup),2)</f>
        <v>78.95</v>
      </c>
      <c r="E18" s="275">
        <f>ROUND((IF(MinBase1AMDay&gt;ROUND(((1-(OverNightDiscount_11_to_20+FedExExrpessEarnedDiscount))*'1Day AM Base'!E15),2),ROUND(MinBase1AMDay*(1+ExpressFuelSurcharge),2),ROUND(((1-(OverNightDiscount_11_to_20+FedExExrpessEarnedDiscount))*'1Day AM Base'!E15)*(1+ExpressFuelSurcharge),2)))*(1+FedEx_Markup),2)</f>
        <v>92.69</v>
      </c>
      <c r="F18" s="275">
        <f>ROUND((IF(MinBase1AMDay&gt;ROUND(((1-(OverNightDiscount_11_to_20+FedExExrpessEarnedDiscount))*'1Day AM Base'!F15),2),ROUND(MinBase1AMDay*(1+ExpressFuelSurcharge),2),ROUND(((1-(OverNightDiscount_11_to_20+FedExExrpessEarnedDiscount))*'1Day AM Base'!F15)*(1+ExpressFuelSurcharge),2)))*(1+FedEx_Markup),2)</f>
        <v>94.63</v>
      </c>
      <c r="G18" s="275">
        <f>ROUND((IF(MinBase1AMDay&gt;ROUND(((1-(OverNightDiscount_11_to_20+FedExExrpessEarnedDiscount))*'1Day AM Base'!G15),2),ROUND(MinBase1AMDay*(1+ExpressFuelSurcharge),2),ROUND(((1-(OverNightDiscount_11_to_20+FedExExrpessEarnedDiscount))*'1Day AM Base'!G15)*(1+ExpressFuelSurcharge),2)))*(1+FedEx_Markup),2)</f>
        <v>105.01</v>
      </c>
      <c r="H18" s="275">
        <f>ROUND((IF(MinBase1AMDay&gt;ROUND(((1-(OverNightDiscount_11_to_20+FedExExrpessEarnedDiscount))*'1Day AM Base'!H15),2),ROUND(MinBase1AMDay*(1+ExpressFuelSurcharge),2),ROUND(((1-(OverNightDiscount_11_to_20+FedExExrpessEarnedDiscount))*'1Day AM Base'!H15)*(1+ExpressFuelSurcharge),2)))*(1+FedEx_Markup),2)</f>
        <v>107.11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274">
        <v>14.0</v>
      </c>
      <c r="B19" s="275">
        <f>ROUND((IF(MinBase1AMDay&gt;ROUND(((1-(OverNightDiscount_11_to_20+FedExExrpessEarnedDiscount))*'1Day AM Base'!B16),2),ROUND(MinBase1AMDay*(1+ExpressFuelSurcharge),2),ROUND(((1-(OverNightDiscount_11_to_20+FedExExrpessEarnedDiscount))*'1Day AM Base'!B16)*(1+ExpressFuelSurcharge),2)))*(1+FedEx_Markup),2)</f>
        <v>32.52</v>
      </c>
      <c r="C19" s="275">
        <f>ROUND((IF(MinBase1AMDay&gt;ROUND(((1-(OverNightDiscount_11_to_20+FedExExrpessEarnedDiscount))*'1Day AM Base'!C16),2),ROUND(MinBase1AMDay*(1+ExpressFuelSurcharge),2),ROUND(((1-(OverNightDiscount_11_to_20+FedExExrpessEarnedDiscount))*'1Day AM Base'!C16)*(1+ExpressFuelSurcharge),2)))*(1+FedEx_Markup),2)</f>
        <v>46.82</v>
      </c>
      <c r="D19" s="275">
        <f>ROUND((IF(MinBase1AMDay&gt;ROUND(((1-(OverNightDiscount_11_to_20+FedExExrpessEarnedDiscount))*'1Day AM Base'!D16),2),ROUND(MinBase1AMDay*(1+ExpressFuelSurcharge),2),ROUND(((1-(OverNightDiscount_11_to_20+FedExExrpessEarnedDiscount))*'1Day AM Base'!D16)*(1+ExpressFuelSurcharge),2)))*(1+FedEx_Markup),2)</f>
        <v>82.41</v>
      </c>
      <c r="E19" s="275">
        <f>ROUND((IF(MinBase1AMDay&gt;ROUND(((1-(OverNightDiscount_11_to_20+FedExExrpessEarnedDiscount))*'1Day AM Base'!E16),2),ROUND(MinBase1AMDay*(1+ExpressFuelSurcharge),2),ROUND(((1-(OverNightDiscount_11_to_20+FedExExrpessEarnedDiscount))*'1Day AM Base'!E16)*(1+ExpressFuelSurcharge),2)))*(1+FedEx_Markup),2)</f>
        <v>92.9</v>
      </c>
      <c r="F19" s="275">
        <f>ROUND((IF(MinBase1AMDay&gt;ROUND(((1-(OverNightDiscount_11_to_20+FedExExrpessEarnedDiscount))*'1Day AM Base'!F16),2),ROUND(MinBase1AMDay*(1+ExpressFuelSurcharge),2),ROUND(((1-(OverNightDiscount_11_to_20+FedExExrpessEarnedDiscount))*'1Day AM Base'!F16)*(1+ExpressFuelSurcharge),2)))*(1+FedEx_Markup),2)</f>
        <v>94.76</v>
      </c>
      <c r="G19" s="275">
        <f>ROUND((IF(MinBase1AMDay&gt;ROUND(((1-(OverNightDiscount_11_to_20+FedExExrpessEarnedDiscount))*'1Day AM Base'!G16),2),ROUND(MinBase1AMDay*(1+ExpressFuelSurcharge),2),ROUND(((1-(OverNightDiscount_11_to_20+FedExExrpessEarnedDiscount))*'1Day AM Base'!G16)*(1+ExpressFuelSurcharge),2)))*(1+FedEx_Markup),2)</f>
        <v>105.87</v>
      </c>
      <c r="H19" s="275">
        <f>ROUND((IF(MinBase1AMDay&gt;ROUND(((1-(OverNightDiscount_11_to_20+FedExExrpessEarnedDiscount))*'1Day AM Base'!H16),2),ROUND(MinBase1AMDay*(1+ExpressFuelSurcharge),2),ROUND(((1-(OverNightDiscount_11_to_20+FedExExrpessEarnedDiscount))*'1Day AM Base'!H16)*(1+ExpressFuelSurcharge),2)))*(1+FedEx_Markup),2)</f>
        <v>107.99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274">
        <v>15.0</v>
      </c>
      <c r="B20" s="275">
        <f>ROUND((IF(MinBase1AMDay&gt;ROUND(((1-(OverNightDiscount_11_to_20+FedExExrpessEarnedDiscount))*'1Day AM Base'!B17),2),ROUND(MinBase1AMDay*(1+ExpressFuelSurcharge),2),ROUND(((1-(OverNightDiscount_11_to_20+FedExExrpessEarnedDiscount))*'1Day AM Base'!B17)*(1+ExpressFuelSurcharge),2)))*(1+FedEx_Markup),2)</f>
        <v>32.64</v>
      </c>
      <c r="C20" s="275">
        <f>ROUND((IF(MinBase1AMDay&gt;ROUND(((1-(OverNightDiscount_11_to_20+FedExExrpessEarnedDiscount))*'1Day AM Base'!C17),2),ROUND(MinBase1AMDay*(1+ExpressFuelSurcharge),2),ROUND(((1-(OverNightDiscount_11_to_20+FedExExrpessEarnedDiscount))*'1Day AM Base'!C17)*(1+ExpressFuelSurcharge),2)))*(1+FedEx_Markup),2)</f>
        <v>47.09</v>
      </c>
      <c r="D20" s="275">
        <f>ROUND((IF(MinBase1AMDay&gt;ROUND(((1-(OverNightDiscount_11_to_20+FedExExrpessEarnedDiscount))*'1Day AM Base'!D17),2),ROUND(MinBase1AMDay*(1+ExpressFuelSurcharge),2),ROUND(((1-(OverNightDiscount_11_to_20+FedExExrpessEarnedDiscount))*'1Day AM Base'!D17)*(1+ExpressFuelSurcharge),2)))*(1+FedEx_Markup),2)</f>
        <v>83.85</v>
      </c>
      <c r="E20" s="275">
        <f>ROUND((IF(MinBase1AMDay&gt;ROUND(((1-(OverNightDiscount_11_to_20+FedExExrpessEarnedDiscount))*'1Day AM Base'!E17),2),ROUND(MinBase1AMDay*(1+ExpressFuelSurcharge),2),ROUND(((1-(OverNightDiscount_11_to_20+FedExExrpessEarnedDiscount))*'1Day AM Base'!E17)*(1+ExpressFuelSurcharge),2)))*(1+FedEx_Markup),2)</f>
        <v>93.48</v>
      </c>
      <c r="F20" s="275">
        <f>ROUND((IF(MinBase1AMDay&gt;ROUND(((1-(OverNightDiscount_11_to_20+FedExExrpessEarnedDiscount))*'1Day AM Base'!F17),2),ROUND(MinBase1AMDay*(1+ExpressFuelSurcharge),2),ROUND(((1-(OverNightDiscount_11_to_20+FedExExrpessEarnedDiscount))*'1Day AM Base'!F17)*(1+ExpressFuelSurcharge),2)))*(1+FedEx_Markup),2)</f>
        <v>95.36</v>
      </c>
      <c r="G20" s="275">
        <f>ROUND((IF(MinBase1AMDay&gt;ROUND(((1-(OverNightDiscount_11_to_20+FedExExrpessEarnedDiscount))*'1Day AM Base'!G17),2),ROUND(MinBase1AMDay*(1+ExpressFuelSurcharge),2),ROUND(((1-(OverNightDiscount_11_to_20+FedExExrpessEarnedDiscount))*'1Day AM Base'!G17)*(1+ExpressFuelSurcharge),2)))*(1+FedEx_Markup),2)</f>
        <v>106.41</v>
      </c>
      <c r="H20" s="275">
        <f>ROUND((IF(MinBase1AMDay&gt;ROUND(((1-(OverNightDiscount_11_to_20+FedExExrpessEarnedDiscount))*'1Day AM Base'!H17),2),ROUND(MinBase1AMDay*(1+ExpressFuelSurcharge),2),ROUND(((1-(OverNightDiscount_11_to_20+FedExExrpessEarnedDiscount))*'1Day AM Base'!H17)*(1+ExpressFuelSurcharge),2)))*(1+FedEx_Markup),2)</f>
        <v>108.54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274">
        <v>16.0</v>
      </c>
      <c r="B21" s="275">
        <f>ROUND((IF(MinBase1AMDay&gt;ROUND(((1-(OverNightDiscount_11_to_20+FedExExrpessEarnedDiscount))*'1Day AM Base'!B18),2),ROUND(MinBase1AMDay*(1+ExpressFuelSurcharge),2),ROUND(((1-(OverNightDiscount_11_to_20+FedExExrpessEarnedDiscount))*'1Day AM Base'!B18)*(1+ExpressFuelSurcharge),2)))*(1+FedEx_Markup),2)</f>
        <v>34.75</v>
      </c>
      <c r="C21" s="275">
        <f>ROUND((IF(MinBase1AMDay&gt;ROUND(((1-(OverNightDiscount_11_to_20+FedExExrpessEarnedDiscount))*'1Day AM Base'!C18),2),ROUND(MinBase1AMDay*(1+ExpressFuelSurcharge),2),ROUND(((1-(OverNightDiscount_11_to_20+FedExExrpessEarnedDiscount))*'1Day AM Base'!C18)*(1+ExpressFuelSurcharge),2)))*(1+FedEx_Markup),2)</f>
        <v>52.74</v>
      </c>
      <c r="D21" s="275">
        <f>ROUND((IF(MinBase1AMDay&gt;ROUND(((1-(OverNightDiscount_11_to_20+FedExExrpessEarnedDiscount))*'1Day AM Base'!D18),2),ROUND(MinBase1AMDay*(1+ExpressFuelSurcharge),2),ROUND(((1-(OverNightDiscount_11_to_20+FedExExrpessEarnedDiscount))*'1Day AM Base'!D18)*(1+ExpressFuelSurcharge),2)))*(1+FedEx_Markup),2)</f>
        <v>89.75</v>
      </c>
      <c r="E21" s="275">
        <f>ROUND((IF(MinBase1AMDay&gt;ROUND(((1-(OverNightDiscount_11_to_20+FedExExrpessEarnedDiscount))*'1Day AM Base'!E18),2),ROUND(MinBase1AMDay*(1+ExpressFuelSurcharge),2),ROUND(((1-(OverNightDiscount_11_to_20+FedExExrpessEarnedDiscount))*'1Day AM Base'!E18)*(1+ExpressFuelSurcharge),2)))*(1+FedEx_Markup),2)</f>
        <v>105.14</v>
      </c>
      <c r="F21" s="275">
        <f>ROUND((IF(MinBase1AMDay&gt;ROUND(((1-(OverNightDiscount_11_to_20+FedExExrpessEarnedDiscount))*'1Day AM Base'!F18),2),ROUND(MinBase1AMDay*(1+ExpressFuelSurcharge),2),ROUND(((1-(OverNightDiscount_11_to_20+FedExExrpessEarnedDiscount))*'1Day AM Base'!F18)*(1+ExpressFuelSurcharge),2)))*(1+FedEx_Markup),2)</f>
        <v>107.25</v>
      </c>
      <c r="G21" s="275">
        <f>ROUND((IF(MinBase1AMDay&gt;ROUND(((1-(OverNightDiscount_11_to_20+FedExExrpessEarnedDiscount))*'1Day AM Base'!G18),2),ROUND(MinBase1AMDay*(1+ExpressFuelSurcharge),2),ROUND(((1-(OverNightDiscount_11_to_20+FedExExrpessEarnedDiscount))*'1Day AM Base'!G18)*(1+ExpressFuelSurcharge),2)))*(1+FedEx_Markup),2)</f>
        <v>117.17</v>
      </c>
      <c r="H21" s="275">
        <f>ROUND((IF(MinBase1AMDay&gt;ROUND(((1-(OverNightDiscount_11_to_20+FedExExrpessEarnedDiscount))*'1Day AM Base'!H18),2),ROUND(MinBase1AMDay*(1+ExpressFuelSurcharge),2),ROUND(((1-(OverNightDiscount_11_to_20+FedExExrpessEarnedDiscount))*'1Day AM Base'!H18)*(1+ExpressFuelSurcharge),2)))*(1+FedEx_Markup),2)</f>
        <v>119.52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274">
        <v>17.0</v>
      </c>
      <c r="B22" s="275">
        <f>ROUND((IF(MinBase1AMDay&gt;ROUND(((1-(OverNightDiscount_11_to_20+FedExExrpessEarnedDiscount))*'1Day AM Base'!B19),2),ROUND(MinBase1AMDay*(1+ExpressFuelSurcharge),2),ROUND(((1-(OverNightDiscount_11_to_20+FedExExrpessEarnedDiscount))*'1Day AM Base'!B19)*(1+ExpressFuelSurcharge),2)))*(1+FedEx_Markup),2)</f>
        <v>36.75</v>
      </c>
      <c r="C22" s="275">
        <f>ROUND((IF(MinBase1AMDay&gt;ROUND(((1-(OverNightDiscount_11_to_20+FedExExrpessEarnedDiscount))*'1Day AM Base'!C19),2),ROUND(MinBase1AMDay*(1+ExpressFuelSurcharge),2),ROUND(((1-(OverNightDiscount_11_to_20+FedExExrpessEarnedDiscount))*'1Day AM Base'!C19)*(1+ExpressFuelSurcharge),2)))*(1+FedEx_Markup),2)</f>
        <v>53.3</v>
      </c>
      <c r="D22" s="275">
        <f>ROUND((IF(MinBase1AMDay&gt;ROUND(((1-(OverNightDiscount_11_to_20+FedExExrpessEarnedDiscount))*'1Day AM Base'!D19),2),ROUND(MinBase1AMDay*(1+ExpressFuelSurcharge),2),ROUND(((1-(OverNightDiscount_11_to_20+FedExExrpessEarnedDiscount))*'1Day AM Base'!D19)*(1+ExpressFuelSurcharge),2)))*(1+FedEx_Markup),2)</f>
        <v>94.75</v>
      </c>
      <c r="E22" s="275">
        <f>ROUND((IF(MinBase1AMDay&gt;ROUND(((1-(OverNightDiscount_11_to_20+FedExExrpessEarnedDiscount))*'1Day AM Base'!E19),2),ROUND(MinBase1AMDay*(1+ExpressFuelSurcharge),2),ROUND(((1-(OverNightDiscount_11_to_20+FedExExrpessEarnedDiscount))*'1Day AM Base'!E19)*(1+ExpressFuelSurcharge),2)))*(1+FedEx_Markup),2)</f>
        <v>106.31</v>
      </c>
      <c r="F22" s="275">
        <f>ROUND((IF(MinBase1AMDay&gt;ROUND(((1-(OverNightDiscount_11_to_20+FedExExrpessEarnedDiscount))*'1Day AM Base'!F19),2),ROUND(MinBase1AMDay*(1+ExpressFuelSurcharge),2),ROUND(((1-(OverNightDiscount_11_to_20+FedExExrpessEarnedDiscount))*'1Day AM Base'!F19)*(1+ExpressFuelSurcharge),2)))*(1+FedEx_Markup),2)</f>
        <v>108.45</v>
      </c>
      <c r="G22" s="275">
        <f>ROUND((IF(MinBase1AMDay&gt;ROUND(((1-(OverNightDiscount_11_to_20+FedExExrpessEarnedDiscount))*'1Day AM Base'!G19),2),ROUND(MinBase1AMDay*(1+ExpressFuelSurcharge),2),ROUND(((1-(OverNightDiscount_11_to_20+FedExExrpessEarnedDiscount))*'1Day AM Base'!G19)*(1+ExpressFuelSurcharge),2)))*(1+FedEx_Markup),2)</f>
        <v>118.25</v>
      </c>
      <c r="H22" s="275">
        <f>ROUND((IF(MinBase1AMDay&gt;ROUND(((1-(OverNightDiscount_11_to_20+FedExExrpessEarnedDiscount))*'1Day AM Base'!H19),2),ROUND(MinBase1AMDay*(1+ExpressFuelSurcharge),2),ROUND(((1-(OverNightDiscount_11_to_20+FedExExrpessEarnedDiscount))*'1Day AM Base'!H19)*(1+ExpressFuelSurcharge),2)))*(1+FedEx_Markup),2)</f>
        <v>120.62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274">
        <v>18.0</v>
      </c>
      <c r="B23" s="275">
        <f>ROUND((IF(MinBase1AMDay&gt;ROUND(((1-(OverNightDiscount_11_to_20+FedExExrpessEarnedDiscount))*'1Day AM Base'!B20),2),ROUND(MinBase1AMDay*(1+ExpressFuelSurcharge),2),ROUND(((1-(OverNightDiscount_11_to_20+FedExExrpessEarnedDiscount))*'1Day AM Base'!B20)*(1+ExpressFuelSurcharge),2)))*(1+FedEx_Markup),2)</f>
        <v>37.05</v>
      </c>
      <c r="C23" s="275">
        <f>ROUND((IF(MinBase1AMDay&gt;ROUND(((1-(OverNightDiscount_11_to_20+FedExExrpessEarnedDiscount))*'1Day AM Base'!C20),2),ROUND(MinBase1AMDay*(1+ExpressFuelSurcharge),2),ROUND(((1-(OverNightDiscount_11_to_20+FedExExrpessEarnedDiscount))*'1Day AM Base'!C20)*(1+ExpressFuelSurcharge),2)))*(1+FedEx_Markup),2)</f>
        <v>53.59</v>
      </c>
      <c r="D23" s="275">
        <f>ROUND((IF(MinBase1AMDay&gt;ROUND(((1-(OverNightDiscount_11_to_20+FedExExrpessEarnedDiscount))*'1Day AM Base'!D20),2),ROUND(MinBase1AMDay*(1+ExpressFuelSurcharge),2),ROUND(((1-(OverNightDiscount_11_to_20+FedExExrpessEarnedDiscount))*'1Day AM Base'!D20)*(1+ExpressFuelSurcharge),2)))*(1+FedEx_Markup),2)</f>
        <v>95.32</v>
      </c>
      <c r="E23" s="275">
        <f>ROUND((IF(MinBase1AMDay&gt;ROUND(((1-(OverNightDiscount_11_to_20+FedExExrpessEarnedDiscount))*'1Day AM Base'!E20),2),ROUND(MinBase1AMDay*(1+ExpressFuelSurcharge),2),ROUND(((1-(OverNightDiscount_11_to_20+FedExExrpessEarnedDiscount))*'1Day AM Base'!E20)*(1+ExpressFuelSurcharge),2)))*(1+FedEx_Markup),2)</f>
        <v>106.43</v>
      </c>
      <c r="F23" s="275">
        <f>ROUND((IF(MinBase1AMDay&gt;ROUND(((1-(OverNightDiscount_11_to_20+FedExExrpessEarnedDiscount))*'1Day AM Base'!F20),2),ROUND(MinBase1AMDay*(1+ExpressFuelSurcharge),2),ROUND(((1-(OverNightDiscount_11_to_20+FedExExrpessEarnedDiscount))*'1Day AM Base'!F20)*(1+ExpressFuelSurcharge),2)))*(1+FedEx_Markup),2)</f>
        <v>108.57</v>
      </c>
      <c r="G23" s="275">
        <f>ROUND((IF(MinBase1AMDay&gt;ROUND(((1-(OverNightDiscount_11_to_20+FedExExrpessEarnedDiscount))*'1Day AM Base'!G20),2),ROUND(MinBase1AMDay*(1+ExpressFuelSurcharge),2),ROUND(((1-(OverNightDiscount_11_to_20+FedExExrpessEarnedDiscount))*'1Day AM Base'!G20)*(1+ExpressFuelSurcharge),2)))*(1+FedEx_Markup),2)</f>
        <v>118.37</v>
      </c>
      <c r="H23" s="275">
        <f>ROUND((IF(MinBase1AMDay&gt;ROUND(((1-(OverNightDiscount_11_to_20+FedExExrpessEarnedDiscount))*'1Day AM Base'!H20),2),ROUND(MinBase1AMDay*(1+ExpressFuelSurcharge),2),ROUND(((1-(OverNightDiscount_11_to_20+FedExExrpessEarnedDiscount))*'1Day AM Base'!H20)*(1+ExpressFuelSurcharge),2)))*(1+FedEx_Markup),2)</f>
        <v>120.74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74">
        <v>19.0</v>
      </c>
      <c r="B24" s="275">
        <f>ROUND((IF(MinBase1AMDay&gt;ROUND(((1-(OverNightDiscount_11_to_20+FedExExrpessEarnedDiscount))*'1Day AM Base'!B21),2),ROUND(MinBase1AMDay*(1+ExpressFuelSurcharge),2),ROUND(((1-(OverNightDiscount_11_to_20+FedExExrpessEarnedDiscount))*'1Day AM Base'!B21)*(1+ExpressFuelSurcharge),2)))*(1+FedEx_Markup),2)</f>
        <v>37.28</v>
      </c>
      <c r="C24" s="275">
        <f>ROUND((IF(MinBase1AMDay&gt;ROUND(((1-(OverNightDiscount_11_to_20+FedExExrpessEarnedDiscount))*'1Day AM Base'!C21),2),ROUND(MinBase1AMDay*(1+ExpressFuelSurcharge),2),ROUND(((1-(OverNightDiscount_11_to_20+FedExExrpessEarnedDiscount))*'1Day AM Base'!C21)*(1+ExpressFuelSurcharge),2)))*(1+FedEx_Markup),2)</f>
        <v>53.71</v>
      </c>
      <c r="D24" s="275">
        <f>ROUND((IF(MinBase1AMDay&gt;ROUND(((1-(OverNightDiscount_11_to_20+FedExExrpessEarnedDiscount))*'1Day AM Base'!D21),2),ROUND(MinBase1AMDay*(1+ExpressFuelSurcharge),2),ROUND(((1-(OverNightDiscount_11_to_20+FedExExrpessEarnedDiscount))*'1Day AM Base'!D21)*(1+ExpressFuelSurcharge),2)))*(1+FedEx_Markup),2)</f>
        <v>95.44</v>
      </c>
      <c r="E24" s="275">
        <f>ROUND((IF(MinBase1AMDay&gt;ROUND(((1-(OverNightDiscount_11_to_20+FedExExrpessEarnedDiscount))*'1Day AM Base'!E21),2),ROUND(MinBase1AMDay*(1+ExpressFuelSurcharge),2),ROUND(((1-(OverNightDiscount_11_to_20+FedExExrpessEarnedDiscount))*'1Day AM Base'!E21)*(1+ExpressFuelSurcharge),2)))*(1+FedEx_Markup),2)</f>
        <v>106.54</v>
      </c>
      <c r="F24" s="275">
        <f>ROUND((IF(MinBase1AMDay&gt;ROUND(((1-(OverNightDiscount_11_to_20+FedExExrpessEarnedDiscount))*'1Day AM Base'!F21),2),ROUND(MinBase1AMDay*(1+ExpressFuelSurcharge),2),ROUND(((1-(OverNightDiscount_11_to_20+FedExExrpessEarnedDiscount))*'1Day AM Base'!F21)*(1+ExpressFuelSurcharge),2)))*(1+FedEx_Markup),2)</f>
        <v>108.68</v>
      </c>
      <c r="G24" s="275">
        <f>ROUND((IF(MinBase1AMDay&gt;ROUND(((1-(OverNightDiscount_11_to_20+FedExExrpessEarnedDiscount))*'1Day AM Base'!G21),2),ROUND(MinBase1AMDay*(1+ExpressFuelSurcharge),2),ROUND(((1-(OverNightDiscount_11_to_20+FedExExrpessEarnedDiscount))*'1Day AM Base'!G21)*(1+ExpressFuelSurcharge),2)))*(1+FedEx_Markup),2)</f>
        <v>118.47</v>
      </c>
      <c r="H24" s="275">
        <f>ROUND((IF(MinBase1AMDay&gt;ROUND(((1-(OverNightDiscount_11_to_20+FedExExrpessEarnedDiscount))*'1Day AM Base'!H21),2),ROUND(MinBase1AMDay*(1+ExpressFuelSurcharge),2),ROUND(((1-(OverNightDiscount_11_to_20+FedExExrpessEarnedDiscount))*'1Day AM Base'!H21)*(1+ExpressFuelSurcharge),2)))*(1+FedEx_Markup),2)</f>
        <v>120.84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74">
        <v>20.0</v>
      </c>
      <c r="B25" s="275">
        <f>ROUND((IF(MinBase1AMDay&gt;ROUND(((1-(OverNightDiscount_11_to_20+FedExExrpessEarnedDiscount))*'1Day AM Base'!B22),2),ROUND(MinBase1AMDay*(1+ExpressFuelSurcharge),2),ROUND(((1-(OverNightDiscount_11_to_20+FedExExrpessEarnedDiscount))*'1Day AM Base'!B22)*(1+ExpressFuelSurcharge),2)))*(1+FedEx_Markup),2)</f>
        <v>37.48</v>
      </c>
      <c r="C25" s="275">
        <f>ROUND((IF(MinBase1AMDay&gt;ROUND(((1-(OverNightDiscount_11_to_20+FedExExrpessEarnedDiscount))*'1Day AM Base'!C22),2),ROUND(MinBase1AMDay*(1+ExpressFuelSurcharge),2),ROUND(((1-(OverNightDiscount_11_to_20+FedExExrpessEarnedDiscount))*'1Day AM Base'!C22)*(1+ExpressFuelSurcharge),2)))*(1+FedEx_Markup),2)</f>
        <v>53.95</v>
      </c>
      <c r="D25" s="275">
        <f>ROUND((IF(MinBase1AMDay&gt;ROUND(((1-(OverNightDiscount_11_to_20+FedExExrpessEarnedDiscount))*'1Day AM Base'!D22),2),ROUND(MinBase1AMDay*(1+ExpressFuelSurcharge),2),ROUND(((1-(OverNightDiscount_11_to_20+FedExExrpessEarnedDiscount))*'1Day AM Base'!D22)*(1+ExpressFuelSurcharge),2)))*(1+FedEx_Markup),2)</f>
        <v>95.88</v>
      </c>
      <c r="E25" s="275">
        <f>ROUND((IF(MinBase1AMDay&gt;ROUND(((1-(OverNightDiscount_11_to_20+FedExExrpessEarnedDiscount))*'1Day AM Base'!E22),2),ROUND(MinBase1AMDay*(1+ExpressFuelSurcharge),2),ROUND(((1-(OverNightDiscount_11_to_20+FedExExrpessEarnedDiscount))*'1Day AM Base'!E22)*(1+ExpressFuelSurcharge),2)))*(1+FedEx_Markup),2)</f>
        <v>106.75</v>
      </c>
      <c r="F25" s="275">
        <f>ROUND((IF(MinBase1AMDay&gt;ROUND(((1-(OverNightDiscount_11_to_20+FedExExrpessEarnedDiscount))*'1Day AM Base'!F22),2),ROUND(MinBase1AMDay*(1+ExpressFuelSurcharge),2),ROUND(((1-(OverNightDiscount_11_to_20+FedExExrpessEarnedDiscount))*'1Day AM Base'!F22)*(1+ExpressFuelSurcharge),2)))*(1+FedEx_Markup),2)</f>
        <v>109.01</v>
      </c>
      <c r="G25" s="275">
        <f>ROUND((IF(MinBase1AMDay&gt;ROUND(((1-(OverNightDiscount_11_to_20+FedExExrpessEarnedDiscount))*'1Day AM Base'!G22),2),ROUND(MinBase1AMDay*(1+ExpressFuelSurcharge),2),ROUND(((1-(OverNightDiscount_11_to_20+FedExExrpessEarnedDiscount))*'1Day AM Base'!G22)*(1+ExpressFuelSurcharge),2)))*(1+FedEx_Markup),2)</f>
        <v>118.82</v>
      </c>
      <c r="H25" s="275">
        <f>ROUND((IF(MinBase1AMDay&gt;ROUND(((1-(OverNightDiscount_11_to_20+FedExExrpessEarnedDiscount))*'1Day AM Base'!H22),2),ROUND(MinBase1AMDay*(1+ExpressFuelSurcharge),2),ROUND(((1-(OverNightDiscount_11_to_20+FedExExrpessEarnedDiscount))*'1Day AM Base'!H22)*(1+ExpressFuelSurcharge),2)))*(1+FedEx_Markup),2)</f>
        <v>121.45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74">
        <v>21.0</v>
      </c>
      <c r="B26" s="275">
        <f>ROUND((IF(MinBase1AMDay&gt;ROUND(((1-(OverNightDiscount_21_Up+FedExExrpessEarnedDiscount))*'1Day AM Base'!B23),2),ROUND(MinBase1AMDay*(1+ExpressFuelSurcharge),2),ROUND(((1-(OverNightDiscount_21_Up+FedExExrpessEarnedDiscount))*'1Day AM Base'!B23)*(1+ExpressFuelSurcharge),2)))*(1+FedEx_Markup),2)</f>
        <v>36.67</v>
      </c>
      <c r="C26" s="275">
        <f>ROUND((IF(MinBase1AMDay&gt;ROUND(((1-(OverNightDiscount_21_Up+FedExExrpessEarnedDiscount))*'1Day AM Base'!C23),2),ROUND(MinBase1AMDay*(1+ExpressFuelSurcharge),2),ROUND(((1-(OverNightDiscount_21_Up+FedExExrpessEarnedDiscount))*'1Day AM Base'!C23)*(1+ExpressFuelSurcharge),2)))*(1+FedEx_Markup),2)</f>
        <v>52.88</v>
      </c>
      <c r="D26" s="275">
        <f>ROUND((IF(MinBase1AMDay&gt;ROUND(((1-(OverNightDiscount_21_Up+FedExExrpessEarnedDiscount))*'1Day AM Base'!D23),2),ROUND(MinBase1AMDay*(1+ExpressFuelSurcharge),2),ROUND(((1-(OverNightDiscount_21_Up+FedExExrpessEarnedDiscount))*'1Day AM Base'!D23)*(1+ExpressFuelSurcharge),2)))*(1+FedEx_Markup),2)</f>
        <v>98.06</v>
      </c>
      <c r="E26" s="275">
        <f>ROUND((IF(MinBase1AMDay&gt;ROUND(((1-(OverNightDiscount_21_Up+FedExExrpessEarnedDiscount))*'1Day AM Base'!E23),2),ROUND(MinBase1AMDay*(1+ExpressFuelSurcharge),2),ROUND(((1-(OverNightDiscount_21_Up+FedExExrpessEarnedDiscount))*'1Day AM Base'!E23)*(1+ExpressFuelSurcharge),2)))*(1+FedEx_Markup),2)</f>
        <v>103.94</v>
      </c>
      <c r="F26" s="275">
        <f>ROUND((IF(MinBase1AMDay&gt;ROUND(((1-(OverNightDiscount_21_Up+FedExExrpessEarnedDiscount))*'1Day AM Base'!F23),2),ROUND(MinBase1AMDay*(1+ExpressFuelSurcharge),2),ROUND(((1-(OverNightDiscount_21_Up+FedExExrpessEarnedDiscount))*'1Day AM Base'!F23)*(1+ExpressFuelSurcharge),2)))*(1+FedEx_Markup),2)</f>
        <v>108.45</v>
      </c>
      <c r="G26" s="275">
        <f>ROUND((IF(MinBase1AMDay&gt;ROUND(((1-(OverNightDiscount_21_Up+FedExExrpessEarnedDiscount))*'1Day AM Base'!G23),2),ROUND(MinBase1AMDay*(1+ExpressFuelSurcharge),2),ROUND(((1-(OverNightDiscount_21_Up+FedExExrpessEarnedDiscount))*'1Day AM Base'!G23)*(1+ExpressFuelSurcharge),2)))*(1+FedEx_Markup),2)</f>
        <v>117.77</v>
      </c>
      <c r="H26" s="275">
        <f>ROUND((IF(MinBase1AMDay&gt;ROUND(((1-(OverNightDiscount_21_Up+FedExExrpessEarnedDiscount))*'1Day AM Base'!H23),2),ROUND(MinBase1AMDay*(1+ExpressFuelSurcharge),2),ROUND(((1-(OverNightDiscount_21_Up+FedExExrpessEarnedDiscount))*'1Day AM Base'!H23)*(1+ExpressFuelSurcharge),2)))*(1+FedEx_Markup),2)</f>
        <v>125.04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74">
        <v>22.0</v>
      </c>
      <c r="B27" s="275">
        <f>ROUND((IF(MinBase1AMDay&gt;ROUND(((1-(OverNightDiscount_21_Up+FedExExrpessEarnedDiscount))*'1Day AM Base'!B24),2),ROUND(MinBase1AMDay*(1+ExpressFuelSurcharge),2),ROUND(((1-(OverNightDiscount_21_Up+FedExExrpessEarnedDiscount))*'1Day AM Base'!B24)*(1+ExpressFuelSurcharge),2)))*(1+FedEx_Markup),2)</f>
        <v>38.35</v>
      </c>
      <c r="C27" s="275">
        <f>ROUND((IF(MinBase1AMDay&gt;ROUND(((1-(OverNightDiscount_21_Up+FedExExrpessEarnedDiscount))*'1Day AM Base'!C24),2),ROUND(MinBase1AMDay*(1+ExpressFuelSurcharge),2),ROUND(((1-(OverNightDiscount_21_Up+FedExExrpessEarnedDiscount))*'1Day AM Base'!C24)*(1+ExpressFuelSurcharge),2)))*(1+FedEx_Markup),2)</f>
        <v>55.81</v>
      </c>
      <c r="D27" s="275">
        <f>ROUND((IF(MinBase1AMDay&gt;ROUND(((1-(OverNightDiscount_21_Up+FedExExrpessEarnedDiscount))*'1Day AM Base'!D24),2),ROUND(MinBase1AMDay*(1+ExpressFuelSurcharge),2),ROUND(((1-(OverNightDiscount_21_Up+FedExExrpessEarnedDiscount))*'1Day AM Base'!D24)*(1+ExpressFuelSurcharge),2)))*(1+FedEx_Markup),2)</f>
        <v>100.59</v>
      </c>
      <c r="E27" s="275">
        <f>ROUND((IF(MinBase1AMDay&gt;ROUND(((1-(OverNightDiscount_21_Up+FedExExrpessEarnedDiscount))*'1Day AM Base'!E24),2),ROUND(MinBase1AMDay*(1+ExpressFuelSurcharge),2),ROUND(((1-(OverNightDiscount_21_Up+FedExExrpessEarnedDiscount))*'1Day AM Base'!E24)*(1+ExpressFuelSurcharge),2)))*(1+FedEx_Markup),2)</f>
        <v>106.95</v>
      </c>
      <c r="F27" s="275">
        <f>ROUND((IF(MinBase1AMDay&gt;ROUND(((1-(OverNightDiscount_21_Up+FedExExrpessEarnedDiscount))*'1Day AM Base'!F24),2),ROUND(MinBase1AMDay*(1+ExpressFuelSurcharge),2),ROUND(((1-(OverNightDiscount_21_Up+FedExExrpessEarnedDiscount))*'1Day AM Base'!F24)*(1+ExpressFuelSurcharge),2)))*(1+FedEx_Markup),2)</f>
        <v>109.2</v>
      </c>
      <c r="G27" s="275">
        <f>ROUND((IF(MinBase1AMDay&gt;ROUND(((1-(OverNightDiscount_21_Up+FedExExrpessEarnedDiscount))*'1Day AM Base'!G24),2),ROUND(MinBase1AMDay*(1+ExpressFuelSurcharge),2),ROUND(((1-(OverNightDiscount_21_Up+FedExExrpessEarnedDiscount))*'1Day AM Base'!G24)*(1+ExpressFuelSurcharge),2)))*(1+FedEx_Markup),2)</f>
        <v>123.58</v>
      </c>
      <c r="H27" s="275">
        <f>ROUND((IF(MinBase1AMDay&gt;ROUND(((1-(OverNightDiscount_21_Up+FedExExrpessEarnedDiscount))*'1Day AM Base'!H24),2),ROUND(MinBase1AMDay*(1+ExpressFuelSurcharge),2),ROUND(((1-(OverNightDiscount_21_Up+FedExExrpessEarnedDiscount))*'1Day AM Base'!H24)*(1+ExpressFuelSurcharge),2)))*(1+FedEx_Markup),2)</f>
        <v>129.28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74">
        <v>23.0</v>
      </c>
      <c r="B28" s="275">
        <f>ROUND((IF(MinBase1AMDay&gt;ROUND(((1-(OverNightDiscount_21_Up+FedExExrpessEarnedDiscount))*'1Day AM Base'!B25),2),ROUND(MinBase1AMDay*(1+ExpressFuelSurcharge),2),ROUND(((1-(OverNightDiscount_21_Up+FedExExrpessEarnedDiscount))*'1Day AM Base'!B25)*(1+ExpressFuelSurcharge),2)))*(1+FedEx_Markup),2)</f>
        <v>38.57</v>
      </c>
      <c r="C28" s="275">
        <f>ROUND((IF(MinBase1AMDay&gt;ROUND(((1-(OverNightDiscount_21_Up+FedExExrpessEarnedDiscount))*'1Day AM Base'!C25),2),ROUND(MinBase1AMDay*(1+ExpressFuelSurcharge),2),ROUND(((1-(OverNightDiscount_21_Up+FedExExrpessEarnedDiscount))*'1Day AM Base'!C25)*(1+ExpressFuelSurcharge),2)))*(1+FedEx_Markup),2)</f>
        <v>56.11</v>
      </c>
      <c r="D28" s="275">
        <f>ROUND((IF(MinBase1AMDay&gt;ROUND(((1-(OverNightDiscount_21_Up+FedExExrpessEarnedDiscount))*'1Day AM Base'!D25),2),ROUND(MinBase1AMDay*(1+ExpressFuelSurcharge),2),ROUND(((1-(OverNightDiscount_21_Up+FedExExrpessEarnedDiscount))*'1Day AM Base'!D25)*(1+ExpressFuelSurcharge),2)))*(1+FedEx_Markup),2)</f>
        <v>103.37</v>
      </c>
      <c r="E28" s="275">
        <f>ROUND((IF(MinBase1AMDay&gt;ROUND(((1-(OverNightDiscount_21_Up+FedExExrpessEarnedDiscount))*'1Day AM Base'!E25),2),ROUND(MinBase1AMDay*(1+ExpressFuelSurcharge),2),ROUND(((1-(OverNightDiscount_21_Up+FedExExrpessEarnedDiscount))*'1Day AM Base'!E25)*(1+ExpressFuelSurcharge),2)))*(1+FedEx_Markup),2)</f>
        <v>112.04</v>
      </c>
      <c r="F28" s="275">
        <f>ROUND((IF(MinBase1AMDay&gt;ROUND(((1-(OverNightDiscount_21_Up+FedExExrpessEarnedDiscount))*'1Day AM Base'!F25),2),ROUND(MinBase1AMDay*(1+ExpressFuelSurcharge),2),ROUND(((1-(OverNightDiscount_21_Up+FedExExrpessEarnedDiscount))*'1Day AM Base'!F25)*(1+ExpressFuelSurcharge),2)))*(1+FedEx_Markup),2)</f>
        <v>118.01</v>
      </c>
      <c r="G28" s="275">
        <f>ROUND((IF(MinBase1AMDay&gt;ROUND(((1-(OverNightDiscount_21_Up+FedExExrpessEarnedDiscount))*'1Day AM Base'!G25),2),ROUND(MinBase1AMDay*(1+ExpressFuelSurcharge),2),ROUND(((1-(OverNightDiscount_21_Up+FedExExrpessEarnedDiscount))*'1Day AM Base'!G25)*(1+ExpressFuelSurcharge),2)))*(1+FedEx_Markup),2)</f>
        <v>130.34</v>
      </c>
      <c r="H28" s="275">
        <f>ROUND((IF(MinBase1AMDay&gt;ROUND(((1-(OverNightDiscount_21_Up+FedExExrpessEarnedDiscount))*'1Day AM Base'!H25),2),ROUND(MinBase1AMDay*(1+ExpressFuelSurcharge),2),ROUND(((1-(OverNightDiscount_21_Up+FedExExrpessEarnedDiscount))*'1Day AM Base'!H25)*(1+ExpressFuelSurcharge),2)))*(1+FedEx_Markup),2)</f>
        <v>132.95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74">
        <v>24.0</v>
      </c>
      <c r="B29" s="275">
        <f>ROUND((IF(MinBase1AMDay&gt;ROUND(((1-(OverNightDiscount_21_Up+FedExExrpessEarnedDiscount))*'1Day AM Base'!B26),2),ROUND(MinBase1AMDay*(1+ExpressFuelSurcharge),2),ROUND(((1-(OverNightDiscount_21_Up+FedExExrpessEarnedDiscount))*'1Day AM Base'!B26)*(1+ExpressFuelSurcharge),2)))*(1+FedEx_Markup),2)</f>
        <v>39.59</v>
      </c>
      <c r="C29" s="275">
        <f>ROUND((IF(MinBase1AMDay&gt;ROUND(((1-(OverNightDiscount_21_Up+FedExExrpessEarnedDiscount))*'1Day AM Base'!C26),2),ROUND(MinBase1AMDay*(1+ExpressFuelSurcharge),2),ROUND(((1-(OverNightDiscount_21_Up+FedExExrpessEarnedDiscount))*'1Day AM Base'!C26)*(1+ExpressFuelSurcharge),2)))*(1+FedEx_Markup),2)</f>
        <v>56.34</v>
      </c>
      <c r="D29" s="275">
        <f>ROUND((IF(MinBase1AMDay&gt;ROUND(((1-(OverNightDiscount_21_Up+FedExExrpessEarnedDiscount))*'1Day AM Base'!D26),2),ROUND(MinBase1AMDay*(1+ExpressFuelSurcharge),2),ROUND(((1-(OverNightDiscount_21_Up+FedExExrpessEarnedDiscount))*'1Day AM Base'!D26)*(1+ExpressFuelSurcharge),2)))*(1+FedEx_Markup),2)</f>
        <v>104.86</v>
      </c>
      <c r="E29" s="275">
        <f>ROUND((IF(MinBase1AMDay&gt;ROUND(((1-(OverNightDiscount_21_Up+FedExExrpessEarnedDiscount))*'1Day AM Base'!E26),2),ROUND(MinBase1AMDay*(1+ExpressFuelSurcharge),2),ROUND(((1-(OverNightDiscount_21_Up+FedExExrpessEarnedDiscount))*'1Day AM Base'!E26)*(1+ExpressFuelSurcharge),2)))*(1+FedEx_Markup),2)</f>
        <v>116.56</v>
      </c>
      <c r="F29" s="275">
        <f>ROUND((IF(MinBase1AMDay&gt;ROUND(((1-(OverNightDiscount_21_Up+FedExExrpessEarnedDiscount))*'1Day AM Base'!F26),2),ROUND(MinBase1AMDay*(1+ExpressFuelSurcharge),2),ROUND(((1-(OverNightDiscount_21_Up+FedExExrpessEarnedDiscount))*'1Day AM Base'!F26)*(1+ExpressFuelSurcharge),2)))*(1+FedEx_Markup),2)</f>
        <v>118.9</v>
      </c>
      <c r="G29" s="275">
        <f>ROUND((IF(MinBase1AMDay&gt;ROUND(((1-(OverNightDiscount_21_Up+FedExExrpessEarnedDiscount))*'1Day AM Base'!G26),2),ROUND(MinBase1AMDay*(1+ExpressFuelSurcharge),2),ROUND(((1-(OverNightDiscount_21_Up+FedExExrpessEarnedDiscount))*'1Day AM Base'!G26)*(1+ExpressFuelSurcharge),2)))*(1+FedEx_Markup),2)</f>
        <v>132.97</v>
      </c>
      <c r="H29" s="275">
        <f>ROUND((IF(MinBase1AMDay&gt;ROUND(((1-(OverNightDiscount_21_Up+FedExExrpessEarnedDiscount))*'1Day AM Base'!H26),2),ROUND(MinBase1AMDay*(1+ExpressFuelSurcharge),2),ROUND(((1-(OverNightDiscount_21_Up+FedExExrpessEarnedDiscount))*'1Day AM Base'!H26)*(1+ExpressFuelSurcharge),2)))*(1+FedEx_Markup),2)</f>
        <v>135.63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74">
        <v>25.0</v>
      </c>
      <c r="B30" s="275">
        <f>ROUND((IF(MinBase1AMDay&gt;ROUND(((1-(OverNightDiscount_21_Up+FedExExrpessEarnedDiscount))*'1Day AM Base'!B27),2),ROUND(MinBase1AMDay*(1+ExpressFuelSurcharge),2),ROUND(((1-(OverNightDiscount_21_Up+FedExExrpessEarnedDiscount))*'1Day AM Base'!B27)*(1+ExpressFuelSurcharge),2)))*(1+FedEx_Markup),2)</f>
        <v>39.79</v>
      </c>
      <c r="C30" s="275">
        <f>ROUND((IF(MinBase1AMDay&gt;ROUND(((1-(OverNightDiscount_21_Up+FedExExrpessEarnedDiscount))*'1Day AM Base'!C27),2),ROUND(MinBase1AMDay*(1+ExpressFuelSurcharge),2),ROUND(((1-(OverNightDiscount_21_Up+FedExExrpessEarnedDiscount))*'1Day AM Base'!C27)*(1+ExpressFuelSurcharge),2)))*(1+FedEx_Markup),2)</f>
        <v>56.58</v>
      </c>
      <c r="D30" s="275">
        <f>ROUND((IF(MinBase1AMDay&gt;ROUND(((1-(OverNightDiscount_21_Up+FedExExrpessEarnedDiscount))*'1Day AM Base'!D27),2),ROUND(MinBase1AMDay*(1+ExpressFuelSurcharge),2),ROUND(((1-(OverNightDiscount_21_Up+FedExExrpessEarnedDiscount))*'1Day AM Base'!D27)*(1+ExpressFuelSurcharge),2)))*(1+FedEx_Markup),2)</f>
        <v>108.36</v>
      </c>
      <c r="E30" s="275">
        <f>ROUND((IF(MinBase1AMDay&gt;ROUND(((1-(OverNightDiscount_21_Up+FedExExrpessEarnedDiscount))*'1Day AM Base'!E27),2),ROUND(MinBase1AMDay*(1+ExpressFuelSurcharge),2),ROUND(((1-(OverNightDiscount_21_Up+FedExExrpessEarnedDiscount))*'1Day AM Base'!E27)*(1+ExpressFuelSurcharge),2)))*(1+FedEx_Markup),2)</f>
        <v>117.02</v>
      </c>
      <c r="F30" s="275">
        <f>ROUND((IF(MinBase1AMDay&gt;ROUND(((1-(OverNightDiscount_21_Up+FedExExrpessEarnedDiscount))*'1Day AM Base'!F27),2),ROUND(MinBase1AMDay*(1+ExpressFuelSurcharge),2),ROUND(((1-(OverNightDiscount_21_Up+FedExExrpessEarnedDiscount))*'1Day AM Base'!F27)*(1+ExpressFuelSurcharge),2)))*(1+FedEx_Markup),2)</f>
        <v>121.21</v>
      </c>
      <c r="G30" s="275">
        <f>ROUND((IF(MinBase1AMDay&gt;ROUND(((1-(OverNightDiscount_21_Up+FedExExrpessEarnedDiscount))*'1Day AM Base'!G27),2),ROUND(MinBase1AMDay*(1+ExpressFuelSurcharge),2),ROUND(((1-(OverNightDiscount_21_Up+FedExExrpessEarnedDiscount))*'1Day AM Base'!G27)*(1+ExpressFuelSurcharge),2)))*(1+FedEx_Markup),2)</f>
        <v>133.31</v>
      </c>
      <c r="H30" s="275">
        <f>ROUND((IF(MinBase1AMDay&gt;ROUND(((1-(OverNightDiscount_21_Up+FedExExrpessEarnedDiscount))*'1Day AM Base'!H27),2),ROUND(MinBase1AMDay*(1+ExpressFuelSurcharge),2),ROUND(((1-(OverNightDiscount_21_Up+FedExExrpessEarnedDiscount))*'1Day AM Base'!H27)*(1+ExpressFuelSurcharge),2)))*(1+FedEx_Markup),2)</f>
        <v>135.98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74">
        <v>26.0</v>
      </c>
      <c r="B31" s="275">
        <f>ROUND((IF(MinBase1AMDay&gt;ROUND(((1-(OverNightDiscount_21_Up+FedExExrpessEarnedDiscount))*'1Day AM Base'!B28),2),ROUND(MinBase1AMDay*(1+ExpressFuelSurcharge),2),ROUND(((1-(OverNightDiscount_21_Up+FedExExrpessEarnedDiscount))*'1Day AM Base'!B28)*(1+ExpressFuelSurcharge),2)))*(1+FedEx_Markup),2)</f>
        <v>42.24</v>
      </c>
      <c r="C31" s="275">
        <f>ROUND((IF(MinBase1AMDay&gt;ROUND(((1-(OverNightDiscount_21_Up+FedExExrpessEarnedDiscount))*'1Day AM Base'!C28),2),ROUND(MinBase1AMDay*(1+ExpressFuelSurcharge),2),ROUND(((1-(OverNightDiscount_21_Up+FedExExrpessEarnedDiscount))*'1Day AM Base'!C28)*(1+ExpressFuelSurcharge),2)))*(1+FedEx_Markup),2)</f>
        <v>61.07</v>
      </c>
      <c r="D31" s="275">
        <f>ROUND((IF(MinBase1AMDay&gt;ROUND(((1-(OverNightDiscount_21_Up+FedExExrpessEarnedDiscount))*'1Day AM Base'!D28),2),ROUND(MinBase1AMDay*(1+ExpressFuelSurcharge),2),ROUND(((1-(OverNightDiscount_21_Up+FedExExrpessEarnedDiscount))*'1Day AM Base'!D28)*(1+ExpressFuelSurcharge),2)))*(1+FedEx_Markup),2)</f>
        <v>114.63</v>
      </c>
      <c r="E31" s="275">
        <f>ROUND((IF(MinBase1AMDay&gt;ROUND(((1-(OverNightDiscount_21_Up+FedExExrpessEarnedDiscount))*'1Day AM Base'!E28),2),ROUND(MinBase1AMDay*(1+ExpressFuelSurcharge),2),ROUND(((1-(OverNightDiscount_21_Up+FedExExrpessEarnedDiscount))*'1Day AM Base'!E28)*(1+ExpressFuelSurcharge),2)))*(1+FedEx_Markup),2)</f>
        <v>122.96</v>
      </c>
      <c r="F31" s="275">
        <f>ROUND((IF(MinBase1AMDay&gt;ROUND(((1-(OverNightDiscount_21_Up+FedExExrpessEarnedDiscount))*'1Day AM Base'!F28),2),ROUND(MinBase1AMDay*(1+ExpressFuelSurcharge),2),ROUND(((1-(OverNightDiscount_21_Up+FedExExrpessEarnedDiscount))*'1Day AM Base'!F28)*(1+ExpressFuelSurcharge),2)))*(1+FedEx_Markup),2)</f>
        <v>130.15</v>
      </c>
      <c r="G31" s="275">
        <f>ROUND((IF(MinBase1AMDay&gt;ROUND(((1-(OverNightDiscount_21_Up+FedExExrpessEarnedDiscount))*'1Day AM Base'!G28),2),ROUND(MinBase1AMDay*(1+ExpressFuelSurcharge),2),ROUND(((1-(OverNightDiscount_21_Up+FedExExrpessEarnedDiscount))*'1Day AM Base'!G28)*(1+ExpressFuelSurcharge),2)))*(1+FedEx_Markup),2)</f>
        <v>136.64</v>
      </c>
      <c r="H31" s="275">
        <f>ROUND((IF(MinBase1AMDay&gt;ROUND(((1-(OverNightDiscount_21_Up+FedExExrpessEarnedDiscount))*'1Day AM Base'!H28),2),ROUND(MinBase1AMDay*(1+ExpressFuelSurcharge),2),ROUND(((1-(OverNightDiscount_21_Up+FedExExrpessEarnedDiscount))*'1Day AM Base'!H28)*(1+ExpressFuelSurcharge),2)))*(1+FedEx_Markup),2)</f>
        <v>142.76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274">
        <v>27.0</v>
      </c>
      <c r="B32" s="275">
        <f>ROUND((IF(MinBase1AMDay&gt;ROUND(((1-(OverNightDiscount_21_Up+FedExExrpessEarnedDiscount))*'1Day AM Base'!B29),2),ROUND(MinBase1AMDay*(1+ExpressFuelSurcharge),2),ROUND(((1-(OverNightDiscount_21_Up+FedExExrpessEarnedDiscount))*'1Day AM Base'!B29)*(1+ExpressFuelSurcharge),2)))*(1+FedEx_Markup),2)</f>
        <v>42.48</v>
      </c>
      <c r="C32" s="275">
        <f>ROUND((IF(MinBase1AMDay&gt;ROUND(((1-(OverNightDiscount_21_Up+FedExExrpessEarnedDiscount))*'1Day AM Base'!C29),2),ROUND(MinBase1AMDay*(1+ExpressFuelSurcharge),2),ROUND(((1-(OverNightDiscount_21_Up+FedExExrpessEarnedDiscount))*'1Day AM Base'!C29)*(1+ExpressFuelSurcharge),2)))*(1+FedEx_Markup),2)</f>
        <v>61.53</v>
      </c>
      <c r="D32" s="275">
        <f>ROUND((IF(MinBase1AMDay&gt;ROUND(((1-(OverNightDiscount_21_Up+FedExExrpessEarnedDiscount))*'1Day AM Base'!D29),2),ROUND(MinBase1AMDay*(1+ExpressFuelSurcharge),2),ROUND(((1-(OverNightDiscount_21_Up+FedExExrpessEarnedDiscount))*'1Day AM Base'!D29)*(1+ExpressFuelSurcharge),2)))*(1+FedEx_Markup),2)</f>
        <v>115.26</v>
      </c>
      <c r="E32" s="275">
        <f>ROUND((IF(MinBase1AMDay&gt;ROUND(((1-(OverNightDiscount_21_Up+FedExExrpessEarnedDiscount))*'1Day AM Base'!E29),2),ROUND(MinBase1AMDay*(1+ExpressFuelSurcharge),2),ROUND(((1-(OverNightDiscount_21_Up+FedExExrpessEarnedDiscount))*'1Day AM Base'!E29)*(1+ExpressFuelSurcharge),2)))*(1+FedEx_Markup),2)</f>
        <v>123.56</v>
      </c>
      <c r="F32" s="275">
        <f>ROUND((IF(MinBase1AMDay&gt;ROUND(((1-(OverNightDiscount_21_Up+FedExExrpessEarnedDiscount))*'1Day AM Base'!F29),2),ROUND(MinBase1AMDay*(1+ExpressFuelSurcharge),2),ROUND(((1-(OverNightDiscount_21_Up+FedExExrpessEarnedDiscount))*'1Day AM Base'!F29)*(1+ExpressFuelSurcharge),2)))*(1+FedEx_Markup),2)</f>
        <v>131.04</v>
      </c>
      <c r="G32" s="275">
        <f>ROUND((IF(MinBase1AMDay&gt;ROUND(((1-(OverNightDiscount_21_Up+FedExExrpessEarnedDiscount))*'1Day AM Base'!G29),2),ROUND(MinBase1AMDay*(1+ExpressFuelSurcharge),2),ROUND(((1-(OverNightDiscount_21_Up+FedExExrpessEarnedDiscount))*'1Day AM Base'!G29)*(1+ExpressFuelSurcharge),2)))*(1+FedEx_Markup),2)</f>
        <v>137.56</v>
      </c>
      <c r="H32" s="275">
        <f>ROUND((IF(MinBase1AMDay&gt;ROUND(((1-(OverNightDiscount_21_Up+FedExExrpessEarnedDiscount))*'1Day AM Base'!H29),2),ROUND(MinBase1AMDay*(1+ExpressFuelSurcharge),2),ROUND(((1-(OverNightDiscount_21_Up+FedExExrpessEarnedDiscount))*'1Day AM Base'!H29)*(1+ExpressFuelSurcharge),2)))*(1+FedEx_Markup),2)</f>
        <v>146.65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274">
        <v>28.0</v>
      </c>
      <c r="B33" s="275">
        <f>ROUND((IF(MinBase1AMDay&gt;ROUND(((1-(OverNightDiscount_21_Up+FedExExrpessEarnedDiscount))*'1Day AM Base'!B30),2),ROUND(MinBase1AMDay*(1+ExpressFuelSurcharge),2),ROUND(((1-(OverNightDiscount_21_Up+FedExExrpessEarnedDiscount))*'1Day AM Base'!B30)*(1+ExpressFuelSurcharge),2)))*(1+FedEx_Markup),2)</f>
        <v>43.38</v>
      </c>
      <c r="C33" s="275">
        <f>ROUND((IF(MinBase1AMDay&gt;ROUND(((1-(OverNightDiscount_21_Up+FedExExrpessEarnedDiscount))*'1Day AM Base'!C30),2),ROUND(MinBase1AMDay*(1+ExpressFuelSurcharge),2),ROUND(((1-(OverNightDiscount_21_Up+FedExExrpessEarnedDiscount))*'1Day AM Base'!C30)*(1+ExpressFuelSurcharge),2)))*(1+FedEx_Markup),2)</f>
        <v>61.73</v>
      </c>
      <c r="D33" s="275">
        <f>ROUND((IF(MinBase1AMDay&gt;ROUND(((1-(OverNightDiscount_21_Up+FedExExrpessEarnedDiscount))*'1Day AM Base'!D30),2),ROUND(MinBase1AMDay*(1+ExpressFuelSurcharge),2),ROUND(((1-(OverNightDiscount_21_Up+FedExExrpessEarnedDiscount))*'1Day AM Base'!D30)*(1+ExpressFuelSurcharge),2)))*(1+FedEx_Markup),2)</f>
        <v>120.64</v>
      </c>
      <c r="E33" s="275">
        <f>ROUND((IF(MinBase1AMDay&gt;ROUND(((1-(OverNightDiscount_21_Up+FedExExrpessEarnedDiscount))*'1Day AM Base'!E30),2),ROUND(MinBase1AMDay*(1+ExpressFuelSurcharge),2),ROUND(((1-(OverNightDiscount_21_Up+FedExExrpessEarnedDiscount))*'1Day AM Base'!E30)*(1+ExpressFuelSurcharge),2)))*(1+FedEx_Markup),2)</f>
        <v>129.4</v>
      </c>
      <c r="F33" s="275">
        <f>ROUND((IF(MinBase1AMDay&gt;ROUND(((1-(OverNightDiscount_21_Up+FedExExrpessEarnedDiscount))*'1Day AM Base'!F30),2),ROUND(MinBase1AMDay*(1+ExpressFuelSurcharge),2),ROUND(((1-(OverNightDiscount_21_Up+FedExExrpessEarnedDiscount))*'1Day AM Base'!F30)*(1+ExpressFuelSurcharge),2)))*(1+FedEx_Markup),2)</f>
        <v>134.16</v>
      </c>
      <c r="G33" s="275">
        <f>ROUND((IF(MinBase1AMDay&gt;ROUND(((1-(OverNightDiscount_21_Up+FedExExrpessEarnedDiscount))*'1Day AM Base'!G30),2),ROUND(MinBase1AMDay*(1+ExpressFuelSurcharge),2),ROUND(((1-(OverNightDiscount_21_Up+FedExExrpessEarnedDiscount))*'1Day AM Base'!G30)*(1+ExpressFuelSurcharge),2)))*(1+FedEx_Markup),2)</f>
        <v>143.11</v>
      </c>
      <c r="H33" s="275">
        <f>ROUND((IF(MinBase1AMDay&gt;ROUND(((1-(OverNightDiscount_21_Up+FedExExrpessEarnedDiscount))*'1Day AM Base'!H30),2),ROUND(MinBase1AMDay*(1+ExpressFuelSurcharge),2),ROUND(((1-(OverNightDiscount_21_Up+FedExExrpessEarnedDiscount))*'1Day AM Base'!H30)*(1+ExpressFuelSurcharge),2)))*(1+FedEx_Markup),2)</f>
        <v>152.85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274">
        <v>29.0</v>
      </c>
      <c r="B34" s="275">
        <f>ROUND((IF(MinBase1AMDay&gt;ROUND(((1-(OverNightDiscount_21_Up+FedExExrpessEarnedDiscount))*'1Day AM Base'!B31),2),ROUND(MinBase1AMDay*(1+ExpressFuelSurcharge),2),ROUND(((1-(OverNightDiscount_21_Up+FedExExrpessEarnedDiscount))*'1Day AM Base'!B31)*(1+ExpressFuelSurcharge),2)))*(1+FedEx_Markup),2)</f>
        <v>43.6</v>
      </c>
      <c r="C34" s="275">
        <f>ROUND((IF(MinBase1AMDay&gt;ROUND(((1-(OverNightDiscount_21_Up+FedExExrpessEarnedDiscount))*'1Day AM Base'!C31),2),ROUND(MinBase1AMDay*(1+ExpressFuelSurcharge),2),ROUND(((1-(OverNightDiscount_21_Up+FedExExrpessEarnedDiscount))*'1Day AM Base'!C31)*(1+ExpressFuelSurcharge),2)))*(1+FedEx_Markup),2)</f>
        <v>62.04</v>
      </c>
      <c r="D34" s="275">
        <f>ROUND((IF(MinBase1AMDay&gt;ROUND(((1-(OverNightDiscount_21_Up+FedExExrpessEarnedDiscount))*'1Day AM Base'!D31),2),ROUND(MinBase1AMDay*(1+ExpressFuelSurcharge),2),ROUND(((1-(OverNightDiscount_21_Up+FedExExrpessEarnedDiscount))*'1Day AM Base'!D31)*(1+ExpressFuelSurcharge),2)))*(1+FedEx_Markup),2)</f>
        <v>123.4</v>
      </c>
      <c r="E34" s="275">
        <f>ROUND((IF(MinBase1AMDay&gt;ROUND(((1-(OverNightDiscount_21_Up+FedExExrpessEarnedDiscount))*'1Day AM Base'!E31),2),ROUND(MinBase1AMDay*(1+ExpressFuelSurcharge),2),ROUND(((1-(OverNightDiscount_21_Up+FedExExrpessEarnedDiscount))*'1Day AM Base'!E31)*(1+ExpressFuelSurcharge),2)))*(1+FedEx_Markup),2)</f>
        <v>129.98</v>
      </c>
      <c r="F34" s="275">
        <f>ROUND((IF(MinBase1AMDay&gt;ROUND(((1-(OverNightDiscount_21_Up+FedExExrpessEarnedDiscount))*'1Day AM Base'!F31),2),ROUND(MinBase1AMDay*(1+ExpressFuelSurcharge),2),ROUND(((1-(OverNightDiscount_21_Up+FedExExrpessEarnedDiscount))*'1Day AM Base'!F31)*(1+ExpressFuelSurcharge),2)))*(1+FedEx_Markup),2)</f>
        <v>134.48</v>
      </c>
      <c r="G34" s="275">
        <f>ROUND((IF(MinBase1AMDay&gt;ROUND(((1-(OverNightDiscount_21_Up+FedExExrpessEarnedDiscount))*'1Day AM Base'!G31),2),ROUND(MinBase1AMDay*(1+ExpressFuelSurcharge),2),ROUND(((1-(OverNightDiscount_21_Up+FedExExrpessEarnedDiscount))*'1Day AM Base'!G31)*(1+ExpressFuelSurcharge),2)))*(1+FedEx_Markup),2)</f>
        <v>147.22</v>
      </c>
      <c r="H34" s="275">
        <f>ROUND((IF(MinBase1AMDay&gt;ROUND(((1-(OverNightDiscount_21_Up+FedExExrpessEarnedDiscount))*'1Day AM Base'!H31),2),ROUND(MinBase1AMDay*(1+ExpressFuelSurcharge),2),ROUND(((1-(OverNightDiscount_21_Up+FedExExrpessEarnedDiscount))*'1Day AM Base'!H31)*(1+ExpressFuelSurcharge),2)))*(1+FedEx_Markup),2)</f>
        <v>153.64</v>
      </c>
    </row>
    <row r="35" ht="12.75" customHeight="1">
      <c r="A35" s="274">
        <v>30.0</v>
      </c>
      <c r="B35" s="275">
        <f>ROUND((IF(MinBase1AMDay&gt;ROUND(((1-(OverNightDiscount_21_Up+FedExExrpessEarnedDiscount))*'1Day AM Base'!B32),2),ROUND(MinBase1AMDay*(1+ExpressFuelSurcharge),2),ROUND(((1-(OverNightDiscount_21_Up+FedExExrpessEarnedDiscount))*'1Day AM Base'!B32)*(1+ExpressFuelSurcharge),2)))*(1+FedEx_Markup),2)</f>
        <v>43.79</v>
      </c>
      <c r="C35" s="275">
        <f>ROUND((IF(MinBase1AMDay&gt;ROUND(((1-(OverNightDiscount_21_Up+FedExExrpessEarnedDiscount))*'1Day AM Base'!C32),2),ROUND(MinBase1AMDay*(1+ExpressFuelSurcharge),2),ROUND(((1-(OverNightDiscount_21_Up+FedExExrpessEarnedDiscount))*'1Day AM Base'!C32)*(1+ExpressFuelSurcharge),2)))*(1+FedEx_Markup),2)</f>
        <v>62.17</v>
      </c>
      <c r="D35" s="275">
        <f>ROUND((IF(MinBase1AMDay&gt;ROUND(((1-(OverNightDiscount_21_Up+FedExExrpessEarnedDiscount))*'1Day AM Base'!D32),2),ROUND(MinBase1AMDay*(1+ExpressFuelSurcharge),2),ROUND(((1-(OverNightDiscount_21_Up+FedExExrpessEarnedDiscount))*'1Day AM Base'!D32)*(1+ExpressFuelSurcharge),2)))*(1+FedEx_Markup),2)</f>
        <v>123.67</v>
      </c>
      <c r="E35" s="275">
        <f>ROUND((IF(MinBase1AMDay&gt;ROUND(((1-(OverNightDiscount_21_Up+FedExExrpessEarnedDiscount))*'1Day AM Base'!E32),2),ROUND(MinBase1AMDay*(1+ExpressFuelSurcharge),2),ROUND(((1-(OverNightDiscount_21_Up+FedExExrpessEarnedDiscount))*'1Day AM Base'!E32)*(1+ExpressFuelSurcharge),2)))*(1+FedEx_Markup),2)</f>
        <v>131.13</v>
      </c>
      <c r="F35" s="275">
        <f>ROUND((IF(MinBase1AMDay&gt;ROUND(((1-(OverNightDiscount_21_Up+FedExExrpessEarnedDiscount))*'1Day AM Base'!F32),2),ROUND(MinBase1AMDay*(1+ExpressFuelSurcharge),2),ROUND(((1-(OverNightDiscount_21_Up+FedExExrpessEarnedDiscount))*'1Day AM Base'!F32)*(1+ExpressFuelSurcharge),2)))*(1+FedEx_Markup),2)</f>
        <v>135.06</v>
      </c>
      <c r="G35" s="275">
        <f>ROUND((IF(MinBase1AMDay&gt;ROUND(((1-(OverNightDiscount_21_Up+FedExExrpessEarnedDiscount))*'1Day AM Base'!G32),2),ROUND(MinBase1AMDay*(1+ExpressFuelSurcharge),2),ROUND(((1-(OverNightDiscount_21_Up+FedExExrpessEarnedDiscount))*'1Day AM Base'!G32)*(1+ExpressFuelSurcharge),2)))*(1+FedEx_Markup),2)</f>
        <v>147.86</v>
      </c>
      <c r="H35" s="275">
        <f>ROUND((IF(MinBase1AMDay&gt;ROUND(((1-(OverNightDiscount_21_Up+FedExExrpessEarnedDiscount))*'1Day AM Base'!H32),2),ROUND(MinBase1AMDay*(1+ExpressFuelSurcharge),2),ROUND(((1-(OverNightDiscount_21_Up+FedExExrpessEarnedDiscount))*'1Day AM Base'!H32)*(1+ExpressFuelSurcharge),2)))*(1+FedEx_Markup),2)</f>
        <v>153.94</v>
      </c>
    </row>
    <row r="36" ht="12.75" customHeight="1">
      <c r="A36" s="274">
        <v>31.0</v>
      </c>
      <c r="B36" s="275">
        <f>ROUND((IF(MinBase1AMDay&gt;ROUND(((1-(OverNightDiscount_21_Up+FedExExrpessEarnedDiscount))*'1Day AM Base'!B33),2),ROUND(MinBase1AMDay*(1+ExpressFuelSurcharge),2),ROUND(((1-(OverNightDiscount_21_Up+FedExExrpessEarnedDiscount))*'1Day AM Base'!B33)*(1+ExpressFuelSurcharge),2)))*(1+FedEx_Markup),2)</f>
        <v>45.46</v>
      </c>
      <c r="C36" s="275">
        <f>ROUND((IF(MinBase1AMDay&gt;ROUND(((1-(OverNightDiscount_21_Up+FedExExrpessEarnedDiscount))*'1Day AM Base'!C33),2),ROUND(MinBase1AMDay*(1+ExpressFuelSurcharge),2),ROUND(((1-(OverNightDiscount_21_Up+FedExExrpessEarnedDiscount))*'1Day AM Base'!C33)*(1+ExpressFuelSurcharge),2)))*(1+FedEx_Markup),2)</f>
        <v>63.91</v>
      </c>
      <c r="D36" s="275">
        <f>ROUND((IF(MinBase1AMDay&gt;ROUND(((1-(OverNightDiscount_21_Up+FedExExrpessEarnedDiscount))*'1Day AM Base'!D33),2),ROUND(MinBase1AMDay*(1+ExpressFuelSurcharge),2),ROUND(((1-(OverNightDiscount_21_Up+FedExExrpessEarnedDiscount))*'1Day AM Base'!D33)*(1+ExpressFuelSurcharge),2)))*(1+FedEx_Markup),2)</f>
        <v>128.92</v>
      </c>
      <c r="E36" s="275">
        <f>ROUND((IF(MinBase1AMDay&gt;ROUND(((1-(OverNightDiscount_21_Up+FedExExrpessEarnedDiscount))*'1Day AM Base'!E33),2),ROUND(MinBase1AMDay*(1+ExpressFuelSurcharge),2),ROUND(((1-(OverNightDiscount_21_Up+FedExExrpessEarnedDiscount))*'1Day AM Base'!E33)*(1+ExpressFuelSurcharge),2)))*(1+FedEx_Markup),2)</f>
        <v>136.99</v>
      </c>
      <c r="F36" s="275">
        <f>ROUND((IF(MinBase1AMDay&gt;ROUND(((1-(OverNightDiscount_21_Up+FedExExrpessEarnedDiscount))*'1Day AM Base'!F33),2),ROUND(MinBase1AMDay*(1+ExpressFuelSurcharge),2),ROUND(((1-(OverNightDiscount_21_Up+FedExExrpessEarnedDiscount))*'1Day AM Base'!F33)*(1+ExpressFuelSurcharge),2)))*(1+FedEx_Markup),2)</f>
        <v>146.59</v>
      </c>
      <c r="G36" s="275">
        <f>ROUND((IF(MinBase1AMDay&gt;ROUND(((1-(OverNightDiscount_21_Up+FedExExrpessEarnedDiscount))*'1Day AM Base'!G33),2),ROUND(MinBase1AMDay*(1+ExpressFuelSurcharge),2),ROUND(((1-(OverNightDiscount_21_Up+FedExExrpessEarnedDiscount))*'1Day AM Base'!G33)*(1+ExpressFuelSurcharge),2)))*(1+FedEx_Markup),2)</f>
        <v>152.92</v>
      </c>
      <c r="H36" s="275">
        <f>ROUND((IF(MinBase1AMDay&gt;ROUND(((1-(OverNightDiscount_21_Up+FedExExrpessEarnedDiscount))*'1Day AM Base'!H33),2),ROUND(MinBase1AMDay*(1+ExpressFuelSurcharge),2),ROUND(((1-(OverNightDiscount_21_Up+FedExExrpessEarnedDiscount))*'1Day AM Base'!H33)*(1+ExpressFuelSurcharge),2)))*(1+FedEx_Markup),2)</f>
        <v>157.11</v>
      </c>
    </row>
    <row r="37" ht="12.75" customHeight="1">
      <c r="A37" s="274">
        <v>32.0</v>
      </c>
      <c r="B37" s="275">
        <f>ROUND((IF(MinBase1AMDay&gt;ROUND(((1-(OverNightDiscount_21_Up+FedExExrpessEarnedDiscount))*'1Day AM Base'!B34),2),ROUND(MinBase1AMDay*(1+ExpressFuelSurcharge),2),ROUND(((1-(OverNightDiscount_21_Up+FedExExrpessEarnedDiscount))*'1Day AM Base'!B34)*(1+ExpressFuelSurcharge),2)))*(1+FedEx_Markup),2)</f>
        <v>46.76</v>
      </c>
      <c r="C37" s="275">
        <f>ROUND((IF(MinBase1AMDay&gt;ROUND(((1-(OverNightDiscount_21_Up+FedExExrpessEarnedDiscount))*'1Day AM Base'!C34),2),ROUND(MinBase1AMDay*(1+ExpressFuelSurcharge),2),ROUND(((1-(OverNightDiscount_21_Up+FedExExrpessEarnedDiscount))*'1Day AM Base'!C34)*(1+ExpressFuelSurcharge),2)))*(1+FedEx_Markup),2)</f>
        <v>65.45</v>
      </c>
      <c r="D37" s="275">
        <f>ROUND((IF(MinBase1AMDay&gt;ROUND(((1-(OverNightDiscount_21_Up+FedExExrpessEarnedDiscount))*'1Day AM Base'!D34),2),ROUND(MinBase1AMDay*(1+ExpressFuelSurcharge),2),ROUND(((1-(OverNightDiscount_21_Up+FedExExrpessEarnedDiscount))*'1Day AM Base'!D34)*(1+ExpressFuelSurcharge),2)))*(1+FedEx_Markup),2)</f>
        <v>131.65</v>
      </c>
      <c r="E37" s="275">
        <f>ROUND((IF(MinBase1AMDay&gt;ROUND(((1-(OverNightDiscount_21_Up+FedExExrpessEarnedDiscount))*'1Day AM Base'!E34),2),ROUND(MinBase1AMDay*(1+ExpressFuelSurcharge),2),ROUND(((1-(OverNightDiscount_21_Up+FedExExrpessEarnedDiscount))*'1Day AM Base'!E34)*(1+ExpressFuelSurcharge),2)))*(1+FedEx_Markup),2)</f>
        <v>137.57</v>
      </c>
      <c r="F37" s="275">
        <f>ROUND((IF(MinBase1AMDay&gt;ROUND(((1-(OverNightDiscount_21_Up+FedExExrpessEarnedDiscount))*'1Day AM Base'!F34),2),ROUND(MinBase1AMDay*(1+ExpressFuelSurcharge),2),ROUND(((1-(OverNightDiscount_21_Up+FedExExrpessEarnedDiscount))*'1Day AM Base'!F34)*(1+ExpressFuelSurcharge),2)))*(1+FedEx_Markup),2)</f>
        <v>147.75</v>
      </c>
      <c r="G37" s="275">
        <f>ROUND((IF(MinBase1AMDay&gt;ROUND(((1-(OverNightDiscount_21_Up+FedExExrpessEarnedDiscount))*'1Day AM Base'!G34),2),ROUND(MinBase1AMDay*(1+ExpressFuelSurcharge),2),ROUND(((1-(OverNightDiscount_21_Up+FedExExrpessEarnedDiscount))*'1Day AM Base'!G34)*(1+ExpressFuelSurcharge),2)))*(1+FedEx_Markup),2)</f>
        <v>153.65</v>
      </c>
      <c r="H37" s="275">
        <f>ROUND((IF(MinBase1AMDay&gt;ROUND(((1-(OverNightDiscount_21_Up+FedExExrpessEarnedDiscount))*'1Day AM Base'!H34),2),ROUND(MinBase1AMDay*(1+ExpressFuelSurcharge),2),ROUND(((1-(OverNightDiscount_21_Up+FedExExrpessEarnedDiscount))*'1Day AM Base'!H34)*(1+ExpressFuelSurcharge),2)))*(1+FedEx_Markup),2)</f>
        <v>162.23</v>
      </c>
    </row>
    <row r="38" ht="12.75" customHeight="1">
      <c r="A38" s="274">
        <v>33.0</v>
      </c>
      <c r="B38" s="275">
        <f>ROUND((IF(MinBase1AMDay&gt;ROUND(((1-(OverNightDiscount_21_Up+FedExExrpessEarnedDiscount))*'1Day AM Base'!B35),2),ROUND(MinBase1AMDay*(1+ExpressFuelSurcharge),2),ROUND(((1-(OverNightDiscount_21_Up+FedExExrpessEarnedDiscount))*'1Day AM Base'!B35)*(1+ExpressFuelSurcharge),2)))*(1+FedEx_Markup),2)</f>
        <v>47.87</v>
      </c>
      <c r="C38" s="275">
        <f>ROUND((IF(MinBase1AMDay&gt;ROUND(((1-(OverNightDiscount_21_Up+FedExExrpessEarnedDiscount))*'1Day AM Base'!C35),2),ROUND(MinBase1AMDay*(1+ExpressFuelSurcharge),2),ROUND(((1-(OverNightDiscount_21_Up+FedExExrpessEarnedDiscount))*'1Day AM Base'!C35)*(1+ExpressFuelSurcharge),2)))*(1+FedEx_Markup),2)</f>
        <v>69.13</v>
      </c>
      <c r="D38" s="275">
        <f>ROUND((IF(MinBase1AMDay&gt;ROUND(((1-(OverNightDiscount_21_Up+FedExExrpessEarnedDiscount))*'1Day AM Base'!D35),2),ROUND(MinBase1AMDay*(1+ExpressFuelSurcharge),2),ROUND(((1-(OverNightDiscount_21_Up+FedExExrpessEarnedDiscount))*'1Day AM Base'!D35)*(1+ExpressFuelSurcharge),2)))*(1+FedEx_Markup),2)</f>
        <v>133.81</v>
      </c>
      <c r="E38" s="275">
        <f>ROUND((IF(MinBase1AMDay&gt;ROUND(((1-(OverNightDiscount_21_Up+FedExExrpessEarnedDiscount))*'1Day AM Base'!E35),2),ROUND(MinBase1AMDay*(1+ExpressFuelSurcharge),2),ROUND(((1-(OverNightDiscount_21_Up+FedExExrpessEarnedDiscount))*'1Day AM Base'!E35)*(1+ExpressFuelSurcharge),2)))*(1+FedEx_Markup),2)</f>
        <v>146.77</v>
      </c>
      <c r="F38" s="275">
        <f>ROUND((IF(MinBase1AMDay&gt;ROUND(((1-(OverNightDiscount_21_Up+FedExExrpessEarnedDiscount))*'1Day AM Base'!F35),2),ROUND(MinBase1AMDay*(1+ExpressFuelSurcharge),2),ROUND(((1-(OverNightDiscount_21_Up+FedExExrpessEarnedDiscount))*'1Day AM Base'!F35)*(1+ExpressFuelSurcharge),2)))*(1+FedEx_Markup),2)</f>
        <v>150.39</v>
      </c>
      <c r="G38" s="275">
        <f>ROUND((IF(MinBase1AMDay&gt;ROUND(((1-(OverNightDiscount_21_Up+FedExExrpessEarnedDiscount))*'1Day AM Base'!G35),2),ROUND(MinBase1AMDay*(1+ExpressFuelSurcharge),2),ROUND(((1-(OverNightDiscount_21_Up+FedExExrpessEarnedDiscount))*'1Day AM Base'!G35)*(1+ExpressFuelSurcharge),2)))*(1+FedEx_Markup),2)</f>
        <v>162.69</v>
      </c>
      <c r="H38" s="275">
        <f>ROUND((IF(MinBase1AMDay&gt;ROUND(((1-(OverNightDiscount_21_Up+FedExExrpessEarnedDiscount))*'1Day AM Base'!H35),2),ROUND(MinBase1AMDay*(1+ExpressFuelSurcharge),2),ROUND(((1-(OverNightDiscount_21_Up+FedExExrpessEarnedDiscount))*'1Day AM Base'!H35)*(1+ExpressFuelSurcharge),2)))*(1+FedEx_Markup),2)</f>
        <v>168.69</v>
      </c>
    </row>
    <row r="39" ht="12.75" customHeight="1">
      <c r="A39" s="274">
        <v>34.0</v>
      </c>
      <c r="B39" s="275">
        <f>ROUND((IF(MinBase1AMDay&gt;ROUND(((1-(OverNightDiscount_21_Up+FedExExrpessEarnedDiscount))*'1Day AM Base'!B36),2),ROUND(MinBase1AMDay*(1+ExpressFuelSurcharge),2),ROUND(((1-(OverNightDiscount_21_Up+FedExExrpessEarnedDiscount))*'1Day AM Base'!B36)*(1+ExpressFuelSurcharge),2)))*(1+FedEx_Markup),2)</f>
        <v>48.9</v>
      </c>
      <c r="C39" s="275">
        <f>ROUND((IF(MinBase1AMDay&gt;ROUND(((1-(OverNightDiscount_21_Up+FedExExrpessEarnedDiscount))*'1Day AM Base'!C36),2),ROUND(MinBase1AMDay*(1+ExpressFuelSurcharge),2),ROUND(((1-(OverNightDiscount_21_Up+FedExExrpessEarnedDiscount))*'1Day AM Base'!C36)*(1+ExpressFuelSurcharge),2)))*(1+FedEx_Markup),2)</f>
        <v>69.51</v>
      </c>
      <c r="D39" s="275">
        <f>ROUND((IF(MinBase1AMDay&gt;ROUND(((1-(OverNightDiscount_21_Up+FedExExrpessEarnedDiscount))*'1Day AM Base'!D36),2),ROUND(MinBase1AMDay*(1+ExpressFuelSurcharge),2),ROUND(((1-(OverNightDiscount_21_Up+FedExExrpessEarnedDiscount))*'1Day AM Base'!D36)*(1+ExpressFuelSurcharge),2)))*(1+FedEx_Markup),2)</f>
        <v>136.64</v>
      </c>
      <c r="E39" s="275">
        <f>ROUND((IF(MinBase1AMDay&gt;ROUND(((1-(OverNightDiscount_21_Up+FedExExrpessEarnedDiscount))*'1Day AM Base'!E36),2),ROUND(MinBase1AMDay*(1+ExpressFuelSurcharge),2),ROUND(((1-(OverNightDiscount_21_Up+FedExExrpessEarnedDiscount))*'1Day AM Base'!E36)*(1+ExpressFuelSurcharge),2)))*(1+FedEx_Markup),2)</f>
        <v>147.69</v>
      </c>
      <c r="F39" s="275">
        <f>ROUND((IF(MinBase1AMDay&gt;ROUND(((1-(OverNightDiscount_21_Up+FedExExrpessEarnedDiscount))*'1Day AM Base'!F36),2),ROUND(MinBase1AMDay*(1+ExpressFuelSurcharge),2),ROUND(((1-(OverNightDiscount_21_Up+FedExExrpessEarnedDiscount))*'1Day AM Base'!F36)*(1+ExpressFuelSurcharge),2)))*(1+FedEx_Markup),2)</f>
        <v>150.65</v>
      </c>
      <c r="G39" s="275">
        <f>ROUND((IF(MinBase1AMDay&gt;ROUND(((1-(OverNightDiscount_21_Up+FedExExrpessEarnedDiscount))*'1Day AM Base'!G36),2),ROUND(MinBase1AMDay*(1+ExpressFuelSurcharge),2),ROUND(((1-(OverNightDiscount_21_Up+FedExExrpessEarnedDiscount))*'1Day AM Base'!G36)*(1+ExpressFuelSurcharge),2)))*(1+FedEx_Markup),2)</f>
        <v>166.13</v>
      </c>
      <c r="H39" s="275">
        <f>ROUND((IF(MinBase1AMDay&gt;ROUND(((1-(OverNightDiscount_21_Up+FedExExrpessEarnedDiscount))*'1Day AM Base'!H36),2),ROUND(MinBase1AMDay*(1+ExpressFuelSurcharge),2),ROUND(((1-(OverNightDiscount_21_Up+FedExExrpessEarnedDiscount))*'1Day AM Base'!H36)*(1+ExpressFuelSurcharge),2)))*(1+FedEx_Markup),2)</f>
        <v>169.45</v>
      </c>
    </row>
    <row r="40" ht="12.75" customHeight="1">
      <c r="A40" s="274">
        <v>35.0</v>
      </c>
      <c r="B40" s="275">
        <f>ROUND((IF(MinBase1AMDay&gt;ROUND(((1-(OverNightDiscount_21_Up+FedExExrpessEarnedDiscount))*'1Day AM Base'!B37),2),ROUND(MinBase1AMDay*(1+ExpressFuelSurcharge),2),ROUND(((1-(OverNightDiscount_21_Up+FedExExrpessEarnedDiscount))*'1Day AM Base'!B37)*(1+ExpressFuelSurcharge),2)))*(1+FedEx_Markup),2)</f>
        <v>49.94</v>
      </c>
      <c r="C40" s="275">
        <f>ROUND((IF(MinBase1AMDay&gt;ROUND(((1-(OverNightDiscount_21_Up+FedExExrpessEarnedDiscount))*'1Day AM Base'!C37),2),ROUND(MinBase1AMDay*(1+ExpressFuelSurcharge),2),ROUND(((1-(OverNightDiscount_21_Up+FedExExrpessEarnedDiscount))*'1Day AM Base'!C37)*(1+ExpressFuelSurcharge),2)))*(1+FedEx_Markup),2)</f>
        <v>69.71</v>
      </c>
      <c r="D40" s="275">
        <f>ROUND((IF(MinBase1AMDay&gt;ROUND(((1-(OverNightDiscount_21_Up+FedExExrpessEarnedDiscount))*'1Day AM Base'!D37),2),ROUND(MinBase1AMDay*(1+ExpressFuelSurcharge),2),ROUND(((1-(OverNightDiscount_21_Up+FedExExrpessEarnedDiscount))*'1Day AM Base'!D37)*(1+ExpressFuelSurcharge),2)))*(1+FedEx_Markup),2)</f>
        <v>136.94</v>
      </c>
      <c r="E40" s="275">
        <f>ROUND((IF(MinBase1AMDay&gt;ROUND(((1-(OverNightDiscount_21_Up+FedExExrpessEarnedDiscount))*'1Day AM Base'!E37),2),ROUND(MinBase1AMDay*(1+ExpressFuelSurcharge),2),ROUND(((1-(OverNightDiscount_21_Up+FedExExrpessEarnedDiscount))*'1Day AM Base'!E37)*(1+ExpressFuelSurcharge),2)))*(1+FedEx_Markup),2)</f>
        <v>147.87</v>
      </c>
      <c r="F40" s="275">
        <f>ROUND((IF(MinBase1AMDay&gt;ROUND(((1-(OverNightDiscount_21_Up+FedExExrpessEarnedDiscount))*'1Day AM Base'!F37),2),ROUND(MinBase1AMDay*(1+ExpressFuelSurcharge),2),ROUND(((1-(OverNightDiscount_21_Up+FedExExrpessEarnedDiscount))*'1Day AM Base'!F37)*(1+ExpressFuelSurcharge),2)))*(1+FedEx_Markup),2)</f>
        <v>150.91</v>
      </c>
      <c r="G40" s="275">
        <f>ROUND((IF(MinBase1AMDay&gt;ROUND(((1-(OverNightDiscount_21_Up+FedExExrpessEarnedDiscount))*'1Day AM Base'!G37),2),ROUND(MinBase1AMDay*(1+ExpressFuelSurcharge),2),ROUND(((1-(OverNightDiscount_21_Up+FedExExrpessEarnedDiscount))*'1Day AM Base'!G37)*(1+ExpressFuelSurcharge),2)))*(1+FedEx_Markup),2)</f>
        <v>167.68</v>
      </c>
      <c r="H40" s="275">
        <f>ROUND((IF(MinBase1AMDay&gt;ROUND(((1-(OverNightDiscount_21_Up+FedExExrpessEarnedDiscount))*'1Day AM Base'!H37),2),ROUND(MinBase1AMDay*(1+ExpressFuelSurcharge),2),ROUND(((1-(OverNightDiscount_21_Up+FedExExrpessEarnedDiscount))*'1Day AM Base'!H37)*(1+ExpressFuelSurcharge),2)))*(1+FedEx_Markup),2)</f>
        <v>171.03</v>
      </c>
    </row>
    <row r="41" ht="12.75" customHeight="1">
      <c r="A41" s="274">
        <v>36.0</v>
      </c>
      <c r="B41" s="275">
        <f>ROUND((IF(MinBase1AMDay&gt;ROUND(((1-(OverNightDiscount_21_Up+FedExExrpessEarnedDiscount))*'1Day AM Base'!B38),2),ROUND(MinBase1AMDay*(1+ExpressFuelSurcharge),2),ROUND(((1-(OverNightDiscount_21_Up+FedExExrpessEarnedDiscount))*'1Day AM Base'!B38)*(1+ExpressFuelSurcharge),2)))*(1+FedEx_Markup),2)</f>
        <v>52.01</v>
      </c>
      <c r="C41" s="275">
        <f>ROUND((IF(MinBase1AMDay&gt;ROUND(((1-(OverNightDiscount_21_Up+FedExExrpessEarnedDiscount))*'1Day AM Base'!C38),2),ROUND(MinBase1AMDay*(1+ExpressFuelSurcharge),2),ROUND(((1-(OverNightDiscount_21_Up+FedExExrpessEarnedDiscount))*'1Day AM Base'!C38)*(1+ExpressFuelSurcharge),2)))*(1+FedEx_Markup),2)</f>
        <v>71.07</v>
      </c>
      <c r="D41" s="275">
        <f>ROUND((IF(MinBase1AMDay&gt;ROUND(((1-(OverNightDiscount_21_Up+FedExExrpessEarnedDiscount))*'1Day AM Base'!D38),2),ROUND(MinBase1AMDay*(1+ExpressFuelSurcharge),2),ROUND(((1-(OverNightDiscount_21_Up+FedExExrpessEarnedDiscount))*'1Day AM Base'!D38)*(1+ExpressFuelSurcharge),2)))*(1+FedEx_Markup),2)</f>
        <v>142.36</v>
      </c>
      <c r="E41" s="275">
        <f>ROUND((IF(MinBase1AMDay&gt;ROUND(((1-(OverNightDiscount_21_Up+FedExExrpessEarnedDiscount))*'1Day AM Base'!E38),2),ROUND(MinBase1AMDay*(1+ExpressFuelSurcharge),2),ROUND(((1-(OverNightDiscount_21_Up+FedExExrpessEarnedDiscount))*'1Day AM Base'!E38)*(1+ExpressFuelSurcharge),2)))*(1+FedEx_Markup),2)</f>
        <v>150.85</v>
      </c>
      <c r="F41" s="275">
        <f>ROUND((IF(MinBase1AMDay&gt;ROUND(((1-(OverNightDiscount_21_Up+FedExExrpessEarnedDiscount))*'1Day AM Base'!F38),2),ROUND(MinBase1AMDay*(1+ExpressFuelSurcharge),2),ROUND(((1-(OverNightDiscount_21_Up+FedExExrpessEarnedDiscount))*'1Day AM Base'!F38)*(1+ExpressFuelSurcharge),2)))*(1+FedEx_Markup),2)</f>
        <v>156.2</v>
      </c>
      <c r="G41" s="275">
        <f>ROUND((IF(MinBase1AMDay&gt;ROUND(((1-(OverNightDiscount_21_Up+FedExExrpessEarnedDiscount))*'1Day AM Base'!G38),2),ROUND(MinBase1AMDay*(1+ExpressFuelSurcharge),2),ROUND(((1-(OverNightDiscount_21_Up+FedExExrpessEarnedDiscount))*'1Day AM Base'!G38)*(1+ExpressFuelSurcharge),2)))*(1+FedEx_Markup),2)</f>
        <v>170.14</v>
      </c>
      <c r="H41" s="275">
        <f>ROUND((IF(MinBase1AMDay&gt;ROUND(((1-(OverNightDiscount_21_Up+FedExExrpessEarnedDiscount))*'1Day AM Base'!H38),2),ROUND(MinBase1AMDay*(1+ExpressFuelSurcharge),2),ROUND(((1-(OverNightDiscount_21_Up+FedExExrpessEarnedDiscount))*'1Day AM Base'!H38)*(1+ExpressFuelSurcharge),2)))*(1+FedEx_Markup),2)</f>
        <v>174.66</v>
      </c>
      <c r="L41" s="4"/>
    </row>
    <row r="42" ht="12.75" customHeight="1">
      <c r="A42" s="274">
        <v>37.0</v>
      </c>
      <c r="B42" s="275">
        <f>ROUND((IF(MinBase1AMDay&gt;ROUND(((1-(OverNightDiscount_21_Up+FedExExrpessEarnedDiscount))*'1Day AM Base'!B39),2),ROUND(MinBase1AMDay*(1+ExpressFuelSurcharge),2),ROUND(((1-(OverNightDiscount_21_Up+FedExExrpessEarnedDiscount))*'1Day AM Base'!B39)*(1+ExpressFuelSurcharge),2)))*(1+FedEx_Markup),2)</f>
        <v>52.23</v>
      </c>
      <c r="C42" s="275">
        <f>ROUND((IF(MinBase1AMDay&gt;ROUND(((1-(OverNightDiscount_21_Up+FedExExrpessEarnedDiscount))*'1Day AM Base'!C39),2),ROUND(MinBase1AMDay*(1+ExpressFuelSurcharge),2),ROUND(((1-(OverNightDiscount_21_Up+FedExExrpessEarnedDiscount))*'1Day AM Base'!C39)*(1+ExpressFuelSurcharge),2)))*(1+FedEx_Markup),2)</f>
        <v>75.84</v>
      </c>
      <c r="D42" s="275">
        <f>ROUND((IF(MinBase1AMDay&gt;ROUND(((1-(OverNightDiscount_21_Up+FedExExrpessEarnedDiscount))*'1Day AM Base'!D39),2),ROUND(MinBase1AMDay*(1+ExpressFuelSurcharge),2),ROUND(((1-(OverNightDiscount_21_Up+FedExExrpessEarnedDiscount))*'1Day AM Base'!D39)*(1+ExpressFuelSurcharge),2)))*(1+FedEx_Markup),2)</f>
        <v>145.68</v>
      </c>
      <c r="E42" s="275">
        <f>ROUND((IF(MinBase1AMDay&gt;ROUND(((1-(OverNightDiscount_21_Up+FedExExrpessEarnedDiscount))*'1Day AM Base'!E39),2),ROUND(MinBase1AMDay*(1+ExpressFuelSurcharge),2),ROUND(((1-(OverNightDiscount_21_Up+FedExExrpessEarnedDiscount))*'1Day AM Base'!E39)*(1+ExpressFuelSurcharge),2)))*(1+FedEx_Markup),2)</f>
        <v>155.95</v>
      </c>
      <c r="F42" s="275">
        <f>ROUND((IF(MinBase1AMDay&gt;ROUND(((1-(OverNightDiscount_21_Up+FedExExrpessEarnedDiscount))*'1Day AM Base'!F39),2),ROUND(MinBase1AMDay*(1+ExpressFuelSurcharge),2),ROUND(((1-(OverNightDiscount_21_Up+FedExExrpessEarnedDiscount))*'1Day AM Base'!F39)*(1+ExpressFuelSurcharge),2)))*(1+FedEx_Markup),2)</f>
        <v>163.82</v>
      </c>
      <c r="G42" s="275">
        <f>ROUND((IF(MinBase1AMDay&gt;ROUND(((1-(OverNightDiscount_21_Up+FedExExrpessEarnedDiscount))*'1Day AM Base'!G39),2),ROUND(MinBase1AMDay*(1+ExpressFuelSurcharge),2),ROUND(((1-(OverNightDiscount_21_Up+FedExExrpessEarnedDiscount))*'1Day AM Base'!G39)*(1+ExpressFuelSurcharge),2)))*(1+FedEx_Markup),2)</f>
        <v>175.74</v>
      </c>
      <c r="H42" s="275">
        <f>ROUND((IF(MinBase1AMDay&gt;ROUND(((1-(OverNightDiscount_21_Up+FedExExrpessEarnedDiscount))*'1Day AM Base'!H39),2),ROUND(MinBase1AMDay*(1+ExpressFuelSurcharge),2),ROUND(((1-(OverNightDiscount_21_Up+FedExExrpessEarnedDiscount))*'1Day AM Base'!H39)*(1+ExpressFuelSurcharge),2)))*(1+FedEx_Markup),2)</f>
        <v>180.58</v>
      </c>
    </row>
    <row r="43" ht="12.75" customHeight="1">
      <c r="A43" s="274">
        <v>38.0</v>
      </c>
      <c r="B43" s="275">
        <f>ROUND((IF(MinBase1AMDay&gt;ROUND(((1-(OverNightDiscount_21_Up+FedExExrpessEarnedDiscount))*'1Day AM Base'!B40),2),ROUND(MinBase1AMDay*(1+ExpressFuelSurcharge),2),ROUND(((1-(OverNightDiscount_21_Up+FedExExrpessEarnedDiscount))*'1Day AM Base'!B40)*(1+ExpressFuelSurcharge),2)))*(1+FedEx_Markup),2)</f>
        <v>52.35</v>
      </c>
      <c r="C43" s="275">
        <f>ROUND((IF(MinBase1AMDay&gt;ROUND(((1-(OverNightDiscount_21_Up+FedExExrpessEarnedDiscount))*'1Day AM Base'!C40),2),ROUND(MinBase1AMDay*(1+ExpressFuelSurcharge),2),ROUND(((1-(OverNightDiscount_21_Up+FedExExrpessEarnedDiscount))*'1Day AM Base'!C40)*(1+ExpressFuelSurcharge),2)))*(1+FedEx_Markup),2)</f>
        <v>76.33</v>
      </c>
      <c r="D43" s="275">
        <f>ROUND((IF(MinBase1AMDay&gt;ROUND(((1-(OverNightDiscount_21_Up+FedExExrpessEarnedDiscount))*'1Day AM Base'!D40),2),ROUND(MinBase1AMDay*(1+ExpressFuelSurcharge),2),ROUND(((1-(OverNightDiscount_21_Up+FedExExrpessEarnedDiscount))*'1Day AM Base'!D40)*(1+ExpressFuelSurcharge),2)))*(1+FedEx_Markup),2)</f>
        <v>147.96</v>
      </c>
      <c r="E43" s="275">
        <f>ROUND((IF(MinBase1AMDay&gt;ROUND(((1-(OverNightDiscount_21_Up+FedExExrpessEarnedDiscount))*'1Day AM Base'!E40),2),ROUND(MinBase1AMDay*(1+ExpressFuelSurcharge),2),ROUND(((1-(OverNightDiscount_21_Up+FedExExrpessEarnedDiscount))*'1Day AM Base'!E40)*(1+ExpressFuelSurcharge),2)))*(1+FedEx_Markup),2)</f>
        <v>158.79</v>
      </c>
      <c r="F43" s="275">
        <f>ROUND((IF(MinBase1AMDay&gt;ROUND(((1-(OverNightDiscount_21_Up+FedExExrpessEarnedDiscount))*'1Day AM Base'!F40),2),ROUND(MinBase1AMDay*(1+ExpressFuelSurcharge),2),ROUND(((1-(OverNightDiscount_21_Up+FedExExrpessEarnedDiscount))*'1Day AM Base'!F40)*(1+ExpressFuelSurcharge),2)))*(1+FedEx_Markup),2)</f>
        <v>166.44</v>
      </c>
      <c r="G43" s="275">
        <f>ROUND((IF(MinBase1AMDay&gt;ROUND(((1-(OverNightDiscount_21_Up+FedExExrpessEarnedDiscount))*'1Day AM Base'!G40),2),ROUND(MinBase1AMDay*(1+ExpressFuelSurcharge),2),ROUND(((1-(OverNightDiscount_21_Up+FedExExrpessEarnedDiscount))*'1Day AM Base'!G40)*(1+ExpressFuelSurcharge),2)))*(1+FedEx_Markup),2)</f>
        <v>176.31</v>
      </c>
      <c r="H43" s="275">
        <f>ROUND((IF(MinBase1AMDay&gt;ROUND(((1-(OverNightDiscount_21_Up+FedExExrpessEarnedDiscount))*'1Day AM Base'!H40),2),ROUND(MinBase1AMDay*(1+ExpressFuelSurcharge),2),ROUND(((1-(OverNightDiscount_21_Up+FedExExrpessEarnedDiscount))*'1Day AM Base'!H40)*(1+ExpressFuelSurcharge),2)))*(1+FedEx_Markup),2)</f>
        <v>181.18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274">
        <v>39.0</v>
      </c>
      <c r="B44" s="275">
        <f>ROUND((IF(MinBase1AMDay&gt;ROUND(((1-(OverNightDiscount_21_Up+FedExExrpessEarnedDiscount))*'1Day AM Base'!B41),2),ROUND(MinBase1AMDay*(1+ExpressFuelSurcharge),2),ROUND(((1-(OverNightDiscount_21_Up+FedExExrpessEarnedDiscount))*'1Day AM Base'!B41)*(1+ExpressFuelSurcharge),2)))*(1+FedEx_Markup),2)</f>
        <v>52.56</v>
      </c>
      <c r="C44" s="275">
        <f>ROUND((IF(MinBase1AMDay&gt;ROUND(((1-(OverNightDiscount_21_Up+FedExExrpessEarnedDiscount))*'1Day AM Base'!C41),2),ROUND(MinBase1AMDay*(1+ExpressFuelSurcharge),2),ROUND(((1-(OverNightDiscount_21_Up+FedExExrpessEarnedDiscount))*'1Day AM Base'!C41)*(1+ExpressFuelSurcharge),2)))*(1+FedEx_Markup),2)</f>
        <v>76.52</v>
      </c>
      <c r="D44" s="275">
        <f>ROUND((IF(MinBase1AMDay&gt;ROUND(((1-(OverNightDiscount_21_Up+FedExExrpessEarnedDiscount))*'1Day AM Base'!D41),2),ROUND(MinBase1AMDay*(1+ExpressFuelSurcharge),2),ROUND(((1-(OverNightDiscount_21_Up+FedExExrpessEarnedDiscount))*'1Day AM Base'!D41)*(1+ExpressFuelSurcharge),2)))*(1+FedEx_Markup),2)</f>
        <v>150.51</v>
      </c>
      <c r="E44" s="275">
        <f>ROUND((IF(MinBase1AMDay&gt;ROUND(((1-(OverNightDiscount_21_Up+FedExExrpessEarnedDiscount))*'1Day AM Base'!E41),2),ROUND(MinBase1AMDay*(1+ExpressFuelSurcharge),2),ROUND(((1-(OverNightDiscount_21_Up+FedExExrpessEarnedDiscount))*'1Day AM Base'!E41)*(1+ExpressFuelSurcharge),2)))*(1+FedEx_Markup),2)</f>
        <v>160.91</v>
      </c>
      <c r="F44" s="275">
        <f>ROUND((IF(MinBase1AMDay&gt;ROUND(((1-(OverNightDiscount_21_Up+FedExExrpessEarnedDiscount))*'1Day AM Base'!F41),2),ROUND(MinBase1AMDay*(1+ExpressFuelSurcharge),2),ROUND(((1-(OverNightDiscount_21_Up+FedExExrpessEarnedDiscount))*'1Day AM Base'!F41)*(1+ExpressFuelSurcharge),2)))*(1+FedEx_Markup),2)</f>
        <v>166.7</v>
      </c>
      <c r="G44" s="275">
        <f>ROUND((IF(MinBase1AMDay&gt;ROUND(((1-(OverNightDiscount_21_Up+FedExExrpessEarnedDiscount))*'1Day AM Base'!G41),2),ROUND(MinBase1AMDay*(1+ExpressFuelSurcharge),2),ROUND(((1-(OverNightDiscount_21_Up+FedExExrpessEarnedDiscount))*'1Day AM Base'!G41)*(1+ExpressFuelSurcharge),2)))*(1+FedEx_Markup),2)</f>
        <v>176.63</v>
      </c>
      <c r="H44" s="275">
        <f>ROUND((IF(MinBase1AMDay&gt;ROUND(((1-(OverNightDiscount_21_Up+FedExExrpessEarnedDiscount))*'1Day AM Base'!H41),2),ROUND(MinBase1AMDay*(1+ExpressFuelSurcharge),2),ROUND(((1-(OverNightDiscount_21_Up+FedExExrpessEarnedDiscount))*'1Day AM Base'!H41)*(1+ExpressFuelSurcharge),2)))*(1+FedEx_Markup),2)</f>
        <v>181.73</v>
      </c>
    </row>
    <row r="45" ht="12.75" customHeight="1">
      <c r="A45" s="274">
        <v>40.0</v>
      </c>
      <c r="B45" s="275">
        <f>ROUND((IF(MinBase1AMDay&gt;ROUND(((1-(OverNightDiscount_21_Up+FedExExrpessEarnedDiscount))*'1Day AM Base'!B42),2),ROUND(MinBase1AMDay*(1+ExpressFuelSurcharge),2),ROUND(((1-(OverNightDiscount_21_Up+FedExExrpessEarnedDiscount))*'1Day AM Base'!B42)*(1+ExpressFuelSurcharge),2)))*(1+FedEx_Markup),2)</f>
        <v>52.69</v>
      </c>
      <c r="C45" s="275">
        <f>ROUND((IF(MinBase1AMDay&gt;ROUND(((1-(OverNightDiscount_21_Up+FedExExrpessEarnedDiscount))*'1Day AM Base'!C42),2),ROUND(MinBase1AMDay*(1+ExpressFuelSurcharge),2),ROUND(((1-(OverNightDiscount_21_Up+FedExExrpessEarnedDiscount))*'1Day AM Base'!C42)*(1+ExpressFuelSurcharge),2)))*(1+FedEx_Markup),2)</f>
        <v>76.73</v>
      </c>
      <c r="D45" s="275">
        <f>ROUND((IF(MinBase1AMDay&gt;ROUND(((1-(OverNightDiscount_21_Up+FedExExrpessEarnedDiscount))*'1Day AM Base'!D42),2),ROUND(MinBase1AMDay*(1+ExpressFuelSurcharge),2),ROUND(((1-(OverNightDiscount_21_Up+FedExExrpessEarnedDiscount))*'1Day AM Base'!D42)*(1+ExpressFuelSurcharge),2)))*(1+FedEx_Markup),2)</f>
        <v>150.78</v>
      </c>
      <c r="E45" s="275">
        <f>ROUND((IF(MinBase1AMDay&gt;ROUND(((1-(OverNightDiscount_21_Up+FedExExrpessEarnedDiscount))*'1Day AM Base'!E42),2),ROUND(MinBase1AMDay*(1+ExpressFuelSurcharge),2),ROUND(((1-(OverNightDiscount_21_Up+FedExExrpessEarnedDiscount))*'1Day AM Base'!E42)*(1+ExpressFuelSurcharge),2)))*(1+FedEx_Markup),2)</f>
        <v>161.13</v>
      </c>
      <c r="F45" s="275">
        <f>ROUND((IF(MinBase1AMDay&gt;ROUND(((1-(OverNightDiscount_21_Up+FedExExrpessEarnedDiscount))*'1Day AM Base'!F42),2),ROUND(MinBase1AMDay*(1+ExpressFuelSurcharge),2),ROUND(((1-(OverNightDiscount_21_Up+FedExExrpessEarnedDiscount))*'1Day AM Base'!F42)*(1+ExpressFuelSurcharge),2)))*(1+FedEx_Markup),2)</f>
        <v>167.18</v>
      </c>
      <c r="G45" s="275">
        <f>ROUND((IF(MinBase1AMDay&gt;ROUND(((1-(OverNightDiscount_21_Up+FedExExrpessEarnedDiscount))*'1Day AM Base'!G42),2),ROUND(MinBase1AMDay*(1+ExpressFuelSurcharge),2),ROUND(((1-(OverNightDiscount_21_Up+FedExExrpessEarnedDiscount))*'1Day AM Base'!G42)*(1+ExpressFuelSurcharge),2)))*(1+FedEx_Markup),2)</f>
        <v>181.19</v>
      </c>
      <c r="H45" s="275">
        <f>ROUND((IF(MinBase1AMDay&gt;ROUND(((1-(OverNightDiscount_21_Up+FedExExrpessEarnedDiscount))*'1Day AM Base'!H42),2),ROUND(MinBase1AMDay*(1+ExpressFuelSurcharge),2),ROUND(((1-(OverNightDiscount_21_Up+FedExExrpessEarnedDiscount))*'1Day AM Base'!H42)*(1+ExpressFuelSurcharge),2)))*(1+FedEx_Markup),2)</f>
        <v>184.82</v>
      </c>
    </row>
    <row r="46" ht="12.75" customHeight="1">
      <c r="A46" s="274">
        <v>41.0</v>
      </c>
      <c r="B46" s="275">
        <f>ROUND((IF(MinBase1AMDay&gt;ROUND(((1-(OverNightDiscount_21_Up+FedExExrpessEarnedDiscount))*'1Day AM Base'!B43),2),ROUND(MinBase1AMDay*(1+ExpressFuelSurcharge),2),ROUND(((1-(OverNightDiscount_21_Up+FedExExrpessEarnedDiscount))*'1Day AM Base'!B43)*(1+ExpressFuelSurcharge),2)))*(1+FedEx_Markup),2)</f>
        <v>55.02</v>
      </c>
      <c r="C46" s="275">
        <f>ROUND((IF(MinBase1AMDay&gt;ROUND(((1-(OverNightDiscount_21_Up+FedExExrpessEarnedDiscount))*'1Day AM Base'!C43),2),ROUND(MinBase1AMDay*(1+ExpressFuelSurcharge),2),ROUND(((1-(OverNightDiscount_21_Up+FedExExrpessEarnedDiscount))*'1Day AM Base'!C43)*(1+ExpressFuelSurcharge),2)))*(1+FedEx_Markup),2)</f>
        <v>80.37</v>
      </c>
      <c r="D46" s="275">
        <f>ROUND((IF(MinBase1AMDay&gt;ROUND(((1-(OverNightDiscount_21_Up+FedExExrpessEarnedDiscount))*'1Day AM Base'!D43),2),ROUND(MinBase1AMDay*(1+ExpressFuelSurcharge),2),ROUND(((1-(OverNightDiscount_21_Up+FedExExrpessEarnedDiscount))*'1Day AM Base'!D43)*(1+ExpressFuelSurcharge),2)))*(1+FedEx_Markup),2)</f>
        <v>156.02</v>
      </c>
      <c r="E46" s="275">
        <f>ROUND((IF(MinBase1AMDay&gt;ROUND(((1-(OverNightDiscount_21_Up+FedExExrpessEarnedDiscount))*'1Day AM Base'!E43),2),ROUND(MinBase1AMDay*(1+ExpressFuelSurcharge),2),ROUND(((1-(OverNightDiscount_21_Up+FedExExrpessEarnedDiscount))*'1Day AM Base'!E43)*(1+ExpressFuelSurcharge),2)))*(1+FedEx_Markup),2)</f>
        <v>165.24</v>
      </c>
      <c r="F46" s="275">
        <f>ROUND((IF(MinBase1AMDay&gt;ROUND(((1-(OverNightDiscount_21_Up+FedExExrpessEarnedDiscount))*'1Day AM Base'!F43),2),ROUND(MinBase1AMDay*(1+ExpressFuelSurcharge),2),ROUND(((1-(OverNightDiscount_21_Up+FedExExrpessEarnedDiscount))*'1Day AM Base'!F43)*(1+ExpressFuelSurcharge),2)))*(1+FedEx_Markup),2)</f>
        <v>176.42</v>
      </c>
      <c r="G46" s="275">
        <f>ROUND((IF(MinBase1AMDay&gt;ROUND(((1-(OverNightDiscount_21_Up+FedExExrpessEarnedDiscount))*'1Day AM Base'!G43),2),ROUND(MinBase1AMDay*(1+ExpressFuelSurcharge),2),ROUND(((1-(OverNightDiscount_21_Up+FedExExrpessEarnedDiscount))*'1Day AM Base'!G43)*(1+ExpressFuelSurcharge),2)))*(1+FedEx_Markup),2)</f>
        <v>183.76</v>
      </c>
      <c r="H46" s="275">
        <f>ROUND((IF(MinBase1AMDay&gt;ROUND(((1-(OverNightDiscount_21_Up+FedExExrpessEarnedDiscount))*'1Day AM Base'!H43),2),ROUND(MinBase1AMDay*(1+ExpressFuelSurcharge),2),ROUND(((1-(OverNightDiscount_21_Up+FedExExrpessEarnedDiscount))*'1Day AM Base'!H43)*(1+ExpressFuelSurcharge),2)))*(1+FedEx_Markup),2)</f>
        <v>190.11</v>
      </c>
    </row>
    <row r="47" ht="12.75" customHeight="1">
      <c r="A47" s="274">
        <v>42.0</v>
      </c>
      <c r="B47" s="275">
        <f>ROUND((IF(MinBase1AMDay&gt;ROUND(((1-(OverNightDiscount_21_Up+FedExExrpessEarnedDiscount))*'1Day AM Base'!B44),2),ROUND(MinBase1AMDay*(1+ExpressFuelSurcharge),2),ROUND(((1-(OverNightDiscount_21_Up+FedExExrpessEarnedDiscount))*'1Day AM Base'!B44)*(1+ExpressFuelSurcharge),2)))*(1+FedEx_Markup),2)</f>
        <v>55.82</v>
      </c>
      <c r="C47" s="275">
        <f>ROUND((IF(MinBase1AMDay&gt;ROUND(((1-(OverNightDiscount_21_Up+FedExExrpessEarnedDiscount))*'1Day AM Base'!C44),2),ROUND(MinBase1AMDay*(1+ExpressFuelSurcharge),2),ROUND(((1-(OverNightDiscount_21_Up+FedExExrpessEarnedDiscount))*'1Day AM Base'!C44)*(1+ExpressFuelSurcharge),2)))*(1+FedEx_Markup),2)</f>
        <v>80.74</v>
      </c>
      <c r="D47" s="275">
        <f>ROUND((IF(MinBase1AMDay&gt;ROUND(((1-(OverNightDiscount_21_Up+FedExExrpessEarnedDiscount))*'1Day AM Base'!D44),2),ROUND(MinBase1AMDay*(1+ExpressFuelSurcharge),2),ROUND(((1-(OverNightDiscount_21_Up+FedExExrpessEarnedDiscount))*'1Day AM Base'!D44)*(1+ExpressFuelSurcharge),2)))*(1+FedEx_Markup),2)</f>
        <v>158.02</v>
      </c>
      <c r="E47" s="275">
        <f>ROUND((IF(MinBase1AMDay&gt;ROUND(((1-(OverNightDiscount_21_Up+FedExExrpessEarnedDiscount))*'1Day AM Base'!E44),2),ROUND(MinBase1AMDay*(1+ExpressFuelSurcharge),2),ROUND(((1-(OverNightDiscount_21_Up+FedExExrpessEarnedDiscount))*'1Day AM Base'!E44)*(1+ExpressFuelSurcharge),2)))*(1+FedEx_Markup),2)</f>
        <v>167.77</v>
      </c>
      <c r="F47" s="275">
        <f>ROUND((IF(MinBase1AMDay&gt;ROUND(((1-(OverNightDiscount_21_Up+FedExExrpessEarnedDiscount))*'1Day AM Base'!F44),2),ROUND(MinBase1AMDay*(1+ExpressFuelSurcharge),2),ROUND(((1-(OverNightDiscount_21_Up+FedExExrpessEarnedDiscount))*'1Day AM Base'!F44)*(1+ExpressFuelSurcharge),2)))*(1+FedEx_Markup),2)</f>
        <v>177.35</v>
      </c>
      <c r="G47" s="275">
        <f>ROUND((IF(MinBase1AMDay&gt;ROUND(((1-(OverNightDiscount_21_Up+FedExExrpessEarnedDiscount))*'1Day AM Base'!G44),2),ROUND(MinBase1AMDay*(1+ExpressFuelSurcharge),2),ROUND(((1-(OverNightDiscount_21_Up+FedExExrpessEarnedDiscount))*'1Day AM Base'!G44)*(1+ExpressFuelSurcharge),2)))*(1+FedEx_Markup),2)</f>
        <v>184.45</v>
      </c>
      <c r="H47" s="275">
        <f>ROUND((IF(MinBase1AMDay&gt;ROUND(((1-(OverNightDiscount_21_Up+FedExExrpessEarnedDiscount))*'1Day AM Base'!H44),2),ROUND(MinBase1AMDay*(1+ExpressFuelSurcharge),2),ROUND(((1-(OverNightDiscount_21_Up+FedExExrpessEarnedDiscount))*'1Day AM Base'!H44)*(1+ExpressFuelSurcharge),2)))*(1+FedEx_Markup),2)</f>
        <v>197.1</v>
      </c>
    </row>
    <row r="48" ht="12.75" customHeight="1">
      <c r="A48" s="274">
        <v>43.0</v>
      </c>
      <c r="B48" s="275">
        <f>ROUND((IF(MinBase1AMDay&gt;ROUND(((1-(OverNightDiscount_21_Up+FedExExrpessEarnedDiscount))*'1Day AM Base'!B45),2),ROUND(MinBase1AMDay*(1+ExpressFuelSurcharge),2),ROUND(((1-(OverNightDiscount_21_Up+FedExExrpessEarnedDiscount))*'1Day AM Base'!B45)*(1+ExpressFuelSurcharge),2)))*(1+FedEx_Markup),2)</f>
        <v>57.32</v>
      </c>
      <c r="C48" s="275">
        <f>ROUND((IF(MinBase1AMDay&gt;ROUND(((1-(OverNightDiscount_21_Up+FedExExrpessEarnedDiscount))*'1Day AM Base'!C45),2),ROUND(MinBase1AMDay*(1+ExpressFuelSurcharge),2),ROUND(((1-(OverNightDiscount_21_Up+FedExExrpessEarnedDiscount))*'1Day AM Base'!C45)*(1+ExpressFuelSurcharge),2)))*(1+FedEx_Markup),2)</f>
        <v>82.03</v>
      </c>
      <c r="D48" s="275">
        <f>ROUND((IF(MinBase1AMDay&gt;ROUND(((1-(OverNightDiscount_21_Up+FedExExrpessEarnedDiscount))*'1Day AM Base'!D45),2),ROUND(MinBase1AMDay*(1+ExpressFuelSurcharge),2),ROUND(((1-(OverNightDiscount_21_Up+FedExExrpessEarnedDiscount))*'1Day AM Base'!D45)*(1+ExpressFuelSurcharge),2)))*(1+FedEx_Markup),2)</f>
        <v>162.07</v>
      </c>
      <c r="E48" s="275">
        <f>ROUND((IF(MinBase1AMDay&gt;ROUND(((1-(OverNightDiscount_21_Up+FedExExrpessEarnedDiscount))*'1Day AM Base'!E45),2),ROUND(MinBase1AMDay*(1+ExpressFuelSurcharge),2),ROUND(((1-(OverNightDiscount_21_Up+FedExExrpessEarnedDiscount))*'1Day AM Base'!E45)*(1+ExpressFuelSurcharge),2)))*(1+FedEx_Markup),2)</f>
        <v>172.27</v>
      </c>
      <c r="F48" s="275">
        <f>ROUND((IF(MinBase1AMDay&gt;ROUND(((1-(OverNightDiscount_21_Up+FedExExrpessEarnedDiscount))*'1Day AM Base'!F45),2),ROUND(MinBase1AMDay*(1+ExpressFuelSurcharge),2),ROUND(((1-(OverNightDiscount_21_Up+FedExExrpessEarnedDiscount))*'1Day AM Base'!F45)*(1+ExpressFuelSurcharge),2)))*(1+FedEx_Markup),2)</f>
        <v>180.57</v>
      </c>
      <c r="G48" s="275">
        <f>ROUND((IF(MinBase1AMDay&gt;ROUND(((1-(OverNightDiscount_21_Up+FedExExrpessEarnedDiscount))*'1Day AM Base'!G45),2),ROUND(MinBase1AMDay*(1+ExpressFuelSurcharge),2),ROUND(((1-(OverNightDiscount_21_Up+FedExExrpessEarnedDiscount))*'1Day AM Base'!G45)*(1+ExpressFuelSurcharge),2)))*(1+FedEx_Markup),2)</f>
        <v>193.44</v>
      </c>
      <c r="H48" s="275">
        <f>ROUND((IF(MinBase1AMDay&gt;ROUND(((1-(OverNightDiscount_21_Up+FedExExrpessEarnedDiscount))*'1Day AM Base'!H45),2),ROUND(MinBase1AMDay*(1+ExpressFuelSurcharge),2),ROUND(((1-(OverNightDiscount_21_Up+FedExExrpessEarnedDiscount))*'1Day AM Base'!H45)*(1+ExpressFuelSurcharge),2)))*(1+FedEx_Markup),2)</f>
        <v>202.83</v>
      </c>
    </row>
    <row r="49" ht="12.75" customHeight="1">
      <c r="A49" s="274">
        <v>44.0</v>
      </c>
      <c r="B49" s="275">
        <f>ROUND((IF(MinBase1AMDay&gt;ROUND(((1-(OverNightDiscount_21_Up+FedExExrpessEarnedDiscount))*'1Day AM Base'!B46),2),ROUND(MinBase1AMDay*(1+ExpressFuelSurcharge),2),ROUND(((1-(OverNightDiscount_21_Up+FedExExrpessEarnedDiscount))*'1Day AM Base'!B46)*(1+ExpressFuelSurcharge),2)))*(1+FedEx_Markup),2)</f>
        <v>58.62</v>
      </c>
      <c r="C49" s="275">
        <f>ROUND((IF(MinBase1AMDay&gt;ROUND(((1-(OverNightDiscount_21_Up+FedExExrpessEarnedDiscount))*'1Day AM Base'!C46),2),ROUND(MinBase1AMDay*(1+ExpressFuelSurcharge),2),ROUND(((1-(OverNightDiscount_21_Up+FedExExrpessEarnedDiscount))*'1Day AM Base'!C46)*(1+ExpressFuelSurcharge),2)))*(1+FedEx_Markup),2)</f>
        <v>86.33</v>
      </c>
      <c r="D49" s="275">
        <f>ROUND((IF(MinBase1AMDay&gt;ROUND(((1-(OverNightDiscount_21_Up+FedExExrpessEarnedDiscount))*'1Day AM Base'!D46),2),ROUND(MinBase1AMDay*(1+ExpressFuelSurcharge),2),ROUND(((1-(OverNightDiscount_21_Up+FedExExrpessEarnedDiscount))*'1Day AM Base'!D46)*(1+ExpressFuelSurcharge),2)))*(1+FedEx_Markup),2)</f>
        <v>164.76</v>
      </c>
      <c r="E49" s="275">
        <f>ROUND((IF(MinBase1AMDay&gt;ROUND(((1-(OverNightDiscount_21_Up+FedExExrpessEarnedDiscount))*'1Day AM Base'!E46),2),ROUND(MinBase1AMDay*(1+ExpressFuelSurcharge),2),ROUND(((1-(OverNightDiscount_21_Up+FedExExrpessEarnedDiscount))*'1Day AM Base'!E46)*(1+ExpressFuelSurcharge),2)))*(1+FedEx_Markup),2)</f>
        <v>176.97</v>
      </c>
      <c r="F49" s="275">
        <f>ROUND((IF(MinBase1AMDay&gt;ROUND(((1-(OverNightDiscount_21_Up+FedExExrpessEarnedDiscount))*'1Day AM Base'!F46),2),ROUND(MinBase1AMDay*(1+ExpressFuelSurcharge),2),ROUND(((1-(OverNightDiscount_21_Up+FedExExrpessEarnedDiscount))*'1Day AM Base'!F46)*(1+ExpressFuelSurcharge),2)))*(1+FedEx_Markup),2)</f>
        <v>183.74</v>
      </c>
      <c r="G49" s="275">
        <f>ROUND((IF(MinBase1AMDay&gt;ROUND(((1-(OverNightDiscount_21_Up+FedExExrpessEarnedDiscount))*'1Day AM Base'!G46),2),ROUND(MinBase1AMDay*(1+ExpressFuelSurcharge),2),ROUND(((1-(OverNightDiscount_21_Up+FedExExrpessEarnedDiscount))*'1Day AM Base'!G46)*(1+ExpressFuelSurcharge),2)))*(1+FedEx_Markup),2)</f>
        <v>196.58</v>
      </c>
      <c r="H49" s="275">
        <f>ROUND((IF(MinBase1AMDay&gt;ROUND(((1-(OverNightDiscount_21_Up+FedExExrpessEarnedDiscount))*'1Day AM Base'!H46),2),ROUND(MinBase1AMDay*(1+ExpressFuelSurcharge),2),ROUND(((1-(OverNightDiscount_21_Up+FedExExrpessEarnedDiscount))*'1Day AM Base'!H46)*(1+ExpressFuelSurcharge),2)))*(1+FedEx_Markup),2)</f>
        <v>208.85</v>
      </c>
    </row>
    <row r="50" ht="12.75" customHeight="1">
      <c r="A50" s="274">
        <v>45.0</v>
      </c>
      <c r="B50" s="275">
        <f>ROUND((IF(MinBase1AMDay&gt;ROUND(((1-(OverNightDiscount_21_Up+FedExExrpessEarnedDiscount))*'1Day AM Base'!B47),2),ROUND(MinBase1AMDay*(1+ExpressFuelSurcharge),2),ROUND(((1-(OverNightDiscount_21_Up+FedExExrpessEarnedDiscount))*'1Day AM Base'!B47)*(1+ExpressFuelSurcharge),2)))*(1+FedEx_Markup),2)</f>
        <v>61.4</v>
      </c>
      <c r="C50" s="275">
        <f>ROUND((IF(MinBase1AMDay&gt;ROUND(((1-(OverNightDiscount_21_Up+FedExExrpessEarnedDiscount))*'1Day AM Base'!C47),2),ROUND(MinBase1AMDay*(1+ExpressFuelSurcharge),2),ROUND(((1-(OverNightDiscount_21_Up+FedExExrpessEarnedDiscount))*'1Day AM Base'!C47)*(1+ExpressFuelSurcharge),2)))*(1+FedEx_Markup),2)</f>
        <v>89.69</v>
      </c>
      <c r="D50" s="275">
        <f>ROUND((IF(MinBase1AMDay&gt;ROUND(((1-(OverNightDiscount_21_Up+FedExExrpessEarnedDiscount))*'1Day AM Base'!D47),2),ROUND(MinBase1AMDay*(1+ExpressFuelSurcharge),2),ROUND(((1-(OverNightDiscount_21_Up+FedExExrpessEarnedDiscount))*'1Day AM Base'!D47)*(1+ExpressFuelSurcharge),2)))*(1+FedEx_Markup),2)</f>
        <v>166.57</v>
      </c>
      <c r="E50" s="275">
        <f>ROUND((IF(MinBase1AMDay&gt;ROUND(((1-(OverNightDiscount_21_Up+FedExExrpessEarnedDiscount))*'1Day AM Base'!E47),2),ROUND(MinBase1AMDay*(1+ExpressFuelSurcharge),2),ROUND(((1-(OverNightDiscount_21_Up+FedExExrpessEarnedDiscount))*'1Day AM Base'!E47)*(1+ExpressFuelSurcharge),2)))*(1+FedEx_Markup),2)</f>
        <v>178.73</v>
      </c>
      <c r="F50" s="275">
        <f>ROUND((IF(MinBase1AMDay&gt;ROUND(((1-(OverNightDiscount_21_Up+FedExExrpessEarnedDiscount))*'1Day AM Base'!F47),2),ROUND(MinBase1AMDay*(1+ExpressFuelSurcharge),2),ROUND(((1-(OverNightDiscount_21_Up+FedExExrpessEarnedDiscount))*'1Day AM Base'!F47)*(1+ExpressFuelSurcharge),2)))*(1+FedEx_Markup),2)</f>
        <v>184.06</v>
      </c>
      <c r="G50" s="275">
        <f>ROUND((IF(MinBase1AMDay&gt;ROUND(((1-(OverNightDiscount_21_Up+FedExExrpessEarnedDiscount))*'1Day AM Base'!G47),2),ROUND(MinBase1AMDay*(1+ExpressFuelSurcharge),2),ROUND(((1-(OverNightDiscount_21_Up+FedExExrpessEarnedDiscount))*'1Day AM Base'!G47)*(1+ExpressFuelSurcharge),2)))*(1+FedEx_Markup),2)</f>
        <v>199.76</v>
      </c>
      <c r="H50" s="275">
        <f>ROUND((IF(MinBase1AMDay&gt;ROUND(((1-(OverNightDiscount_21_Up+FedExExrpessEarnedDiscount))*'1Day AM Base'!H47),2),ROUND(MinBase1AMDay*(1+ExpressFuelSurcharge),2),ROUND(((1-(OverNightDiscount_21_Up+FedExExrpessEarnedDiscount))*'1Day AM Base'!H47)*(1+ExpressFuelSurcharge),2)))*(1+FedEx_Markup),2)</f>
        <v>209.46</v>
      </c>
    </row>
    <row r="51" ht="12.75" customHeight="1">
      <c r="A51" s="274">
        <v>46.0</v>
      </c>
      <c r="B51" s="275">
        <f>ROUND((IF(MinBase1AMDay&gt;ROUND(((1-(OverNightDiscount_21_Up+FedExExrpessEarnedDiscount))*'1Day AM Base'!B48),2),ROUND(MinBase1AMDay*(1+ExpressFuelSurcharge),2),ROUND(((1-(OverNightDiscount_21_Up+FedExExrpessEarnedDiscount))*'1Day AM Base'!B48)*(1+ExpressFuelSurcharge),2)))*(1+FedEx_Markup),2)</f>
        <v>63.08</v>
      </c>
      <c r="C51" s="275">
        <f>ROUND((IF(MinBase1AMDay&gt;ROUND(((1-(OverNightDiscount_21_Up+FedExExrpessEarnedDiscount))*'1Day AM Base'!C48),2),ROUND(MinBase1AMDay*(1+ExpressFuelSurcharge),2),ROUND(((1-(OverNightDiscount_21_Up+FedExExrpessEarnedDiscount))*'1Day AM Base'!C48)*(1+ExpressFuelSurcharge),2)))*(1+FedEx_Markup),2)</f>
        <v>90.03</v>
      </c>
      <c r="D51" s="275">
        <f>ROUND((IF(MinBase1AMDay&gt;ROUND(((1-(OverNightDiscount_21_Up+FedExExrpessEarnedDiscount))*'1Day AM Base'!D48),2),ROUND(MinBase1AMDay*(1+ExpressFuelSurcharge),2),ROUND(((1-(OverNightDiscount_21_Up+FedExExrpessEarnedDiscount))*'1Day AM Base'!D48)*(1+ExpressFuelSurcharge),2)))*(1+FedEx_Markup),2)</f>
        <v>169.22</v>
      </c>
      <c r="E51" s="275">
        <f>ROUND((IF(MinBase1AMDay&gt;ROUND(((1-(OverNightDiscount_21_Up+FedExExrpessEarnedDiscount))*'1Day AM Base'!E48),2),ROUND(MinBase1AMDay*(1+ExpressFuelSurcharge),2),ROUND(((1-(OverNightDiscount_21_Up+FedExExrpessEarnedDiscount))*'1Day AM Base'!E48)*(1+ExpressFuelSurcharge),2)))*(1+FedEx_Markup),2)</f>
        <v>183.61</v>
      </c>
      <c r="F51" s="275">
        <f>ROUND((IF(MinBase1AMDay&gt;ROUND(((1-(OverNightDiscount_21_Up+FedExExrpessEarnedDiscount))*'1Day AM Base'!F48),2),ROUND(MinBase1AMDay*(1+ExpressFuelSurcharge),2),ROUND(((1-(OverNightDiscount_21_Up+FedExExrpessEarnedDiscount))*'1Day AM Base'!F48)*(1+ExpressFuelSurcharge),2)))*(1+FedEx_Markup),2)</f>
        <v>190.43</v>
      </c>
      <c r="G51" s="275">
        <f>ROUND((IF(MinBase1AMDay&gt;ROUND(((1-(OverNightDiscount_21_Up+FedExExrpessEarnedDiscount))*'1Day AM Base'!G48),2),ROUND(MinBase1AMDay*(1+ExpressFuelSurcharge),2),ROUND(((1-(OverNightDiscount_21_Up+FedExExrpessEarnedDiscount))*'1Day AM Base'!G48)*(1+ExpressFuelSurcharge),2)))*(1+FedEx_Markup),2)</f>
        <v>202.03</v>
      </c>
      <c r="H51" s="275">
        <f>ROUND((IF(MinBase1AMDay&gt;ROUND(((1-(OverNightDiscount_21_Up+FedExExrpessEarnedDiscount))*'1Day AM Base'!H48),2),ROUND(MinBase1AMDay*(1+ExpressFuelSurcharge),2),ROUND(((1-(OverNightDiscount_21_Up+FedExExrpessEarnedDiscount))*'1Day AM Base'!H48)*(1+ExpressFuelSurcharge),2)))*(1+FedEx_Markup),2)</f>
        <v>217.56</v>
      </c>
    </row>
    <row r="52" ht="12.75" customHeight="1">
      <c r="A52" s="274">
        <v>47.0</v>
      </c>
      <c r="B52" s="275">
        <f>ROUND((IF(MinBase1AMDay&gt;ROUND(((1-(OverNightDiscount_21_Up+FedExExrpessEarnedDiscount))*'1Day AM Base'!B49),2),ROUND(MinBase1AMDay*(1+ExpressFuelSurcharge),2),ROUND(((1-(OverNightDiscount_21_Up+FedExExrpessEarnedDiscount))*'1Day AM Base'!B49)*(1+ExpressFuelSurcharge),2)))*(1+FedEx_Markup),2)</f>
        <v>63.99</v>
      </c>
      <c r="C52" s="275">
        <f>ROUND((IF(MinBase1AMDay&gt;ROUND(((1-(OverNightDiscount_21_Up+FedExExrpessEarnedDiscount))*'1Day AM Base'!C49),2),ROUND(MinBase1AMDay*(1+ExpressFuelSurcharge),2),ROUND(((1-(OverNightDiscount_21_Up+FedExExrpessEarnedDiscount))*'1Day AM Base'!C49)*(1+ExpressFuelSurcharge),2)))*(1+FedEx_Markup),2)</f>
        <v>91.34</v>
      </c>
      <c r="D52" s="275">
        <f>ROUND((IF(MinBase1AMDay&gt;ROUND(((1-(OverNightDiscount_21_Up+FedExExrpessEarnedDiscount))*'1Day AM Base'!D49),2),ROUND(MinBase1AMDay*(1+ExpressFuelSurcharge),2),ROUND(((1-(OverNightDiscount_21_Up+FedExExrpessEarnedDiscount))*'1Day AM Base'!D49)*(1+ExpressFuelSurcharge),2)))*(1+FedEx_Markup),2)</f>
        <v>169.5</v>
      </c>
      <c r="E52" s="275">
        <f>ROUND((IF(MinBase1AMDay&gt;ROUND(((1-(OverNightDiscount_21_Up+FedExExrpessEarnedDiscount))*'1Day AM Base'!E49),2),ROUND(MinBase1AMDay*(1+ExpressFuelSurcharge),2),ROUND(((1-(OverNightDiscount_21_Up+FedExExrpessEarnedDiscount))*'1Day AM Base'!E49)*(1+ExpressFuelSurcharge),2)))*(1+FedEx_Markup),2)</f>
        <v>184.33</v>
      </c>
      <c r="F52" s="275">
        <f>ROUND((IF(MinBase1AMDay&gt;ROUND(((1-(OverNightDiscount_21_Up+FedExExrpessEarnedDiscount))*'1Day AM Base'!F49),2),ROUND(MinBase1AMDay*(1+ExpressFuelSurcharge),2),ROUND(((1-(OverNightDiscount_21_Up+FedExExrpessEarnedDiscount))*'1Day AM Base'!F49)*(1+ExpressFuelSurcharge),2)))*(1+FedEx_Markup),2)</f>
        <v>191.29</v>
      </c>
      <c r="G52" s="275">
        <f>ROUND((IF(MinBase1AMDay&gt;ROUND(((1-(OverNightDiscount_21_Up+FedExExrpessEarnedDiscount))*'1Day AM Base'!G49),2),ROUND(MinBase1AMDay*(1+ExpressFuelSurcharge),2),ROUND(((1-(OverNightDiscount_21_Up+FedExExrpessEarnedDiscount))*'1Day AM Base'!G49)*(1+ExpressFuelSurcharge),2)))*(1+FedEx_Markup),2)</f>
        <v>202.63</v>
      </c>
      <c r="H52" s="275">
        <f>ROUND((IF(MinBase1AMDay&gt;ROUND(((1-(OverNightDiscount_21_Up+FedExExrpessEarnedDiscount))*'1Day AM Base'!H49),2),ROUND(MinBase1AMDay*(1+ExpressFuelSurcharge),2),ROUND(((1-(OverNightDiscount_21_Up+FedExExrpessEarnedDiscount))*'1Day AM Base'!H49)*(1+ExpressFuelSurcharge),2)))*(1+FedEx_Markup),2)</f>
        <v>218.37</v>
      </c>
    </row>
    <row r="53" ht="12.75" customHeight="1">
      <c r="A53" s="274">
        <v>48.0</v>
      </c>
      <c r="B53" s="275">
        <f>ROUND((IF(MinBase1AMDay&gt;ROUND(((1-(OverNightDiscount_21_Up+FedExExrpessEarnedDiscount))*'1Day AM Base'!B50),2),ROUND(MinBase1AMDay*(1+ExpressFuelSurcharge),2),ROUND(((1-(OverNightDiscount_21_Up+FedExExrpessEarnedDiscount))*'1Day AM Base'!B50)*(1+ExpressFuelSurcharge),2)))*(1+FedEx_Markup),2)</f>
        <v>64.1</v>
      </c>
      <c r="C53" s="275">
        <f>ROUND((IF(MinBase1AMDay&gt;ROUND(((1-(OverNightDiscount_21_Up+FedExExrpessEarnedDiscount))*'1Day AM Base'!C50),2),ROUND(MinBase1AMDay*(1+ExpressFuelSurcharge),2),ROUND(((1-(OverNightDiscount_21_Up+FedExExrpessEarnedDiscount))*'1Day AM Base'!C50)*(1+ExpressFuelSurcharge),2)))*(1+FedEx_Markup),2)</f>
        <v>91.53</v>
      </c>
      <c r="D53" s="275">
        <f>ROUND((IF(MinBase1AMDay&gt;ROUND(((1-(OverNightDiscount_21_Up+FedExExrpessEarnedDiscount))*'1Day AM Base'!D50),2),ROUND(MinBase1AMDay*(1+ExpressFuelSurcharge),2),ROUND(((1-(OverNightDiscount_21_Up+FedExExrpessEarnedDiscount))*'1Day AM Base'!D50)*(1+ExpressFuelSurcharge),2)))*(1+FedEx_Markup),2)</f>
        <v>169.58</v>
      </c>
      <c r="E53" s="275">
        <f>ROUND((IF(MinBase1AMDay&gt;ROUND(((1-(OverNightDiscount_21_Up+FedExExrpessEarnedDiscount))*'1Day AM Base'!E50),2),ROUND(MinBase1AMDay*(1+ExpressFuelSurcharge),2),ROUND(((1-(OverNightDiscount_21_Up+FedExExrpessEarnedDiscount))*'1Day AM Base'!E50)*(1+ExpressFuelSurcharge),2)))*(1+FedEx_Markup),2)</f>
        <v>185.67</v>
      </c>
      <c r="F53" s="275">
        <f>ROUND((IF(MinBase1AMDay&gt;ROUND(((1-(OverNightDiscount_21_Up+FedExExrpessEarnedDiscount))*'1Day AM Base'!F50),2),ROUND(MinBase1AMDay*(1+ExpressFuelSurcharge),2),ROUND(((1-(OverNightDiscount_21_Up+FedExExrpessEarnedDiscount))*'1Day AM Base'!F50)*(1+ExpressFuelSurcharge),2)))*(1+FedEx_Markup),2)</f>
        <v>191.38</v>
      </c>
      <c r="G53" s="275">
        <f>ROUND((IF(MinBase1AMDay&gt;ROUND(((1-(OverNightDiscount_21_Up+FedExExrpessEarnedDiscount))*'1Day AM Base'!G50),2),ROUND(MinBase1AMDay*(1+ExpressFuelSurcharge),2),ROUND(((1-(OverNightDiscount_21_Up+FedExExrpessEarnedDiscount))*'1Day AM Base'!G50)*(1+ExpressFuelSurcharge),2)))*(1+FedEx_Markup),2)</f>
        <v>206.31</v>
      </c>
      <c r="H53" s="275">
        <f>ROUND((IF(MinBase1AMDay&gt;ROUND(((1-(OverNightDiscount_21_Up+FedExExrpessEarnedDiscount))*'1Day AM Base'!H50),2),ROUND(MinBase1AMDay*(1+ExpressFuelSurcharge),2),ROUND(((1-(OverNightDiscount_21_Up+FedExExrpessEarnedDiscount))*'1Day AM Base'!H50)*(1+ExpressFuelSurcharge),2)))*(1+FedEx_Markup),2)</f>
        <v>218.51</v>
      </c>
    </row>
    <row r="54" ht="12.75" customHeight="1">
      <c r="A54" s="274">
        <v>49.0</v>
      </c>
      <c r="B54" s="275">
        <f>ROUND((IF(MinBase1AMDay&gt;ROUND(((1-(OverNightDiscount_21_Up+FedExExrpessEarnedDiscount))*'1Day AM Base'!B51),2),ROUND(MinBase1AMDay*(1+ExpressFuelSurcharge),2),ROUND(((1-(OverNightDiscount_21_Up+FedExExrpessEarnedDiscount))*'1Day AM Base'!B51)*(1+ExpressFuelSurcharge),2)))*(1+FedEx_Markup),2)</f>
        <v>64.2</v>
      </c>
      <c r="C54" s="275">
        <f>ROUND((IF(MinBase1AMDay&gt;ROUND(((1-(OverNightDiscount_21_Up+FedExExrpessEarnedDiscount))*'1Day AM Base'!C51),2),ROUND(MinBase1AMDay*(1+ExpressFuelSurcharge),2),ROUND(((1-(OverNightDiscount_21_Up+FedExExrpessEarnedDiscount))*'1Day AM Base'!C51)*(1+ExpressFuelSurcharge),2)))*(1+FedEx_Markup),2)</f>
        <v>91.64</v>
      </c>
      <c r="D54" s="275">
        <f>ROUND((IF(MinBase1AMDay&gt;ROUND(((1-(OverNightDiscount_21_Up+FedExExrpessEarnedDiscount))*'1Day AM Base'!D51),2),ROUND(MinBase1AMDay*(1+ExpressFuelSurcharge),2),ROUND(((1-(OverNightDiscount_21_Up+FedExExrpessEarnedDiscount))*'1Day AM Base'!D51)*(1+ExpressFuelSurcharge),2)))*(1+FedEx_Markup),2)</f>
        <v>169.66</v>
      </c>
      <c r="E54" s="275">
        <f>ROUND((IF(MinBase1AMDay&gt;ROUND(((1-(OverNightDiscount_21_Up+FedExExrpessEarnedDiscount))*'1Day AM Base'!E51),2),ROUND(MinBase1AMDay*(1+ExpressFuelSurcharge),2),ROUND(((1-(OverNightDiscount_21_Up+FedExExrpessEarnedDiscount))*'1Day AM Base'!E51)*(1+ExpressFuelSurcharge),2)))*(1+FedEx_Markup),2)</f>
        <v>185.79</v>
      </c>
      <c r="F54" s="275">
        <f>ROUND((IF(MinBase1AMDay&gt;ROUND(((1-(OverNightDiscount_21_Up+FedExExrpessEarnedDiscount))*'1Day AM Base'!F51),2),ROUND(MinBase1AMDay*(1+ExpressFuelSurcharge),2),ROUND(((1-(OverNightDiscount_21_Up+FedExExrpessEarnedDiscount))*'1Day AM Base'!F51)*(1+ExpressFuelSurcharge),2)))*(1+FedEx_Markup),2)</f>
        <v>191.46</v>
      </c>
      <c r="G54" s="275">
        <f>ROUND((IF(MinBase1AMDay&gt;ROUND(((1-(OverNightDiscount_21_Up+FedExExrpessEarnedDiscount))*'1Day AM Base'!G51),2),ROUND(MinBase1AMDay*(1+ExpressFuelSurcharge),2),ROUND(((1-(OverNightDiscount_21_Up+FedExExrpessEarnedDiscount))*'1Day AM Base'!G51)*(1+ExpressFuelSurcharge),2)))*(1+FedEx_Markup),2)</f>
        <v>206.69</v>
      </c>
      <c r="H54" s="275">
        <f>ROUND((IF(MinBase1AMDay&gt;ROUND(((1-(OverNightDiscount_21_Up+FedExExrpessEarnedDiscount))*'1Day AM Base'!H51),2),ROUND(MinBase1AMDay*(1+ExpressFuelSurcharge),2),ROUND(((1-(OverNightDiscount_21_Up+FedExExrpessEarnedDiscount))*'1Day AM Base'!H51)*(1+ExpressFuelSurcharge),2)))*(1+FedEx_Markup),2)</f>
        <v>218.62</v>
      </c>
    </row>
    <row r="55" ht="12.75" customHeight="1">
      <c r="A55" s="274">
        <v>50.0</v>
      </c>
      <c r="B55" s="275">
        <f>ROUND((IF(MinBase1AMDay&gt;ROUND(((1-(OverNightDiscount_21_Up+FedExExrpessEarnedDiscount))*'1Day AM Base'!B52),2),ROUND(MinBase1AMDay*(1+ExpressFuelSurcharge),2),ROUND(((1-(OverNightDiscount_21_Up+FedExExrpessEarnedDiscount))*'1Day AM Base'!B52)*(1+ExpressFuelSurcharge),2)))*(1+FedEx_Markup),2)</f>
        <v>64.57</v>
      </c>
      <c r="C55" s="275">
        <f>ROUND((IF(MinBase1AMDay&gt;ROUND(((1-(OverNightDiscount_21_Up+FedExExrpessEarnedDiscount))*'1Day AM Base'!C52),2),ROUND(MinBase1AMDay*(1+ExpressFuelSurcharge),2),ROUND(((1-(OverNightDiscount_21_Up+FedExExrpessEarnedDiscount))*'1Day AM Base'!C52)*(1+ExpressFuelSurcharge),2)))*(1+FedEx_Markup),2)</f>
        <v>92.16</v>
      </c>
      <c r="D55" s="275">
        <f>ROUND((IF(MinBase1AMDay&gt;ROUND(((1-(OverNightDiscount_21_Up+FedExExrpessEarnedDiscount))*'1Day AM Base'!D52),2),ROUND(MinBase1AMDay*(1+ExpressFuelSurcharge),2),ROUND(((1-(OverNightDiscount_21_Up+FedExExrpessEarnedDiscount))*'1Day AM Base'!D52)*(1+ExpressFuelSurcharge),2)))*(1+FedEx_Markup),2)</f>
        <v>170.34</v>
      </c>
      <c r="E55" s="275">
        <f>ROUND((IF(MinBase1AMDay&gt;ROUND(((1-(OverNightDiscount_21_Up+FedExExrpessEarnedDiscount))*'1Day AM Base'!E52),2),ROUND(MinBase1AMDay*(1+ExpressFuelSurcharge),2),ROUND(((1-(OverNightDiscount_21_Up+FedExExrpessEarnedDiscount))*'1Day AM Base'!E52)*(1+ExpressFuelSurcharge),2)))*(1+FedEx_Markup),2)</f>
        <v>186.69</v>
      </c>
      <c r="F55" s="275">
        <f>ROUND((IF(MinBase1AMDay&gt;ROUND(((1-(OverNightDiscount_21_Up+FedExExrpessEarnedDiscount))*'1Day AM Base'!F52),2),ROUND(MinBase1AMDay*(1+ExpressFuelSurcharge),2),ROUND(((1-(OverNightDiscount_21_Up+FedExExrpessEarnedDiscount))*'1Day AM Base'!F52)*(1+ExpressFuelSurcharge),2)))*(1+FedEx_Markup),2)</f>
        <v>192.29</v>
      </c>
      <c r="G55" s="275">
        <f>ROUND((IF(MinBase1AMDay&gt;ROUND(((1-(OverNightDiscount_21_Up+FedExExrpessEarnedDiscount))*'1Day AM Base'!G52),2),ROUND(MinBase1AMDay*(1+ExpressFuelSurcharge),2),ROUND(((1-(OverNightDiscount_21_Up+FedExExrpessEarnedDiscount))*'1Day AM Base'!G52)*(1+ExpressFuelSurcharge),2)))*(1+FedEx_Markup),2)</f>
        <v>207.54</v>
      </c>
      <c r="H55" s="275">
        <f>ROUND((IF(MinBase1AMDay&gt;ROUND(((1-(OverNightDiscount_21_Up+FedExExrpessEarnedDiscount))*'1Day AM Base'!H52),2),ROUND(MinBase1AMDay*(1+ExpressFuelSurcharge),2),ROUND(((1-(OverNightDiscount_21_Up+FedExExrpessEarnedDiscount))*'1Day AM Base'!H52)*(1+ExpressFuelSurcharge),2)))*(1+FedEx_Markup),2)</f>
        <v>219.25</v>
      </c>
    </row>
    <row r="56" ht="12.75" customHeight="1">
      <c r="A56" s="274">
        <v>51.0</v>
      </c>
      <c r="B56" s="275">
        <f>ROUND((IF(MinBase1AMDay&gt;ROUND(((1-(OverNightDiscount_21_Up+FedExExrpessEarnedDiscount))*'1Day AM Base'!B53),2),ROUND(MinBase1AMDay*(1+ExpressFuelSurcharge),2),ROUND(((1-(OverNightDiscount_21_Up+FedExExrpessEarnedDiscount))*'1Day AM Base'!B53)*(1+ExpressFuelSurcharge),2)))*(1+FedEx_Markup),2)</f>
        <v>71.85</v>
      </c>
      <c r="C56" s="275">
        <f>ROUND((IF(MinBase1AMDay&gt;ROUND(((1-(OverNightDiscount_21_Up+FedExExrpessEarnedDiscount))*'1Day AM Base'!C53),2),ROUND(MinBase1AMDay*(1+ExpressFuelSurcharge),2),ROUND(((1-(OverNightDiscount_21_Up+FedExExrpessEarnedDiscount))*'1Day AM Base'!C53)*(1+ExpressFuelSurcharge),2)))*(1+FedEx_Markup),2)</f>
        <v>102.42</v>
      </c>
      <c r="D56" s="275">
        <f>ROUND((IF(MinBase1AMDay&gt;ROUND(((1-(OverNightDiscount_21_Up+FedExExrpessEarnedDiscount))*'1Day AM Base'!D53),2),ROUND(MinBase1AMDay*(1+ExpressFuelSurcharge),2),ROUND(((1-(OverNightDiscount_21_Up+FedExExrpessEarnedDiscount))*'1Day AM Base'!D53)*(1+ExpressFuelSurcharge),2)))*(1+FedEx_Markup),2)</f>
        <v>183.85</v>
      </c>
      <c r="E56" s="275">
        <f>ROUND((IF(MinBase1AMDay&gt;ROUND(((1-(OverNightDiscount_21_Up+FedExExrpessEarnedDiscount))*'1Day AM Base'!E53),2),ROUND(MinBase1AMDay*(1+ExpressFuelSurcharge),2),ROUND(((1-(OverNightDiscount_21_Up+FedExExrpessEarnedDiscount))*'1Day AM Base'!E53)*(1+ExpressFuelSurcharge),2)))*(1+FedEx_Markup),2)</f>
        <v>204.68</v>
      </c>
      <c r="F56" s="275">
        <f>ROUND((IF(MinBase1AMDay&gt;ROUND(((1-(OverNightDiscount_21_Up+FedExExrpessEarnedDiscount))*'1Day AM Base'!F53),2),ROUND(MinBase1AMDay*(1+ExpressFuelSurcharge),2),ROUND(((1-(OverNightDiscount_21_Up+FedExExrpessEarnedDiscount))*'1Day AM Base'!F53)*(1+ExpressFuelSurcharge),2)))*(1+FedEx_Markup),2)</f>
        <v>208.82</v>
      </c>
      <c r="G56" s="275">
        <f>ROUND((IF(MinBase1AMDay&gt;ROUND(((1-(OverNightDiscount_21_Up+FedExExrpessEarnedDiscount))*'1Day AM Base'!G53),2),ROUND(MinBase1AMDay*(1+ExpressFuelSurcharge),2),ROUND(((1-(OverNightDiscount_21_Up+FedExExrpessEarnedDiscount))*'1Day AM Base'!G53)*(1+ExpressFuelSurcharge),2)))*(1+FedEx_Markup),2)</f>
        <v>224.54</v>
      </c>
      <c r="H56" s="275">
        <f>ROUND((IF(MinBase1AMDay&gt;ROUND(((1-(OverNightDiscount_21_Up+FedExExrpessEarnedDiscount))*'1Day AM Base'!H53),2),ROUND(MinBase1AMDay*(1+ExpressFuelSurcharge),2),ROUND(((1-(OverNightDiscount_21_Up+FedExExrpessEarnedDiscount))*'1Day AM Base'!H53)*(1+ExpressFuelSurcharge),2)))*(1+FedEx_Markup),2)</f>
        <v>229.05</v>
      </c>
    </row>
    <row r="57" ht="12.75" customHeight="1">
      <c r="A57" s="274">
        <v>52.0</v>
      </c>
      <c r="B57" s="275">
        <f>ROUND((IF(MinBase1AMDay&gt;ROUND(((1-(OverNightDiscount_21_Up+FedExExrpessEarnedDiscount))*'1Day AM Base'!B54),2),ROUND(MinBase1AMDay*(1+ExpressFuelSurcharge),2),ROUND(((1-(OverNightDiscount_21_Up+FedExExrpessEarnedDiscount))*'1Day AM Base'!B54)*(1+ExpressFuelSurcharge),2)))*(1+FedEx_Markup),2)</f>
        <v>72.94</v>
      </c>
      <c r="C57" s="275">
        <f>ROUND((IF(MinBase1AMDay&gt;ROUND(((1-(OverNightDiscount_21_Up+FedExExrpessEarnedDiscount))*'1Day AM Base'!C54),2),ROUND(MinBase1AMDay*(1+ExpressFuelSurcharge),2),ROUND(((1-(OverNightDiscount_21_Up+FedExExrpessEarnedDiscount))*'1Day AM Base'!C54)*(1+ExpressFuelSurcharge),2)))*(1+FedEx_Markup),2)</f>
        <v>107.79</v>
      </c>
      <c r="D57" s="275">
        <f>ROUND((IF(MinBase1AMDay&gt;ROUND(((1-(OverNightDiscount_21_Up+FedExExrpessEarnedDiscount))*'1Day AM Base'!D54),2),ROUND(MinBase1AMDay*(1+ExpressFuelSurcharge),2),ROUND(((1-(OverNightDiscount_21_Up+FedExExrpessEarnedDiscount))*'1Day AM Base'!D54)*(1+ExpressFuelSurcharge),2)))*(1+FedEx_Markup),2)</f>
        <v>197.04</v>
      </c>
      <c r="E57" s="275">
        <f>ROUND((IF(MinBase1AMDay&gt;ROUND(((1-(OverNightDiscount_21_Up+FedExExrpessEarnedDiscount))*'1Day AM Base'!E54),2),ROUND(MinBase1AMDay*(1+ExpressFuelSurcharge),2),ROUND(((1-(OverNightDiscount_21_Up+FedExExrpessEarnedDiscount))*'1Day AM Base'!E54)*(1+ExpressFuelSurcharge),2)))*(1+FedEx_Markup),2)</f>
        <v>208.69</v>
      </c>
      <c r="F57" s="275">
        <f>ROUND((IF(MinBase1AMDay&gt;ROUND(((1-(OverNightDiscount_21_Up+FedExExrpessEarnedDiscount))*'1Day AM Base'!F54),2),ROUND(MinBase1AMDay*(1+ExpressFuelSurcharge),2),ROUND(((1-(OverNightDiscount_21_Up+FedExExrpessEarnedDiscount))*'1Day AM Base'!F54)*(1+ExpressFuelSurcharge),2)))*(1+FedEx_Markup),2)</f>
        <v>216.49</v>
      </c>
      <c r="G57" s="275">
        <f>ROUND((IF(MinBase1AMDay&gt;ROUND(((1-(OverNightDiscount_21_Up+FedExExrpessEarnedDiscount))*'1Day AM Base'!G54),2),ROUND(MinBase1AMDay*(1+ExpressFuelSurcharge),2),ROUND(((1-(OverNightDiscount_21_Up+FedExExrpessEarnedDiscount))*'1Day AM Base'!G54)*(1+ExpressFuelSurcharge),2)))*(1+FedEx_Markup),2)</f>
        <v>234.76</v>
      </c>
      <c r="H57" s="275">
        <f>ROUND((IF(MinBase1AMDay&gt;ROUND(((1-(OverNightDiscount_21_Up+FedExExrpessEarnedDiscount))*'1Day AM Base'!H54),2),ROUND(MinBase1AMDay*(1+ExpressFuelSurcharge),2),ROUND(((1-(OverNightDiscount_21_Up+FedExExrpessEarnedDiscount))*'1Day AM Base'!H54)*(1+ExpressFuelSurcharge),2)))*(1+FedEx_Markup),2)</f>
        <v>245.28</v>
      </c>
    </row>
    <row r="58" ht="12.75" customHeight="1">
      <c r="A58" s="274">
        <v>53.0</v>
      </c>
      <c r="B58" s="275">
        <f>ROUND((IF(MinBase1AMDay&gt;ROUND(((1-(OverNightDiscount_21_Up+FedExExrpessEarnedDiscount))*'1Day AM Base'!B55),2),ROUND(MinBase1AMDay*(1+ExpressFuelSurcharge),2),ROUND(((1-(OverNightDiscount_21_Up+FedExExrpessEarnedDiscount))*'1Day AM Base'!B55)*(1+ExpressFuelSurcharge),2)))*(1+FedEx_Markup),2)</f>
        <v>73.75</v>
      </c>
      <c r="C58" s="275">
        <f>ROUND((IF(MinBase1AMDay&gt;ROUND(((1-(OverNightDiscount_21_Up+FedExExrpessEarnedDiscount))*'1Day AM Base'!C55),2),ROUND(MinBase1AMDay*(1+ExpressFuelSurcharge),2),ROUND(((1-(OverNightDiscount_21_Up+FedExExrpessEarnedDiscount))*'1Day AM Base'!C55)*(1+ExpressFuelSurcharge),2)))*(1+FedEx_Markup),2)</f>
        <v>108.33</v>
      </c>
      <c r="D58" s="275">
        <f>ROUND((IF(MinBase1AMDay&gt;ROUND(((1-(OverNightDiscount_21_Up+FedExExrpessEarnedDiscount))*'1Day AM Base'!D55),2),ROUND(MinBase1AMDay*(1+ExpressFuelSurcharge),2),ROUND(((1-(OverNightDiscount_21_Up+FedExExrpessEarnedDiscount))*'1Day AM Base'!D55)*(1+ExpressFuelSurcharge),2)))*(1+FedEx_Markup),2)</f>
        <v>198.36</v>
      </c>
      <c r="E58" s="275">
        <f>ROUND((IF(MinBase1AMDay&gt;ROUND(((1-(OverNightDiscount_21_Up+FedExExrpessEarnedDiscount))*'1Day AM Base'!E55),2),ROUND(MinBase1AMDay*(1+ExpressFuelSurcharge),2),ROUND(((1-(OverNightDiscount_21_Up+FedExExrpessEarnedDiscount))*'1Day AM Base'!E55)*(1+ExpressFuelSurcharge),2)))*(1+FedEx_Markup),2)</f>
        <v>212.8</v>
      </c>
      <c r="F58" s="275">
        <f>ROUND((IF(MinBase1AMDay&gt;ROUND(((1-(OverNightDiscount_21_Up+FedExExrpessEarnedDiscount))*'1Day AM Base'!F55),2),ROUND(MinBase1AMDay*(1+ExpressFuelSurcharge),2),ROUND(((1-(OverNightDiscount_21_Up+FedExExrpessEarnedDiscount))*'1Day AM Base'!F55)*(1+ExpressFuelSurcharge),2)))*(1+FedEx_Markup),2)</f>
        <v>217.26</v>
      </c>
      <c r="G58" s="275">
        <f>ROUND((IF(MinBase1AMDay&gt;ROUND(((1-(OverNightDiscount_21_Up+FedExExrpessEarnedDiscount))*'1Day AM Base'!G55),2),ROUND(MinBase1AMDay*(1+ExpressFuelSurcharge),2),ROUND(((1-(OverNightDiscount_21_Up+FedExExrpessEarnedDiscount))*'1Day AM Base'!G55)*(1+ExpressFuelSurcharge),2)))*(1+FedEx_Markup),2)</f>
        <v>241.62</v>
      </c>
      <c r="H58" s="275">
        <f>ROUND((IF(MinBase1AMDay&gt;ROUND(((1-(OverNightDiscount_21_Up+FedExExrpessEarnedDiscount))*'1Day AM Base'!H55),2),ROUND(MinBase1AMDay*(1+ExpressFuelSurcharge),2),ROUND(((1-(OverNightDiscount_21_Up+FedExExrpessEarnedDiscount))*'1Day AM Base'!H55)*(1+ExpressFuelSurcharge),2)))*(1+FedEx_Markup),2)</f>
        <v>246.91</v>
      </c>
    </row>
    <row r="59" ht="12.75" customHeight="1">
      <c r="A59" s="274">
        <v>54.0</v>
      </c>
      <c r="B59" s="275">
        <f>ROUND((IF(MinBase1AMDay&gt;ROUND(((1-(OverNightDiscount_21_Up+FedExExrpessEarnedDiscount))*'1Day AM Base'!B56),2),ROUND(MinBase1AMDay*(1+ExpressFuelSurcharge),2),ROUND(((1-(OverNightDiscount_21_Up+FedExExrpessEarnedDiscount))*'1Day AM Base'!B56)*(1+ExpressFuelSurcharge),2)))*(1+FedEx_Markup),2)</f>
        <v>73.97</v>
      </c>
      <c r="C59" s="275">
        <f>ROUND((IF(MinBase1AMDay&gt;ROUND(((1-(OverNightDiscount_21_Up+FedExExrpessEarnedDiscount))*'1Day AM Base'!C56),2),ROUND(MinBase1AMDay*(1+ExpressFuelSurcharge),2),ROUND(((1-(OverNightDiscount_21_Up+FedExExrpessEarnedDiscount))*'1Day AM Base'!C56)*(1+ExpressFuelSurcharge),2)))*(1+FedEx_Markup),2)</f>
        <v>108.55</v>
      </c>
      <c r="D59" s="275">
        <f>ROUND((IF(MinBase1AMDay&gt;ROUND(((1-(OverNightDiscount_21_Up+FedExExrpessEarnedDiscount))*'1Day AM Base'!D56),2),ROUND(MinBase1AMDay*(1+ExpressFuelSurcharge),2),ROUND(((1-(OverNightDiscount_21_Up+FedExExrpessEarnedDiscount))*'1Day AM Base'!D56)*(1+ExpressFuelSurcharge),2)))*(1+FedEx_Markup),2)</f>
        <v>198.57</v>
      </c>
      <c r="E59" s="275">
        <f>ROUND((IF(MinBase1AMDay&gt;ROUND(((1-(OverNightDiscount_21_Up+FedExExrpessEarnedDiscount))*'1Day AM Base'!E56),2),ROUND(MinBase1AMDay*(1+ExpressFuelSurcharge),2),ROUND(((1-(OverNightDiscount_21_Up+FedExExrpessEarnedDiscount))*'1Day AM Base'!E56)*(1+ExpressFuelSurcharge),2)))*(1+FedEx_Markup),2)</f>
        <v>213.21</v>
      </c>
      <c r="F59" s="275">
        <f>ROUND((IF(MinBase1AMDay&gt;ROUND(((1-(OverNightDiscount_21_Up+FedExExrpessEarnedDiscount))*'1Day AM Base'!F56),2),ROUND(MinBase1AMDay*(1+ExpressFuelSurcharge),2),ROUND(((1-(OverNightDiscount_21_Up+FedExExrpessEarnedDiscount))*'1Day AM Base'!F56)*(1+ExpressFuelSurcharge),2)))*(1+FedEx_Markup),2)</f>
        <v>217.48</v>
      </c>
      <c r="G59" s="275">
        <f>ROUND((IF(MinBase1AMDay&gt;ROUND(((1-(OverNightDiscount_21_Up+FedExExrpessEarnedDiscount))*'1Day AM Base'!G56),2),ROUND(MinBase1AMDay*(1+ExpressFuelSurcharge),2),ROUND(((1-(OverNightDiscount_21_Up+FedExExrpessEarnedDiscount))*'1Day AM Base'!G56)*(1+ExpressFuelSurcharge),2)))*(1+FedEx_Markup),2)</f>
        <v>242.31</v>
      </c>
      <c r="H59" s="275">
        <f>ROUND((IF(MinBase1AMDay&gt;ROUND(((1-(OverNightDiscount_21_Up+FedExExrpessEarnedDiscount))*'1Day AM Base'!H56),2),ROUND(MinBase1AMDay*(1+ExpressFuelSurcharge),2),ROUND(((1-(OverNightDiscount_21_Up+FedExExrpessEarnedDiscount))*'1Day AM Base'!H56)*(1+ExpressFuelSurcharge),2)))*(1+FedEx_Markup),2)</f>
        <v>247.15</v>
      </c>
    </row>
    <row r="60" ht="12.75" customHeight="1">
      <c r="A60" s="274">
        <v>55.0</v>
      </c>
      <c r="B60" s="275">
        <f>ROUND((IF(MinBase1AMDay&gt;ROUND(((1-(OverNightDiscount_21_Up+FedExExrpessEarnedDiscount))*'1Day AM Base'!B57),2),ROUND(MinBase1AMDay*(1+ExpressFuelSurcharge),2),ROUND(((1-(OverNightDiscount_21_Up+FedExExrpessEarnedDiscount))*'1Day AM Base'!B57)*(1+ExpressFuelSurcharge),2)))*(1+FedEx_Markup),2)</f>
        <v>74.24</v>
      </c>
      <c r="C60" s="275">
        <f>ROUND((IF(MinBase1AMDay&gt;ROUND(((1-(OverNightDiscount_21_Up+FedExExrpessEarnedDiscount))*'1Day AM Base'!C57),2),ROUND(MinBase1AMDay*(1+ExpressFuelSurcharge),2),ROUND(((1-(OverNightDiscount_21_Up+FedExExrpessEarnedDiscount))*'1Day AM Base'!C57)*(1+ExpressFuelSurcharge),2)))*(1+FedEx_Markup),2)</f>
        <v>110.43</v>
      </c>
      <c r="D60" s="275">
        <f>ROUND((IF(MinBase1AMDay&gt;ROUND(((1-(OverNightDiscount_21_Up+FedExExrpessEarnedDiscount))*'1Day AM Base'!D57),2),ROUND(MinBase1AMDay*(1+ExpressFuelSurcharge),2),ROUND(((1-(OverNightDiscount_21_Up+FedExExrpessEarnedDiscount))*'1Day AM Base'!D57)*(1+ExpressFuelSurcharge),2)))*(1+FedEx_Markup),2)</f>
        <v>200.01</v>
      </c>
      <c r="E60" s="275">
        <f>ROUND((IF(MinBase1AMDay&gt;ROUND(((1-(OverNightDiscount_21_Up+FedExExrpessEarnedDiscount))*'1Day AM Base'!E57),2),ROUND(MinBase1AMDay*(1+ExpressFuelSurcharge),2),ROUND(((1-(OverNightDiscount_21_Up+FedExExrpessEarnedDiscount))*'1Day AM Base'!E57)*(1+ExpressFuelSurcharge),2)))*(1+FedEx_Markup),2)</f>
        <v>213.74</v>
      </c>
      <c r="F60" s="275">
        <f>ROUND((IF(MinBase1AMDay&gt;ROUND(((1-(OverNightDiscount_21_Up+FedExExrpessEarnedDiscount))*'1Day AM Base'!F57),2),ROUND(MinBase1AMDay*(1+ExpressFuelSurcharge),2),ROUND(((1-(OverNightDiscount_21_Up+FedExExrpessEarnedDiscount))*'1Day AM Base'!F57)*(1+ExpressFuelSurcharge),2)))*(1+FedEx_Markup),2)</f>
        <v>218.02</v>
      </c>
      <c r="G60" s="275">
        <f>ROUND((IF(MinBase1AMDay&gt;ROUND(((1-(OverNightDiscount_21_Up+FedExExrpessEarnedDiscount))*'1Day AM Base'!G57),2),ROUND(MinBase1AMDay*(1+ExpressFuelSurcharge),2),ROUND(((1-(OverNightDiscount_21_Up+FedExExrpessEarnedDiscount))*'1Day AM Base'!G57)*(1+ExpressFuelSurcharge),2)))*(1+FedEx_Markup),2)</f>
        <v>246.76</v>
      </c>
      <c r="H60" s="275">
        <f>ROUND((IF(MinBase1AMDay&gt;ROUND(((1-(OverNightDiscount_21_Up+FedExExrpessEarnedDiscount))*'1Day AM Base'!H57),2),ROUND(MinBase1AMDay*(1+ExpressFuelSurcharge),2),ROUND(((1-(OverNightDiscount_21_Up+FedExExrpessEarnedDiscount))*'1Day AM Base'!H57)*(1+ExpressFuelSurcharge),2)))*(1+FedEx_Markup),2)</f>
        <v>251.8</v>
      </c>
    </row>
    <row r="61" ht="12.75" customHeight="1">
      <c r="A61" s="274">
        <v>56.0</v>
      </c>
      <c r="B61" s="275">
        <f>ROUND((IF(MinBase1AMDay&gt;ROUND(((1-(OverNightDiscount_21_Up+FedExExrpessEarnedDiscount))*'1Day AM Base'!B58),2),ROUND(MinBase1AMDay*(1+ExpressFuelSurcharge),2),ROUND(((1-(OverNightDiscount_21_Up+FedExExrpessEarnedDiscount))*'1Day AM Base'!B58)*(1+ExpressFuelSurcharge),2)))*(1+FedEx_Markup),2)</f>
        <v>79.63</v>
      </c>
      <c r="C61" s="275">
        <f>ROUND((IF(MinBase1AMDay&gt;ROUND(((1-(OverNightDiscount_21_Up+FedExExrpessEarnedDiscount))*'1Day AM Base'!C58),2),ROUND(MinBase1AMDay*(1+ExpressFuelSurcharge),2),ROUND(((1-(OverNightDiscount_21_Up+FedExExrpessEarnedDiscount))*'1Day AM Base'!C58)*(1+ExpressFuelSurcharge),2)))*(1+FedEx_Markup),2)</f>
        <v>116.62</v>
      </c>
      <c r="D61" s="275">
        <f>ROUND((IF(MinBase1AMDay&gt;ROUND(((1-(OverNightDiscount_21_Up+FedExExrpessEarnedDiscount))*'1Day AM Base'!D58),2),ROUND(MinBase1AMDay*(1+ExpressFuelSurcharge),2),ROUND(((1-(OverNightDiscount_21_Up+FedExExrpessEarnedDiscount))*'1Day AM Base'!D58)*(1+ExpressFuelSurcharge),2)))*(1+FedEx_Markup),2)</f>
        <v>200.23</v>
      </c>
      <c r="E61" s="275">
        <f>ROUND((IF(MinBase1AMDay&gt;ROUND(((1-(OverNightDiscount_21_Up+FedExExrpessEarnedDiscount))*'1Day AM Base'!E58),2),ROUND(MinBase1AMDay*(1+ExpressFuelSurcharge),2),ROUND(((1-(OverNightDiscount_21_Up+FedExExrpessEarnedDiscount))*'1Day AM Base'!E58)*(1+ExpressFuelSurcharge),2)))*(1+FedEx_Markup),2)</f>
        <v>219.6</v>
      </c>
      <c r="F61" s="275">
        <f>ROUND((IF(MinBase1AMDay&gt;ROUND(((1-(OverNightDiscount_21_Up+FedExExrpessEarnedDiscount))*'1Day AM Base'!F58),2),ROUND(MinBase1AMDay*(1+ExpressFuelSurcharge),2),ROUND(((1-(OverNightDiscount_21_Up+FedExExrpessEarnedDiscount))*'1Day AM Base'!F58)*(1+ExpressFuelSurcharge),2)))*(1+FedEx_Markup),2)</f>
        <v>224</v>
      </c>
      <c r="G61" s="275">
        <f>ROUND((IF(MinBase1AMDay&gt;ROUND(((1-(OverNightDiscount_21_Up+FedExExrpessEarnedDiscount))*'1Day AM Base'!G58),2),ROUND(MinBase1AMDay*(1+ExpressFuelSurcharge),2),ROUND(((1-(OverNightDiscount_21_Up+FedExExrpessEarnedDiscount))*'1Day AM Base'!G58)*(1+ExpressFuelSurcharge),2)))*(1+FedEx_Markup),2)</f>
        <v>247.2</v>
      </c>
      <c r="H61" s="275">
        <f>ROUND((IF(MinBase1AMDay&gt;ROUND(((1-(OverNightDiscount_21_Up+FedExExrpessEarnedDiscount))*'1Day AM Base'!H58),2),ROUND(MinBase1AMDay*(1+ExpressFuelSurcharge),2),ROUND(((1-(OverNightDiscount_21_Up+FedExExrpessEarnedDiscount))*'1Day AM Base'!H58)*(1+ExpressFuelSurcharge),2)))*(1+FedEx_Markup),2)</f>
        <v>252.28</v>
      </c>
    </row>
    <row r="62" ht="12.75" customHeight="1">
      <c r="A62" s="274">
        <v>57.0</v>
      </c>
      <c r="B62" s="275">
        <f>ROUND((IF(MinBase1AMDay&gt;ROUND(((1-(OverNightDiscount_21_Up+FedExExrpessEarnedDiscount))*'1Day AM Base'!B59),2),ROUND(MinBase1AMDay*(1+ExpressFuelSurcharge),2),ROUND(((1-(OverNightDiscount_21_Up+FedExExrpessEarnedDiscount))*'1Day AM Base'!B59)*(1+ExpressFuelSurcharge),2)))*(1+FedEx_Markup),2)</f>
        <v>80.3</v>
      </c>
      <c r="C62" s="275">
        <f>ROUND((IF(MinBase1AMDay&gt;ROUND(((1-(OverNightDiscount_21_Up+FedExExrpessEarnedDiscount))*'1Day AM Base'!C59),2),ROUND(MinBase1AMDay*(1+ExpressFuelSurcharge),2),ROUND(((1-(OverNightDiscount_21_Up+FedExExrpessEarnedDiscount))*'1Day AM Base'!C59)*(1+ExpressFuelSurcharge),2)))*(1+FedEx_Markup),2)</f>
        <v>117.79</v>
      </c>
      <c r="D62" s="275">
        <f>ROUND((IF(MinBase1AMDay&gt;ROUND(((1-(OverNightDiscount_21_Up+FedExExrpessEarnedDiscount))*'1Day AM Base'!D59),2),ROUND(MinBase1AMDay*(1+ExpressFuelSurcharge),2),ROUND(((1-(OverNightDiscount_21_Up+FedExExrpessEarnedDiscount))*'1Day AM Base'!D59)*(1+ExpressFuelSurcharge),2)))*(1+FedEx_Markup),2)</f>
        <v>200.59</v>
      </c>
      <c r="E62" s="275">
        <f>ROUND((IF(MinBase1AMDay&gt;ROUND(((1-(OverNightDiscount_21_Up+FedExExrpessEarnedDiscount))*'1Day AM Base'!E59),2),ROUND(MinBase1AMDay*(1+ExpressFuelSurcharge),2),ROUND(((1-(OverNightDiscount_21_Up+FedExExrpessEarnedDiscount))*'1Day AM Base'!E59)*(1+ExpressFuelSurcharge),2)))*(1+FedEx_Markup),2)</f>
        <v>220.19</v>
      </c>
      <c r="F62" s="275">
        <f>ROUND((IF(MinBase1AMDay&gt;ROUND(((1-(OverNightDiscount_21_Up+FedExExrpessEarnedDiscount))*'1Day AM Base'!F59),2),ROUND(MinBase1AMDay*(1+ExpressFuelSurcharge),2),ROUND(((1-(OverNightDiscount_21_Up+FedExExrpessEarnedDiscount))*'1Day AM Base'!F59)*(1+ExpressFuelSurcharge),2)))*(1+FedEx_Markup),2)</f>
        <v>225.03</v>
      </c>
      <c r="G62" s="275">
        <f>ROUND((IF(MinBase1AMDay&gt;ROUND(((1-(OverNightDiscount_21_Up+FedExExrpessEarnedDiscount))*'1Day AM Base'!G59),2),ROUND(MinBase1AMDay*(1+ExpressFuelSurcharge),2),ROUND(((1-(OverNightDiscount_21_Up+FedExExrpessEarnedDiscount))*'1Day AM Base'!G59)*(1+ExpressFuelSurcharge),2)))*(1+FedEx_Markup),2)</f>
        <v>247.53</v>
      </c>
      <c r="H62" s="275">
        <f>ROUND((IF(MinBase1AMDay&gt;ROUND(((1-(OverNightDiscount_21_Up+FedExExrpessEarnedDiscount))*'1Day AM Base'!H59),2),ROUND(MinBase1AMDay*(1+ExpressFuelSurcharge),2),ROUND(((1-(OverNightDiscount_21_Up+FedExExrpessEarnedDiscount))*'1Day AM Base'!H59)*(1+ExpressFuelSurcharge),2)))*(1+FedEx_Markup),2)</f>
        <v>252.48</v>
      </c>
    </row>
    <row r="63" ht="12.75" customHeight="1">
      <c r="A63" s="274">
        <v>58.0</v>
      </c>
      <c r="B63" s="275">
        <f>ROUND((IF(MinBase1AMDay&gt;ROUND(((1-(OverNightDiscount_21_Up+FedExExrpessEarnedDiscount))*'1Day AM Base'!B60),2),ROUND(MinBase1AMDay*(1+ExpressFuelSurcharge),2),ROUND(((1-(OverNightDiscount_21_Up+FedExExrpessEarnedDiscount))*'1Day AM Base'!B60)*(1+ExpressFuelSurcharge),2)))*(1+FedEx_Markup),2)</f>
        <v>80.55</v>
      </c>
      <c r="C63" s="275">
        <f>ROUND((IF(MinBase1AMDay&gt;ROUND(((1-(OverNightDiscount_21_Up+FedExExrpessEarnedDiscount))*'1Day AM Base'!C60),2),ROUND(MinBase1AMDay*(1+ExpressFuelSurcharge),2),ROUND(((1-(OverNightDiscount_21_Up+FedExExrpessEarnedDiscount))*'1Day AM Base'!C60)*(1+ExpressFuelSurcharge),2)))*(1+FedEx_Markup),2)</f>
        <v>118.29</v>
      </c>
      <c r="D63" s="275">
        <f>ROUND((IF(MinBase1AMDay&gt;ROUND(((1-(OverNightDiscount_21_Up+FedExExrpessEarnedDiscount))*'1Day AM Base'!D60),2),ROUND(MinBase1AMDay*(1+ExpressFuelSurcharge),2),ROUND(((1-(OverNightDiscount_21_Up+FedExExrpessEarnedDiscount))*'1Day AM Base'!D60)*(1+ExpressFuelSurcharge),2)))*(1+FedEx_Markup),2)</f>
        <v>200.85</v>
      </c>
      <c r="E63" s="275">
        <f>ROUND((IF(MinBase1AMDay&gt;ROUND(((1-(OverNightDiscount_21_Up+FedExExrpessEarnedDiscount))*'1Day AM Base'!E60),2),ROUND(MinBase1AMDay*(1+ExpressFuelSurcharge),2),ROUND(((1-(OverNightDiscount_21_Up+FedExExrpessEarnedDiscount))*'1Day AM Base'!E60)*(1+ExpressFuelSurcharge),2)))*(1+FedEx_Markup),2)</f>
        <v>220.41</v>
      </c>
      <c r="F63" s="275">
        <f>ROUND((IF(MinBase1AMDay&gt;ROUND(((1-(OverNightDiscount_21_Up+FedExExrpessEarnedDiscount))*'1Day AM Base'!F60),2),ROUND(MinBase1AMDay*(1+ExpressFuelSurcharge),2),ROUND(((1-(OverNightDiscount_21_Up+FedExExrpessEarnedDiscount))*'1Day AM Base'!F60)*(1+ExpressFuelSurcharge),2)))*(1+FedEx_Markup),2)</f>
        <v>229.63</v>
      </c>
      <c r="G63" s="275">
        <f>ROUND((IF(MinBase1AMDay&gt;ROUND(((1-(OverNightDiscount_21_Up+FedExExrpessEarnedDiscount))*'1Day AM Base'!G60),2),ROUND(MinBase1AMDay*(1+ExpressFuelSurcharge),2),ROUND(((1-(OverNightDiscount_21_Up+FedExExrpessEarnedDiscount))*'1Day AM Base'!G60)*(1+ExpressFuelSurcharge),2)))*(1+FedEx_Markup),2)</f>
        <v>248.19</v>
      </c>
      <c r="H63" s="275">
        <f>ROUND((IF(MinBase1AMDay&gt;ROUND(((1-(OverNightDiscount_21_Up+FedExExrpessEarnedDiscount))*'1Day AM Base'!H60),2),ROUND(MinBase1AMDay*(1+ExpressFuelSurcharge),2),ROUND(((1-(OverNightDiscount_21_Up+FedExExrpessEarnedDiscount))*'1Day AM Base'!H60)*(1+ExpressFuelSurcharge),2)))*(1+FedEx_Markup),2)</f>
        <v>253.16</v>
      </c>
    </row>
    <row r="64" ht="12.75" customHeight="1">
      <c r="A64" s="274">
        <v>59.0</v>
      </c>
      <c r="B64" s="275">
        <f>ROUND((IF(MinBase1AMDay&gt;ROUND(((1-(OverNightDiscount_21_Up+FedExExrpessEarnedDiscount))*'1Day AM Base'!B61),2),ROUND(MinBase1AMDay*(1+ExpressFuelSurcharge),2),ROUND(((1-(OverNightDiscount_21_Up+FedExExrpessEarnedDiscount))*'1Day AM Base'!B61)*(1+ExpressFuelSurcharge),2)))*(1+FedEx_Markup),2)</f>
        <v>80.76</v>
      </c>
      <c r="C64" s="275">
        <f>ROUND((IF(MinBase1AMDay&gt;ROUND(((1-(OverNightDiscount_21_Up+FedExExrpessEarnedDiscount))*'1Day AM Base'!C61),2),ROUND(MinBase1AMDay*(1+ExpressFuelSurcharge),2),ROUND(((1-(OverNightDiscount_21_Up+FedExExrpessEarnedDiscount))*'1Day AM Base'!C61)*(1+ExpressFuelSurcharge),2)))*(1+FedEx_Markup),2)</f>
        <v>118.52</v>
      </c>
      <c r="D64" s="275">
        <f>ROUND((IF(MinBase1AMDay&gt;ROUND(((1-(OverNightDiscount_21_Up+FedExExrpessEarnedDiscount))*'1Day AM Base'!D61),2),ROUND(MinBase1AMDay*(1+ExpressFuelSurcharge),2),ROUND(((1-(OverNightDiscount_21_Up+FedExExrpessEarnedDiscount))*'1Day AM Base'!D61)*(1+ExpressFuelSurcharge),2)))*(1+FedEx_Markup),2)</f>
        <v>205.62</v>
      </c>
      <c r="E64" s="275">
        <f>ROUND((IF(MinBase1AMDay&gt;ROUND(((1-(OverNightDiscount_21_Up+FedExExrpessEarnedDiscount))*'1Day AM Base'!E61),2),ROUND(MinBase1AMDay*(1+ExpressFuelSurcharge),2),ROUND(((1-(OverNightDiscount_21_Up+FedExExrpessEarnedDiscount))*'1Day AM Base'!E61)*(1+ExpressFuelSurcharge),2)))*(1+FedEx_Markup),2)</f>
        <v>223.72</v>
      </c>
      <c r="F64" s="275">
        <f>ROUND((IF(MinBase1AMDay&gt;ROUND(((1-(OverNightDiscount_21_Up+FedExExrpessEarnedDiscount))*'1Day AM Base'!F61),2),ROUND(MinBase1AMDay*(1+ExpressFuelSurcharge),2),ROUND(((1-(OverNightDiscount_21_Up+FedExExrpessEarnedDiscount))*'1Day AM Base'!F61)*(1+ExpressFuelSurcharge),2)))*(1+FedEx_Markup),2)</f>
        <v>230.09</v>
      </c>
      <c r="G64" s="275">
        <f>ROUND((IF(MinBase1AMDay&gt;ROUND(((1-(OverNightDiscount_21_Up+FedExExrpessEarnedDiscount))*'1Day AM Base'!G61),2),ROUND(MinBase1AMDay*(1+ExpressFuelSurcharge),2),ROUND(((1-(OverNightDiscount_21_Up+FedExExrpessEarnedDiscount))*'1Day AM Base'!G61)*(1+ExpressFuelSurcharge),2)))*(1+FedEx_Markup),2)</f>
        <v>248.88</v>
      </c>
      <c r="H64" s="275">
        <f>ROUND((IF(MinBase1AMDay&gt;ROUND(((1-(OverNightDiscount_21_Up+FedExExrpessEarnedDiscount))*'1Day AM Base'!H61),2),ROUND(MinBase1AMDay*(1+ExpressFuelSurcharge),2),ROUND(((1-(OverNightDiscount_21_Up+FedExExrpessEarnedDiscount))*'1Day AM Base'!H61)*(1+ExpressFuelSurcharge),2)))*(1+FedEx_Markup),2)</f>
        <v>266.59</v>
      </c>
    </row>
    <row r="65" ht="12.75" customHeight="1">
      <c r="A65" s="274">
        <v>60.0</v>
      </c>
      <c r="B65" s="275">
        <f>ROUND((IF(MinBase1AMDay&gt;ROUND(((1-(OverNightDiscount_21_Up+FedExExrpessEarnedDiscount))*'1Day AM Base'!B62),2),ROUND(MinBase1AMDay*(1+ExpressFuelSurcharge),2),ROUND(((1-(OverNightDiscount_21_Up+FedExExrpessEarnedDiscount))*'1Day AM Base'!B62)*(1+ExpressFuelSurcharge),2)))*(1+FedEx_Markup),2)</f>
        <v>80.99</v>
      </c>
      <c r="C65" s="275">
        <f>ROUND((IF(MinBase1AMDay&gt;ROUND(((1-(OverNightDiscount_21_Up+FedExExrpessEarnedDiscount))*'1Day AM Base'!C62),2),ROUND(MinBase1AMDay*(1+ExpressFuelSurcharge),2),ROUND(((1-(OverNightDiscount_21_Up+FedExExrpessEarnedDiscount))*'1Day AM Base'!C62)*(1+ExpressFuelSurcharge),2)))*(1+FedEx_Markup),2)</f>
        <v>118.75</v>
      </c>
      <c r="D65" s="275">
        <f>ROUND((IF(MinBase1AMDay&gt;ROUND(((1-(OverNightDiscount_21_Up+FedExExrpessEarnedDiscount))*'1Day AM Base'!D62),2),ROUND(MinBase1AMDay*(1+ExpressFuelSurcharge),2),ROUND(((1-(OverNightDiscount_21_Up+FedExExrpessEarnedDiscount))*'1Day AM Base'!D62)*(1+ExpressFuelSurcharge),2)))*(1+FedEx_Markup),2)</f>
        <v>206.1</v>
      </c>
      <c r="E65" s="275">
        <f>ROUND((IF(MinBase1AMDay&gt;ROUND(((1-(OverNightDiscount_21_Up+FedExExrpessEarnedDiscount))*'1Day AM Base'!E62),2),ROUND(MinBase1AMDay*(1+ExpressFuelSurcharge),2),ROUND(((1-(OverNightDiscount_21_Up+FedExExrpessEarnedDiscount))*'1Day AM Base'!E62)*(1+ExpressFuelSurcharge),2)))*(1+FedEx_Markup),2)</f>
        <v>224.05</v>
      </c>
      <c r="F65" s="275">
        <f>ROUND((IF(MinBase1AMDay&gt;ROUND(((1-(OverNightDiscount_21_Up+FedExExrpessEarnedDiscount))*'1Day AM Base'!F62),2),ROUND(MinBase1AMDay*(1+ExpressFuelSurcharge),2),ROUND(((1-(OverNightDiscount_21_Up+FedExExrpessEarnedDiscount))*'1Day AM Base'!F62)*(1+ExpressFuelSurcharge),2)))*(1+FedEx_Markup),2)</f>
        <v>230.56</v>
      </c>
      <c r="G65" s="275">
        <f>ROUND((IF(MinBase1AMDay&gt;ROUND(((1-(OverNightDiscount_21_Up+FedExExrpessEarnedDiscount))*'1Day AM Base'!G62),2),ROUND(MinBase1AMDay*(1+ExpressFuelSurcharge),2),ROUND(((1-(OverNightDiscount_21_Up+FedExExrpessEarnedDiscount))*'1Day AM Base'!G62)*(1+ExpressFuelSurcharge),2)))*(1+FedEx_Markup),2)</f>
        <v>262.67</v>
      </c>
      <c r="H65" s="275">
        <f>ROUND((IF(MinBase1AMDay&gt;ROUND(((1-(OverNightDiscount_21_Up+FedExExrpessEarnedDiscount))*'1Day AM Base'!H62),2),ROUND(MinBase1AMDay*(1+ExpressFuelSurcharge),2),ROUND(((1-(OverNightDiscount_21_Up+FedExExrpessEarnedDiscount))*'1Day AM Base'!H62)*(1+ExpressFuelSurcharge),2)))*(1+FedEx_Markup),2)</f>
        <v>267.94</v>
      </c>
    </row>
    <row r="66" ht="12.75" customHeight="1">
      <c r="A66" s="274">
        <v>61.0</v>
      </c>
      <c r="B66" s="275">
        <f>ROUND((IF(MinBase1AMDay&gt;ROUND(((1-(OverNightDiscount_21_Up+FedExExrpessEarnedDiscount))*'1Day AM Base'!B63),2),ROUND(MinBase1AMDay*(1+ExpressFuelSurcharge),2),ROUND(((1-(OverNightDiscount_21_Up+FedExExrpessEarnedDiscount))*'1Day AM Base'!B63)*(1+ExpressFuelSurcharge),2)))*(1+FedEx_Markup),2)</f>
        <v>85.23</v>
      </c>
      <c r="C66" s="275">
        <f>ROUND((IF(MinBase1AMDay&gt;ROUND(((1-(OverNightDiscount_21_Up+FedExExrpessEarnedDiscount))*'1Day AM Base'!C63),2),ROUND(MinBase1AMDay*(1+ExpressFuelSurcharge),2),ROUND(((1-(OverNightDiscount_21_Up+FedExExrpessEarnedDiscount))*'1Day AM Base'!C63)*(1+ExpressFuelSurcharge),2)))*(1+FedEx_Markup),2)</f>
        <v>122.94</v>
      </c>
      <c r="D66" s="275">
        <f>ROUND((IF(MinBase1AMDay&gt;ROUND(((1-(OverNightDiscount_21_Up+FedExExrpessEarnedDiscount))*'1Day AM Base'!D63),2),ROUND(MinBase1AMDay*(1+ExpressFuelSurcharge),2),ROUND(((1-(OverNightDiscount_21_Up+FedExExrpessEarnedDiscount))*'1Day AM Base'!D63)*(1+ExpressFuelSurcharge),2)))*(1+FedEx_Markup),2)</f>
        <v>214.39</v>
      </c>
      <c r="E66" s="275">
        <f>ROUND((IF(MinBase1AMDay&gt;ROUND(((1-(OverNightDiscount_21_Up+FedExExrpessEarnedDiscount))*'1Day AM Base'!E63),2),ROUND(MinBase1AMDay*(1+ExpressFuelSurcharge),2),ROUND(((1-(OverNightDiscount_21_Up+FedExExrpessEarnedDiscount))*'1Day AM Base'!E63)*(1+ExpressFuelSurcharge),2)))*(1+FedEx_Markup),2)</f>
        <v>230.55</v>
      </c>
      <c r="F66" s="275">
        <f>ROUND((IF(MinBase1AMDay&gt;ROUND(((1-(OverNightDiscount_21_Up+FedExExrpessEarnedDiscount))*'1Day AM Base'!F63),2),ROUND(MinBase1AMDay*(1+ExpressFuelSurcharge),2),ROUND(((1-(OverNightDiscount_21_Up+FedExExrpessEarnedDiscount))*'1Day AM Base'!F63)*(1+ExpressFuelSurcharge),2)))*(1+FedEx_Markup),2)</f>
        <v>239.9</v>
      </c>
      <c r="G66" s="275">
        <f>ROUND((IF(MinBase1AMDay&gt;ROUND(((1-(OverNightDiscount_21_Up+FedExExrpessEarnedDiscount))*'1Day AM Base'!G63),2),ROUND(MinBase1AMDay*(1+ExpressFuelSurcharge),2),ROUND(((1-(OverNightDiscount_21_Up+FedExExrpessEarnedDiscount))*'1Day AM Base'!G63)*(1+ExpressFuelSurcharge),2)))*(1+FedEx_Markup),2)</f>
        <v>270.88</v>
      </c>
      <c r="H66" s="275">
        <f>ROUND((IF(MinBase1AMDay&gt;ROUND(((1-(OverNightDiscount_21_Up+FedExExrpessEarnedDiscount))*'1Day AM Base'!H63),2),ROUND(MinBase1AMDay*(1+ExpressFuelSurcharge),2),ROUND(((1-(OverNightDiscount_21_Up+FedExExrpessEarnedDiscount))*'1Day AM Base'!H63)*(1+ExpressFuelSurcharge),2)))*(1+FedEx_Markup),2)</f>
        <v>276.31</v>
      </c>
    </row>
    <row r="67" ht="12.75" customHeight="1">
      <c r="A67" s="274">
        <v>62.0</v>
      </c>
      <c r="B67" s="275">
        <f>ROUND((IF(MinBase1AMDay&gt;ROUND(((1-(OverNightDiscount_21_Up+FedExExrpessEarnedDiscount))*'1Day AM Base'!B64),2),ROUND(MinBase1AMDay*(1+ExpressFuelSurcharge),2),ROUND(((1-(OverNightDiscount_21_Up+FedExExrpessEarnedDiscount))*'1Day AM Base'!B64)*(1+ExpressFuelSurcharge),2)))*(1+FedEx_Markup),2)</f>
        <v>86.19</v>
      </c>
      <c r="C67" s="275">
        <f>ROUND((IF(MinBase1AMDay&gt;ROUND(((1-(OverNightDiscount_21_Up+FedExExrpessEarnedDiscount))*'1Day AM Base'!C64),2),ROUND(MinBase1AMDay*(1+ExpressFuelSurcharge),2),ROUND(((1-(OverNightDiscount_21_Up+FedExExrpessEarnedDiscount))*'1Day AM Base'!C64)*(1+ExpressFuelSurcharge),2)))*(1+FedEx_Markup),2)</f>
        <v>126.74</v>
      </c>
      <c r="D67" s="275">
        <f>ROUND((IF(MinBase1AMDay&gt;ROUND(((1-(OverNightDiscount_21_Up+FedExExrpessEarnedDiscount))*'1Day AM Base'!D64),2),ROUND(MinBase1AMDay*(1+ExpressFuelSurcharge),2),ROUND(((1-(OverNightDiscount_21_Up+FedExExrpessEarnedDiscount))*'1Day AM Base'!D64)*(1+ExpressFuelSurcharge),2)))*(1+FedEx_Markup),2)</f>
        <v>217.65</v>
      </c>
      <c r="E67" s="275">
        <f>ROUND((IF(MinBase1AMDay&gt;ROUND(((1-(OverNightDiscount_21_Up+FedExExrpessEarnedDiscount))*'1Day AM Base'!E64),2),ROUND(MinBase1AMDay*(1+ExpressFuelSurcharge),2),ROUND(((1-(OverNightDiscount_21_Up+FedExExrpessEarnedDiscount))*'1Day AM Base'!E64)*(1+ExpressFuelSurcharge),2)))*(1+FedEx_Markup),2)</f>
        <v>233.42</v>
      </c>
      <c r="F67" s="275">
        <f>ROUND((IF(MinBase1AMDay&gt;ROUND(((1-(OverNightDiscount_21_Up+FedExExrpessEarnedDiscount))*'1Day AM Base'!F64),2),ROUND(MinBase1AMDay*(1+ExpressFuelSurcharge),2),ROUND(((1-(OverNightDiscount_21_Up+FedExExrpessEarnedDiscount))*'1Day AM Base'!F64)*(1+ExpressFuelSurcharge),2)))*(1+FedEx_Markup),2)</f>
        <v>240.89</v>
      </c>
      <c r="G67" s="275">
        <f>ROUND((IF(MinBase1AMDay&gt;ROUND(((1-(OverNightDiscount_21_Up+FedExExrpessEarnedDiscount))*'1Day AM Base'!G64),2),ROUND(MinBase1AMDay*(1+ExpressFuelSurcharge),2),ROUND(((1-(OverNightDiscount_21_Up+FedExExrpessEarnedDiscount))*'1Day AM Base'!G64)*(1+ExpressFuelSurcharge),2)))*(1+FedEx_Markup),2)</f>
        <v>274.76</v>
      </c>
      <c r="H67" s="275">
        <f>ROUND((IF(MinBase1AMDay&gt;ROUND(((1-(OverNightDiscount_21_Up+FedExExrpessEarnedDiscount))*'1Day AM Base'!H64),2),ROUND(MinBase1AMDay*(1+ExpressFuelSurcharge),2),ROUND(((1-(OverNightDiscount_21_Up+FedExExrpessEarnedDiscount))*'1Day AM Base'!H64)*(1+ExpressFuelSurcharge),2)))*(1+FedEx_Markup),2)</f>
        <v>282.96</v>
      </c>
    </row>
    <row r="68" ht="12.75" customHeight="1">
      <c r="A68" s="274">
        <v>63.0</v>
      </c>
      <c r="B68" s="275">
        <f>ROUND((IF(MinBase1AMDay&gt;ROUND(((1-(OverNightDiscount_21_Up+FedExExrpessEarnedDiscount))*'1Day AM Base'!B65),2),ROUND(MinBase1AMDay*(1+ExpressFuelSurcharge),2),ROUND(((1-(OverNightDiscount_21_Up+FedExExrpessEarnedDiscount))*'1Day AM Base'!B65)*(1+ExpressFuelSurcharge),2)))*(1+FedEx_Markup),2)</f>
        <v>86.45</v>
      </c>
      <c r="C68" s="275">
        <f>ROUND((IF(MinBase1AMDay&gt;ROUND(((1-(OverNightDiscount_21_Up+FedExExrpessEarnedDiscount))*'1Day AM Base'!C65),2),ROUND(MinBase1AMDay*(1+ExpressFuelSurcharge),2),ROUND(((1-(OverNightDiscount_21_Up+FedExExrpessEarnedDiscount))*'1Day AM Base'!C65)*(1+ExpressFuelSurcharge),2)))*(1+FedEx_Markup),2)</f>
        <v>127.14</v>
      </c>
      <c r="D68" s="275">
        <f>ROUND((IF(MinBase1AMDay&gt;ROUND(((1-(OverNightDiscount_21_Up+FedExExrpessEarnedDiscount))*'1Day AM Base'!D65),2),ROUND(MinBase1AMDay*(1+ExpressFuelSurcharge),2),ROUND(((1-(OverNightDiscount_21_Up+FedExExrpessEarnedDiscount))*'1Day AM Base'!D65)*(1+ExpressFuelSurcharge),2)))*(1+FedEx_Markup),2)</f>
        <v>219.62</v>
      </c>
      <c r="E68" s="275">
        <f>ROUND((IF(MinBase1AMDay&gt;ROUND(((1-(OverNightDiscount_21_Up+FedExExrpessEarnedDiscount))*'1Day AM Base'!E65),2),ROUND(MinBase1AMDay*(1+ExpressFuelSurcharge),2),ROUND(((1-(OverNightDiscount_21_Up+FedExExrpessEarnedDiscount))*'1Day AM Base'!E65)*(1+ExpressFuelSurcharge),2)))*(1+FedEx_Markup),2)</f>
        <v>233.75</v>
      </c>
      <c r="F68" s="275">
        <f>ROUND((IF(MinBase1AMDay&gt;ROUND(((1-(OverNightDiscount_21_Up+FedExExrpessEarnedDiscount))*'1Day AM Base'!F65),2),ROUND(MinBase1AMDay*(1+ExpressFuelSurcharge),2),ROUND(((1-(OverNightDiscount_21_Up+FedExExrpessEarnedDiscount))*'1Day AM Base'!F65)*(1+ExpressFuelSurcharge),2)))*(1+FedEx_Markup),2)</f>
        <v>241.99</v>
      </c>
      <c r="G68" s="275">
        <f>ROUND((IF(MinBase1AMDay&gt;ROUND(((1-(OverNightDiscount_21_Up+FedExExrpessEarnedDiscount))*'1Day AM Base'!G65),2),ROUND(MinBase1AMDay*(1+ExpressFuelSurcharge),2),ROUND(((1-(OverNightDiscount_21_Up+FedExExrpessEarnedDiscount))*'1Day AM Base'!G65)*(1+ExpressFuelSurcharge),2)))*(1+FedEx_Markup),2)</f>
        <v>278.67</v>
      </c>
      <c r="H68" s="275">
        <f>ROUND((IF(MinBase1AMDay&gt;ROUND(((1-(OverNightDiscount_21_Up+FedExExrpessEarnedDiscount))*'1Day AM Base'!H65),2),ROUND(MinBase1AMDay*(1+ExpressFuelSurcharge),2),ROUND(((1-(OverNightDiscount_21_Up+FedExExrpessEarnedDiscount))*'1Day AM Base'!H65)*(1+ExpressFuelSurcharge),2)))*(1+FedEx_Markup),2)</f>
        <v>284.25</v>
      </c>
    </row>
    <row r="69" ht="12.75" customHeight="1">
      <c r="A69" s="274">
        <v>64.0</v>
      </c>
      <c r="B69" s="275">
        <f>ROUND((IF(MinBase1AMDay&gt;ROUND(((1-(OverNightDiscount_21_Up+FedExExrpessEarnedDiscount))*'1Day AM Base'!B66),2),ROUND(MinBase1AMDay*(1+ExpressFuelSurcharge),2),ROUND(((1-(OverNightDiscount_21_Up+FedExExrpessEarnedDiscount))*'1Day AM Base'!B66)*(1+ExpressFuelSurcharge),2)))*(1+FedEx_Markup),2)</f>
        <v>90.77</v>
      </c>
      <c r="C69" s="275">
        <f>ROUND((IF(MinBase1AMDay&gt;ROUND(((1-(OverNightDiscount_21_Up+FedExExrpessEarnedDiscount))*'1Day AM Base'!C66),2),ROUND(MinBase1AMDay*(1+ExpressFuelSurcharge),2),ROUND(((1-(OverNightDiscount_21_Up+FedExExrpessEarnedDiscount))*'1Day AM Base'!C66)*(1+ExpressFuelSurcharge),2)))*(1+FedEx_Markup),2)</f>
        <v>131.17</v>
      </c>
      <c r="D69" s="275">
        <f>ROUND((IF(MinBase1AMDay&gt;ROUND(((1-(OverNightDiscount_21_Up+FedExExrpessEarnedDiscount))*'1Day AM Base'!D66),2),ROUND(MinBase1AMDay*(1+ExpressFuelSurcharge),2),ROUND(((1-(OverNightDiscount_21_Up+FedExExrpessEarnedDiscount))*'1Day AM Base'!D66)*(1+ExpressFuelSurcharge),2)))*(1+FedEx_Markup),2)</f>
        <v>219.82</v>
      </c>
      <c r="E69" s="275">
        <f>ROUND((IF(MinBase1AMDay&gt;ROUND(((1-(OverNightDiscount_21_Up+FedExExrpessEarnedDiscount))*'1Day AM Base'!E66),2),ROUND(MinBase1AMDay*(1+ExpressFuelSurcharge),2),ROUND(((1-(OverNightDiscount_21_Up+FedExExrpessEarnedDiscount))*'1Day AM Base'!E66)*(1+ExpressFuelSurcharge),2)))*(1+FedEx_Markup),2)</f>
        <v>240.3</v>
      </c>
      <c r="F69" s="275">
        <f>ROUND((IF(MinBase1AMDay&gt;ROUND(((1-(OverNightDiscount_21_Up+FedExExrpessEarnedDiscount))*'1Day AM Base'!F66),2),ROUND(MinBase1AMDay*(1+ExpressFuelSurcharge),2),ROUND(((1-(OverNightDiscount_21_Up+FedExExrpessEarnedDiscount))*'1Day AM Base'!F66)*(1+ExpressFuelSurcharge),2)))*(1+FedEx_Markup),2)</f>
        <v>249.49</v>
      </c>
      <c r="G69" s="275">
        <f>ROUND((IF(MinBase1AMDay&gt;ROUND(((1-(OverNightDiscount_21_Up+FedExExrpessEarnedDiscount))*'1Day AM Base'!G66),2),ROUND(MinBase1AMDay*(1+ExpressFuelSurcharge),2),ROUND(((1-(OverNightDiscount_21_Up+FedExExrpessEarnedDiscount))*'1Day AM Base'!G66)*(1+ExpressFuelSurcharge),2)))*(1+FedEx_Markup),2)</f>
        <v>283.72</v>
      </c>
      <c r="H69" s="275">
        <f>ROUND((IF(MinBase1AMDay&gt;ROUND(((1-(OverNightDiscount_21_Up+FedExExrpessEarnedDiscount))*'1Day AM Base'!H66),2),ROUND(MinBase1AMDay*(1+ExpressFuelSurcharge),2),ROUND(((1-(OverNightDiscount_21_Up+FedExExrpessEarnedDiscount))*'1Day AM Base'!H66)*(1+ExpressFuelSurcharge),2)))*(1+FedEx_Markup),2)</f>
        <v>294.77</v>
      </c>
    </row>
    <row r="70" ht="12.75" customHeight="1">
      <c r="A70" s="274">
        <v>65.0</v>
      </c>
      <c r="B70" s="275">
        <f>ROUND((IF(MinBase1AMDay&gt;ROUND(((1-(OverNightDiscount_21_Up+FedExExrpessEarnedDiscount))*'1Day AM Base'!B67),2),ROUND(MinBase1AMDay*(1+ExpressFuelSurcharge),2),ROUND(((1-(OverNightDiscount_21_Up+FedExExrpessEarnedDiscount))*'1Day AM Base'!B67)*(1+ExpressFuelSurcharge),2)))*(1+FedEx_Markup),2)</f>
        <v>91.22</v>
      </c>
      <c r="C70" s="275">
        <f>ROUND((IF(MinBase1AMDay&gt;ROUND(((1-(OverNightDiscount_21_Up+FedExExrpessEarnedDiscount))*'1Day AM Base'!C67),2),ROUND(MinBase1AMDay*(1+ExpressFuelSurcharge),2),ROUND(((1-(OverNightDiscount_21_Up+FedExExrpessEarnedDiscount))*'1Day AM Base'!C67)*(1+ExpressFuelSurcharge),2)))*(1+FedEx_Markup),2)</f>
        <v>132.04</v>
      </c>
      <c r="D70" s="275">
        <f>ROUND((IF(MinBase1AMDay&gt;ROUND(((1-(OverNightDiscount_21_Up+FedExExrpessEarnedDiscount))*'1Day AM Base'!D67),2),ROUND(MinBase1AMDay*(1+ExpressFuelSurcharge),2),ROUND(((1-(OverNightDiscount_21_Up+FedExExrpessEarnedDiscount))*'1Day AM Base'!D67)*(1+ExpressFuelSurcharge),2)))*(1+FedEx_Markup),2)</f>
        <v>221.71</v>
      </c>
      <c r="E70" s="275">
        <f>ROUND((IF(MinBase1AMDay&gt;ROUND(((1-(OverNightDiscount_21_Up+FedExExrpessEarnedDiscount))*'1Day AM Base'!E67),2),ROUND(MinBase1AMDay*(1+ExpressFuelSurcharge),2),ROUND(((1-(OverNightDiscount_21_Up+FedExExrpessEarnedDiscount))*'1Day AM Base'!E67)*(1+ExpressFuelSurcharge),2)))*(1+FedEx_Markup),2)</f>
        <v>242.93</v>
      </c>
      <c r="F70" s="275">
        <f>ROUND((IF(MinBase1AMDay&gt;ROUND(((1-(OverNightDiscount_21_Up+FedExExrpessEarnedDiscount))*'1Day AM Base'!F67),2),ROUND(MinBase1AMDay*(1+ExpressFuelSurcharge),2),ROUND(((1-(OverNightDiscount_21_Up+FedExExrpessEarnedDiscount))*'1Day AM Base'!F67)*(1+ExpressFuelSurcharge),2)))*(1+FedEx_Markup),2)</f>
        <v>251.06</v>
      </c>
      <c r="G70" s="275">
        <f>ROUND((IF(MinBase1AMDay&gt;ROUND(((1-(OverNightDiscount_21_Up+FedExExrpessEarnedDiscount))*'1Day AM Base'!G67),2),ROUND(MinBase1AMDay*(1+ExpressFuelSurcharge),2),ROUND(((1-(OverNightDiscount_21_Up+FedExExrpessEarnedDiscount))*'1Day AM Base'!G67)*(1+ExpressFuelSurcharge),2)))*(1+FedEx_Markup),2)</f>
        <v>288.11</v>
      </c>
      <c r="H70" s="275">
        <f>ROUND((IF(MinBase1AMDay&gt;ROUND(((1-(OverNightDiscount_21_Up+FedExExrpessEarnedDiscount))*'1Day AM Base'!H67),2),ROUND(MinBase1AMDay*(1+ExpressFuelSurcharge),2),ROUND(((1-(OverNightDiscount_21_Up+FedExExrpessEarnedDiscount))*'1Day AM Base'!H67)*(1+ExpressFuelSurcharge),2)))*(1+FedEx_Markup),2)</f>
        <v>298.09</v>
      </c>
    </row>
    <row r="71" ht="12.75" customHeight="1">
      <c r="A71" s="274">
        <v>66.0</v>
      </c>
      <c r="B71" s="275">
        <f>ROUND((IF(MinBase1AMDay&gt;ROUND(((1-(OverNightDiscount_21_Up+FedExExrpessEarnedDiscount))*'1Day AM Base'!B68),2),ROUND(MinBase1AMDay*(1+ExpressFuelSurcharge),2),ROUND(((1-(OverNightDiscount_21_Up+FedExExrpessEarnedDiscount))*'1Day AM Base'!B68)*(1+ExpressFuelSurcharge),2)))*(1+FedEx_Markup),2)</f>
        <v>91.45</v>
      </c>
      <c r="C71" s="275">
        <f>ROUND((IF(MinBase1AMDay&gt;ROUND(((1-(OverNightDiscount_21_Up+FedExExrpessEarnedDiscount))*'1Day AM Base'!C68),2),ROUND(MinBase1AMDay*(1+ExpressFuelSurcharge),2),ROUND(((1-(OverNightDiscount_21_Up+FedExExrpessEarnedDiscount))*'1Day AM Base'!C68)*(1+ExpressFuelSurcharge),2)))*(1+FedEx_Markup),2)</f>
        <v>132.41</v>
      </c>
      <c r="D71" s="275">
        <f>ROUND((IF(MinBase1AMDay&gt;ROUND(((1-(OverNightDiscount_21_Up+FedExExrpessEarnedDiscount))*'1Day AM Base'!D68),2),ROUND(MinBase1AMDay*(1+ExpressFuelSurcharge),2),ROUND(((1-(OverNightDiscount_21_Up+FedExExrpessEarnedDiscount))*'1Day AM Base'!D68)*(1+ExpressFuelSurcharge),2)))*(1+FedEx_Markup),2)</f>
        <v>228.3</v>
      </c>
      <c r="E71" s="275">
        <f>ROUND((IF(MinBase1AMDay&gt;ROUND(((1-(OverNightDiscount_21_Up+FedExExrpessEarnedDiscount))*'1Day AM Base'!E68),2),ROUND(MinBase1AMDay*(1+ExpressFuelSurcharge),2),ROUND(((1-(OverNightDiscount_21_Up+FedExExrpessEarnedDiscount))*'1Day AM Base'!E68)*(1+ExpressFuelSurcharge),2)))*(1+FedEx_Markup),2)</f>
        <v>250.49</v>
      </c>
      <c r="F71" s="275">
        <f>ROUND((IF(MinBase1AMDay&gt;ROUND(((1-(OverNightDiscount_21_Up+FedExExrpessEarnedDiscount))*'1Day AM Base'!F68),2),ROUND(MinBase1AMDay*(1+ExpressFuelSurcharge),2),ROUND(((1-(OverNightDiscount_21_Up+FedExExrpessEarnedDiscount))*'1Day AM Base'!F68)*(1+ExpressFuelSurcharge),2)))*(1+FedEx_Markup),2)</f>
        <v>258.75</v>
      </c>
      <c r="G71" s="275">
        <f>ROUND((IF(MinBase1AMDay&gt;ROUND(((1-(OverNightDiscount_21_Up+FedExExrpessEarnedDiscount))*'1Day AM Base'!G68),2),ROUND(MinBase1AMDay*(1+ExpressFuelSurcharge),2),ROUND(((1-(OverNightDiscount_21_Up+FedExExrpessEarnedDiscount))*'1Day AM Base'!G68)*(1+ExpressFuelSurcharge),2)))*(1+FedEx_Markup),2)</f>
        <v>288.56</v>
      </c>
      <c r="H71" s="275">
        <f>ROUND((IF(MinBase1AMDay&gt;ROUND(((1-(OverNightDiscount_21_Up+FedExExrpessEarnedDiscount))*'1Day AM Base'!H68),2),ROUND(MinBase1AMDay*(1+ExpressFuelSurcharge),2),ROUND(((1-(OverNightDiscount_21_Up+FedExExrpessEarnedDiscount))*'1Day AM Base'!H68)*(1+ExpressFuelSurcharge),2)))*(1+FedEx_Markup),2)</f>
        <v>298.7</v>
      </c>
    </row>
    <row r="72" ht="12.75" customHeight="1">
      <c r="A72" s="274">
        <v>67.0</v>
      </c>
      <c r="B72" s="275">
        <f>ROUND((IF(MinBase1AMDay&gt;ROUND(((1-(OverNightDiscount_21_Up+FedExExrpessEarnedDiscount))*'1Day AM Base'!B69),2),ROUND(MinBase1AMDay*(1+ExpressFuelSurcharge),2),ROUND(((1-(OverNightDiscount_21_Up+FedExExrpessEarnedDiscount))*'1Day AM Base'!B69)*(1+ExpressFuelSurcharge),2)))*(1+FedEx_Markup),2)</f>
        <v>92.32</v>
      </c>
      <c r="C72" s="275">
        <f>ROUND((IF(MinBase1AMDay&gt;ROUND(((1-(OverNightDiscount_21_Up+FedExExrpessEarnedDiscount))*'1Day AM Base'!C69),2),ROUND(MinBase1AMDay*(1+ExpressFuelSurcharge),2),ROUND(((1-(OverNightDiscount_21_Up+FedExExrpessEarnedDiscount))*'1Day AM Base'!C69)*(1+ExpressFuelSurcharge),2)))*(1+FedEx_Markup),2)</f>
        <v>139.62</v>
      </c>
      <c r="D72" s="275">
        <f>ROUND((IF(MinBase1AMDay&gt;ROUND(((1-(OverNightDiscount_21_Up+FedExExrpessEarnedDiscount))*'1Day AM Base'!D69),2),ROUND(MinBase1AMDay*(1+ExpressFuelSurcharge),2),ROUND(((1-(OverNightDiscount_21_Up+FedExExrpessEarnedDiscount))*'1Day AM Base'!D69)*(1+ExpressFuelSurcharge),2)))*(1+FedEx_Markup),2)</f>
        <v>231.74</v>
      </c>
      <c r="E72" s="275">
        <f>ROUND((IF(MinBase1AMDay&gt;ROUND(((1-(OverNightDiscount_21_Up+FedExExrpessEarnedDiscount))*'1Day AM Base'!E69),2),ROUND(MinBase1AMDay*(1+ExpressFuelSurcharge),2),ROUND(((1-(OverNightDiscount_21_Up+FedExExrpessEarnedDiscount))*'1Day AM Base'!E69)*(1+ExpressFuelSurcharge),2)))*(1+FedEx_Markup),2)</f>
        <v>251.25</v>
      </c>
      <c r="F72" s="275">
        <f>ROUND((IF(MinBase1AMDay&gt;ROUND(((1-(OverNightDiscount_21_Up+FedExExrpessEarnedDiscount))*'1Day AM Base'!F69),2),ROUND(MinBase1AMDay*(1+ExpressFuelSurcharge),2),ROUND(((1-(OverNightDiscount_21_Up+FedExExrpessEarnedDiscount))*'1Day AM Base'!F69)*(1+ExpressFuelSurcharge),2)))*(1+FedEx_Markup),2)</f>
        <v>259.52</v>
      </c>
      <c r="G72" s="275">
        <f>ROUND((IF(MinBase1AMDay&gt;ROUND(((1-(OverNightDiscount_21_Up+FedExExrpessEarnedDiscount))*'1Day AM Base'!G69),2),ROUND(MinBase1AMDay*(1+ExpressFuelSurcharge),2),ROUND(((1-(OverNightDiscount_21_Up+FedExExrpessEarnedDiscount))*'1Day AM Base'!G69)*(1+ExpressFuelSurcharge),2)))*(1+FedEx_Markup),2)</f>
        <v>288.77</v>
      </c>
      <c r="H72" s="275">
        <f>ROUND((IF(MinBase1AMDay&gt;ROUND(((1-(OverNightDiscount_21_Up+FedExExrpessEarnedDiscount))*'1Day AM Base'!H69),2),ROUND(MinBase1AMDay*(1+ExpressFuelSurcharge),2),ROUND(((1-(OverNightDiscount_21_Up+FedExExrpessEarnedDiscount))*'1Day AM Base'!H69)*(1+ExpressFuelSurcharge),2)))*(1+FedEx_Markup),2)</f>
        <v>298.91</v>
      </c>
    </row>
    <row r="73" ht="12.75" customHeight="1">
      <c r="A73" s="274">
        <v>68.0</v>
      </c>
      <c r="B73" s="275">
        <f>ROUND((IF(MinBase1AMDay&gt;ROUND(((1-(OverNightDiscount_21_Up+FedExExrpessEarnedDiscount))*'1Day AM Base'!B70),2),ROUND(MinBase1AMDay*(1+ExpressFuelSurcharge),2),ROUND(((1-(OverNightDiscount_21_Up+FedExExrpessEarnedDiscount))*'1Day AM Base'!B70)*(1+ExpressFuelSurcharge),2)))*(1+FedEx_Markup),2)</f>
        <v>94.42</v>
      </c>
      <c r="C73" s="275">
        <f>ROUND((IF(MinBase1AMDay&gt;ROUND(((1-(OverNightDiscount_21_Up+FedExExrpessEarnedDiscount))*'1Day AM Base'!C70),2),ROUND(MinBase1AMDay*(1+ExpressFuelSurcharge),2),ROUND(((1-(OverNightDiscount_21_Up+FedExExrpessEarnedDiscount))*'1Day AM Base'!C70)*(1+ExpressFuelSurcharge),2)))*(1+FedEx_Markup),2)</f>
        <v>140.44</v>
      </c>
      <c r="D73" s="275">
        <f>ROUND((IF(MinBase1AMDay&gt;ROUND(((1-(OverNightDiscount_21_Up+FedExExrpessEarnedDiscount))*'1Day AM Base'!D70),2),ROUND(MinBase1AMDay*(1+ExpressFuelSurcharge),2),ROUND(((1-(OverNightDiscount_21_Up+FedExExrpessEarnedDiscount))*'1Day AM Base'!D70)*(1+ExpressFuelSurcharge),2)))*(1+FedEx_Markup),2)</f>
        <v>232.08</v>
      </c>
      <c r="E73" s="275">
        <f>ROUND((IF(MinBase1AMDay&gt;ROUND(((1-(OverNightDiscount_21_Up+FedExExrpessEarnedDiscount))*'1Day AM Base'!E70),2),ROUND(MinBase1AMDay*(1+ExpressFuelSurcharge),2),ROUND(((1-(OverNightDiscount_21_Up+FedExExrpessEarnedDiscount))*'1Day AM Base'!E70)*(1+ExpressFuelSurcharge),2)))*(1+FedEx_Markup),2)</f>
        <v>254.36</v>
      </c>
      <c r="F73" s="275">
        <f>ROUND((IF(MinBase1AMDay&gt;ROUND(((1-(OverNightDiscount_21_Up+FedExExrpessEarnedDiscount))*'1Day AM Base'!F70),2),ROUND(MinBase1AMDay*(1+ExpressFuelSurcharge),2),ROUND(((1-(OverNightDiscount_21_Up+FedExExrpessEarnedDiscount))*'1Day AM Base'!F70)*(1+ExpressFuelSurcharge),2)))*(1+FedEx_Markup),2)</f>
        <v>259.75</v>
      </c>
      <c r="G73" s="275">
        <f>ROUND((IF(MinBase1AMDay&gt;ROUND(((1-(OverNightDiscount_21_Up+FedExExrpessEarnedDiscount))*'1Day AM Base'!G70),2),ROUND(MinBase1AMDay*(1+ExpressFuelSurcharge),2),ROUND(((1-(OverNightDiscount_21_Up+FedExExrpessEarnedDiscount))*'1Day AM Base'!G70)*(1+ExpressFuelSurcharge),2)))*(1+FedEx_Markup),2)</f>
        <v>288.97</v>
      </c>
      <c r="H73" s="275">
        <f>ROUND((IF(MinBase1AMDay&gt;ROUND(((1-(OverNightDiscount_21_Up+FedExExrpessEarnedDiscount))*'1Day AM Base'!H70),2),ROUND(MinBase1AMDay*(1+ExpressFuelSurcharge),2),ROUND(((1-(OverNightDiscount_21_Up+FedExExrpessEarnedDiscount))*'1Day AM Base'!H70)*(1+ExpressFuelSurcharge),2)))*(1+FedEx_Markup),2)</f>
        <v>300.64</v>
      </c>
    </row>
    <row r="74" ht="12.75" customHeight="1">
      <c r="A74" s="274">
        <v>69.0</v>
      </c>
      <c r="B74" s="275">
        <f>ROUND((IF(MinBase1AMDay&gt;ROUND(((1-(OverNightDiscount_21_Up+FedExExrpessEarnedDiscount))*'1Day AM Base'!B71),2),ROUND(MinBase1AMDay*(1+ExpressFuelSurcharge),2),ROUND(((1-(OverNightDiscount_21_Up+FedExExrpessEarnedDiscount))*'1Day AM Base'!B71)*(1+ExpressFuelSurcharge),2)))*(1+FedEx_Markup),2)</f>
        <v>94.63</v>
      </c>
      <c r="C74" s="275">
        <f>ROUND((IF(MinBase1AMDay&gt;ROUND(((1-(OverNightDiscount_21_Up+FedExExrpessEarnedDiscount))*'1Day AM Base'!C71),2),ROUND(MinBase1AMDay*(1+ExpressFuelSurcharge),2),ROUND(((1-(OverNightDiscount_21_Up+FedExExrpessEarnedDiscount))*'1Day AM Base'!C71)*(1+ExpressFuelSurcharge),2)))*(1+FedEx_Markup),2)</f>
        <v>140.66</v>
      </c>
      <c r="D74" s="275">
        <f>ROUND((IF(MinBase1AMDay&gt;ROUND(((1-(OverNightDiscount_21_Up+FedExExrpessEarnedDiscount))*'1Day AM Base'!D71),2),ROUND(MinBase1AMDay*(1+ExpressFuelSurcharge),2),ROUND(((1-(OverNightDiscount_21_Up+FedExExrpessEarnedDiscount))*'1Day AM Base'!D71)*(1+ExpressFuelSurcharge),2)))*(1+FedEx_Markup),2)</f>
        <v>232.32</v>
      </c>
      <c r="E74" s="275">
        <f>ROUND((IF(MinBase1AMDay&gt;ROUND(((1-(OverNightDiscount_21_Up+FedExExrpessEarnedDiscount))*'1Day AM Base'!E71),2),ROUND(MinBase1AMDay*(1+ExpressFuelSurcharge),2),ROUND(((1-(OverNightDiscount_21_Up+FedExExrpessEarnedDiscount))*'1Day AM Base'!E71)*(1+ExpressFuelSurcharge),2)))*(1+FedEx_Markup),2)</f>
        <v>255.07</v>
      </c>
      <c r="F74" s="275">
        <f>ROUND((IF(MinBase1AMDay&gt;ROUND(((1-(OverNightDiscount_21_Up+FedExExrpessEarnedDiscount))*'1Day AM Base'!F71),2),ROUND(MinBase1AMDay*(1+ExpressFuelSurcharge),2),ROUND(((1-(OverNightDiscount_21_Up+FedExExrpessEarnedDiscount))*'1Day AM Base'!F71)*(1+ExpressFuelSurcharge),2)))*(1+FedEx_Markup),2)</f>
        <v>260.18</v>
      </c>
      <c r="G74" s="275">
        <f>ROUND((IF(MinBase1AMDay&gt;ROUND(((1-(OverNightDiscount_21_Up+FedExExrpessEarnedDiscount))*'1Day AM Base'!G71),2),ROUND(MinBase1AMDay*(1+ExpressFuelSurcharge),2),ROUND(((1-(OverNightDiscount_21_Up+FedExExrpessEarnedDiscount))*'1Day AM Base'!G71)*(1+ExpressFuelSurcharge),2)))*(1+FedEx_Markup),2)</f>
        <v>289.18</v>
      </c>
      <c r="H74" s="275">
        <f>ROUND((IF(MinBase1AMDay&gt;ROUND(((1-(OverNightDiscount_21_Up+FedExExrpessEarnedDiscount))*'1Day AM Base'!H71),2),ROUND(MinBase1AMDay*(1+ExpressFuelSurcharge),2),ROUND(((1-(OverNightDiscount_21_Up+FedExExrpessEarnedDiscount))*'1Day AM Base'!H71)*(1+ExpressFuelSurcharge),2)))*(1+FedEx_Markup),2)</f>
        <v>306.38</v>
      </c>
    </row>
    <row r="75" ht="12.75" customHeight="1">
      <c r="A75" s="274">
        <v>70.0</v>
      </c>
      <c r="B75" s="275">
        <f>ROUND((IF(MinBase1AMDay&gt;ROUND(((1-(OverNightDiscount_21_Up+FedExExrpessEarnedDiscount))*'1Day AM Base'!B72),2),ROUND(MinBase1AMDay*(1+ExpressFuelSurcharge),2),ROUND(((1-(OverNightDiscount_21_Up+FedExExrpessEarnedDiscount))*'1Day AM Base'!B72)*(1+ExpressFuelSurcharge),2)))*(1+FedEx_Markup),2)</f>
        <v>94.86</v>
      </c>
      <c r="C75" s="275">
        <f>ROUND((IF(MinBase1AMDay&gt;ROUND(((1-(OverNightDiscount_21_Up+FedExExrpessEarnedDiscount))*'1Day AM Base'!C72),2),ROUND(MinBase1AMDay*(1+ExpressFuelSurcharge),2),ROUND(((1-(OverNightDiscount_21_Up+FedExExrpessEarnedDiscount))*'1Day AM Base'!C72)*(1+ExpressFuelSurcharge),2)))*(1+FedEx_Markup),2)</f>
        <v>140.9</v>
      </c>
      <c r="D75" s="275">
        <f>ROUND((IF(MinBase1AMDay&gt;ROUND(((1-(OverNightDiscount_21_Up+FedExExrpessEarnedDiscount))*'1Day AM Base'!D72),2),ROUND(MinBase1AMDay*(1+ExpressFuelSurcharge),2),ROUND(((1-(OverNightDiscount_21_Up+FedExExrpessEarnedDiscount))*'1Day AM Base'!D72)*(1+ExpressFuelSurcharge),2)))*(1+FedEx_Markup),2)</f>
        <v>232.53</v>
      </c>
      <c r="E75" s="275">
        <f>ROUND((IF(MinBase1AMDay&gt;ROUND(((1-(OverNightDiscount_21_Up+FedExExrpessEarnedDiscount))*'1Day AM Base'!E72),2),ROUND(MinBase1AMDay*(1+ExpressFuelSurcharge),2),ROUND(((1-(OverNightDiscount_21_Up+FedExExrpessEarnedDiscount))*'1Day AM Base'!E72)*(1+ExpressFuelSurcharge),2)))*(1+FedEx_Markup),2)</f>
        <v>255.28</v>
      </c>
      <c r="F75" s="275">
        <f>ROUND((IF(MinBase1AMDay&gt;ROUND(((1-(OverNightDiscount_21_Up+FedExExrpessEarnedDiscount))*'1Day AM Base'!F72),2),ROUND(MinBase1AMDay*(1+ExpressFuelSurcharge),2),ROUND(((1-(OverNightDiscount_21_Up+FedExExrpessEarnedDiscount))*'1Day AM Base'!F72)*(1+ExpressFuelSurcharge),2)))*(1+FedEx_Markup),2)</f>
        <v>260.39</v>
      </c>
      <c r="G75" s="275">
        <f>ROUND((IF(MinBase1AMDay&gt;ROUND(((1-(OverNightDiscount_21_Up+FedExExrpessEarnedDiscount))*'1Day AM Base'!G72),2),ROUND(MinBase1AMDay*(1+ExpressFuelSurcharge),2),ROUND(((1-(OverNightDiscount_21_Up+FedExExrpessEarnedDiscount))*'1Day AM Base'!G72)*(1+ExpressFuelSurcharge),2)))*(1+FedEx_Markup),2)</f>
        <v>289.79</v>
      </c>
      <c r="H75" s="275">
        <f>ROUND((IF(MinBase1AMDay&gt;ROUND(((1-(OverNightDiscount_21_Up+FedExExrpessEarnedDiscount))*'1Day AM Base'!H72),2),ROUND(MinBase1AMDay*(1+ExpressFuelSurcharge),2),ROUND(((1-(OverNightDiscount_21_Up+FedExExrpessEarnedDiscount))*'1Day AM Base'!H72)*(1+ExpressFuelSurcharge),2)))*(1+FedEx_Markup),2)</f>
        <v>306.97</v>
      </c>
    </row>
    <row r="76" ht="12.75" customHeight="1">
      <c r="A76" s="274">
        <v>71.0</v>
      </c>
      <c r="B76" s="275">
        <f>ROUND((IF(MinBase1AMDay&gt;ROUND(((1-(OverNightDiscount_21_Up+FedExExrpessEarnedDiscount))*'1Day AM Base'!B73),2),ROUND(MinBase1AMDay*(1+ExpressFuelSurcharge),2),ROUND(((1-(OverNightDiscount_21_Up+FedExExrpessEarnedDiscount))*'1Day AM Base'!B73)*(1+ExpressFuelSurcharge),2)))*(1+FedEx_Markup),2)</f>
        <v>97.57</v>
      </c>
      <c r="C76" s="275">
        <f>ROUND((IF(MinBase1AMDay&gt;ROUND(((1-(OverNightDiscount_21_Up+FedExExrpessEarnedDiscount))*'1Day AM Base'!C73),2),ROUND(MinBase1AMDay*(1+ExpressFuelSurcharge),2),ROUND(((1-(OverNightDiscount_21_Up+FedExExrpessEarnedDiscount))*'1Day AM Base'!C73)*(1+ExpressFuelSurcharge),2)))*(1+FedEx_Markup),2)</f>
        <v>141.13</v>
      </c>
      <c r="D76" s="275">
        <f>ROUND((IF(MinBase1AMDay&gt;ROUND(((1-(OverNightDiscount_21_Up+FedExExrpessEarnedDiscount))*'1Day AM Base'!D73),2),ROUND(MinBase1AMDay*(1+ExpressFuelSurcharge),2),ROUND(((1-(OverNightDiscount_21_Up+FedExExrpessEarnedDiscount))*'1Day AM Base'!D73)*(1+ExpressFuelSurcharge),2)))*(1+FedEx_Markup),2)</f>
        <v>233.29</v>
      </c>
      <c r="E76" s="275">
        <f>ROUND((IF(MinBase1AMDay&gt;ROUND(((1-(OverNightDiscount_21_Up+FedExExrpessEarnedDiscount))*'1Day AM Base'!E73),2),ROUND(MinBase1AMDay*(1+ExpressFuelSurcharge),2),ROUND(((1-(OverNightDiscount_21_Up+FedExExrpessEarnedDiscount))*'1Day AM Base'!E73)*(1+ExpressFuelSurcharge),2)))*(1+FedEx_Markup),2)</f>
        <v>255.74</v>
      </c>
      <c r="F76" s="275">
        <f>ROUND((IF(MinBase1AMDay&gt;ROUND(((1-(OverNightDiscount_21_Up+FedExExrpessEarnedDiscount))*'1Day AM Base'!F73),2),ROUND(MinBase1AMDay*(1+ExpressFuelSurcharge),2),ROUND(((1-(OverNightDiscount_21_Up+FedExExrpessEarnedDiscount))*'1Day AM Base'!F73)*(1+ExpressFuelSurcharge),2)))*(1+FedEx_Markup),2)</f>
        <v>260.88</v>
      </c>
      <c r="G76" s="275">
        <f>ROUND((IF(MinBase1AMDay&gt;ROUND(((1-(OverNightDiscount_21_Up+FedExExrpessEarnedDiscount))*'1Day AM Base'!G73),2),ROUND(MinBase1AMDay*(1+ExpressFuelSurcharge),2),ROUND(((1-(OverNightDiscount_21_Up+FedExExrpessEarnedDiscount))*'1Day AM Base'!G73)*(1+ExpressFuelSurcharge),2)))*(1+FedEx_Markup),2)</f>
        <v>302.04</v>
      </c>
      <c r="H76" s="275">
        <f>ROUND((IF(MinBase1AMDay&gt;ROUND(((1-(OverNightDiscount_21_Up+FedExExrpessEarnedDiscount))*'1Day AM Base'!H73),2),ROUND(MinBase1AMDay*(1+ExpressFuelSurcharge),2),ROUND(((1-(OverNightDiscount_21_Up+FedExExrpessEarnedDiscount))*'1Day AM Base'!H73)*(1+ExpressFuelSurcharge),2)))*(1+FedEx_Markup),2)</f>
        <v>308.09</v>
      </c>
    </row>
    <row r="77" ht="12.75" customHeight="1">
      <c r="A77" s="274">
        <v>72.0</v>
      </c>
      <c r="B77" s="275">
        <f>ROUND((IF(MinBase1AMDay&gt;ROUND(((1-(OverNightDiscount_21_Up+FedExExrpessEarnedDiscount))*'1Day AM Base'!B74),2),ROUND(MinBase1AMDay*(1+ExpressFuelSurcharge),2),ROUND(((1-(OverNightDiscount_21_Up+FedExExrpessEarnedDiscount))*'1Day AM Base'!B74)*(1+ExpressFuelSurcharge),2)))*(1+FedEx_Markup),2)</f>
        <v>98.19</v>
      </c>
      <c r="C77" s="275">
        <f>ROUND((IF(MinBase1AMDay&gt;ROUND(((1-(OverNightDiscount_21_Up+FedExExrpessEarnedDiscount))*'1Day AM Base'!C74),2),ROUND(MinBase1AMDay*(1+ExpressFuelSurcharge),2),ROUND(((1-(OverNightDiscount_21_Up+FedExExrpessEarnedDiscount))*'1Day AM Base'!C74)*(1+ExpressFuelSurcharge),2)))*(1+FedEx_Markup),2)</f>
        <v>145.27</v>
      </c>
      <c r="D77" s="275">
        <f>ROUND((IF(MinBase1AMDay&gt;ROUND(((1-(OverNightDiscount_21_Up+FedExExrpessEarnedDiscount))*'1Day AM Base'!D74),2),ROUND(MinBase1AMDay*(1+ExpressFuelSurcharge),2),ROUND(((1-(OverNightDiscount_21_Up+FedExExrpessEarnedDiscount))*'1Day AM Base'!D74)*(1+ExpressFuelSurcharge),2)))*(1+FedEx_Markup),2)</f>
        <v>248.32</v>
      </c>
      <c r="E77" s="275">
        <f>ROUND((IF(MinBase1AMDay&gt;ROUND(((1-(OverNightDiscount_21_Up+FedExExrpessEarnedDiscount))*'1Day AM Base'!E74),2),ROUND(MinBase1AMDay*(1+ExpressFuelSurcharge),2),ROUND(((1-(OverNightDiscount_21_Up+FedExExrpessEarnedDiscount))*'1Day AM Base'!E74)*(1+ExpressFuelSurcharge),2)))*(1+FedEx_Markup),2)</f>
        <v>264.33</v>
      </c>
      <c r="F77" s="275">
        <f>ROUND((IF(MinBase1AMDay&gt;ROUND(((1-(OverNightDiscount_21_Up+FedExExrpessEarnedDiscount))*'1Day AM Base'!F74),2),ROUND(MinBase1AMDay*(1+ExpressFuelSurcharge),2),ROUND(((1-(OverNightDiscount_21_Up+FedExExrpessEarnedDiscount))*'1Day AM Base'!F74)*(1+ExpressFuelSurcharge),2)))*(1+FedEx_Markup),2)</f>
        <v>269.62</v>
      </c>
      <c r="G77" s="275">
        <f>ROUND((IF(MinBase1AMDay&gt;ROUND(((1-(OverNightDiscount_21_Up+FedExExrpessEarnedDiscount))*'1Day AM Base'!G74),2),ROUND(MinBase1AMDay*(1+ExpressFuelSurcharge),2),ROUND(((1-(OverNightDiscount_21_Up+FedExExrpessEarnedDiscount))*'1Day AM Base'!G74)*(1+ExpressFuelSurcharge),2)))*(1+FedEx_Markup),2)</f>
        <v>315.18</v>
      </c>
      <c r="H77" s="275">
        <f>ROUND((IF(MinBase1AMDay&gt;ROUND(((1-(OverNightDiscount_21_Up+FedExExrpessEarnedDiscount))*'1Day AM Base'!H74),2),ROUND(MinBase1AMDay*(1+ExpressFuelSurcharge),2),ROUND(((1-(OverNightDiscount_21_Up+FedExExrpessEarnedDiscount))*'1Day AM Base'!H74)*(1+ExpressFuelSurcharge),2)))*(1+FedEx_Markup),2)</f>
        <v>330.29</v>
      </c>
    </row>
    <row r="78" ht="12.75" customHeight="1">
      <c r="A78" s="274">
        <v>73.0</v>
      </c>
      <c r="B78" s="275">
        <f>ROUND((IF(MinBase1AMDay&gt;ROUND(((1-(OverNightDiscount_21_Up+FedExExrpessEarnedDiscount))*'1Day AM Base'!B75),2),ROUND(MinBase1AMDay*(1+ExpressFuelSurcharge),2),ROUND(((1-(OverNightDiscount_21_Up+FedExExrpessEarnedDiscount))*'1Day AM Base'!B75)*(1+ExpressFuelSurcharge),2)))*(1+FedEx_Markup),2)</f>
        <v>98.42</v>
      </c>
      <c r="C78" s="275">
        <f>ROUND((IF(MinBase1AMDay&gt;ROUND(((1-(OverNightDiscount_21_Up+FedExExrpessEarnedDiscount))*'1Day AM Base'!C75),2),ROUND(MinBase1AMDay*(1+ExpressFuelSurcharge),2),ROUND(((1-(OverNightDiscount_21_Up+FedExExrpessEarnedDiscount))*'1Day AM Base'!C75)*(1+ExpressFuelSurcharge),2)))*(1+FedEx_Markup),2)</f>
        <v>148.3</v>
      </c>
      <c r="D78" s="275">
        <f>ROUND((IF(MinBase1AMDay&gt;ROUND(((1-(OverNightDiscount_21_Up+FedExExrpessEarnedDiscount))*'1Day AM Base'!D75),2),ROUND(MinBase1AMDay*(1+ExpressFuelSurcharge),2),ROUND(((1-(OverNightDiscount_21_Up+FedExExrpessEarnedDiscount))*'1Day AM Base'!D75)*(1+ExpressFuelSurcharge),2)))*(1+FedEx_Markup),2)</f>
        <v>249.83</v>
      </c>
      <c r="E78" s="275">
        <f>ROUND((IF(MinBase1AMDay&gt;ROUND(((1-(OverNightDiscount_21_Up+FedExExrpessEarnedDiscount))*'1Day AM Base'!E75),2),ROUND(MinBase1AMDay*(1+ExpressFuelSurcharge),2),ROUND(((1-(OverNightDiscount_21_Up+FedExExrpessEarnedDiscount))*'1Day AM Base'!E75)*(1+ExpressFuelSurcharge),2)))*(1+FedEx_Markup),2)</f>
        <v>265.19</v>
      </c>
      <c r="F78" s="275">
        <f>ROUND((IF(MinBase1AMDay&gt;ROUND(((1-(OverNightDiscount_21_Up+FedExExrpessEarnedDiscount))*'1Day AM Base'!F75),2),ROUND(MinBase1AMDay*(1+ExpressFuelSurcharge),2),ROUND(((1-(OverNightDiscount_21_Up+FedExExrpessEarnedDiscount))*'1Day AM Base'!F75)*(1+ExpressFuelSurcharge),2)))*(1+FedEx_Markup),2)</f>
        <v>270.5</v>
      </c>
      <c r="G78" s="275">
        <f>ROUND((IF(MinBase1AMDay&gt;ROUND(((1-(OverNightDiscount_21_Up+FedExExrpessEarnedDiscount))*'1Day AM Base'!G75),2),ROUND(MinBase1AMDay*(1+ExpressFuelSurcharge),2),ROUND(((1-(OverNightDiscount_21_Up+FedExExrpessEarnedDiscount))*'1Day AM Base'!G75)*(1+ExpressFuelSurcharge),2)))*(1+FedEx_Markup),2)</f>
        <v>316.49</v>
      </c>
      <c r="H78" s="275">
        <f>ROUND((IF(MinBase1AMDay&gt;ROUND(((1-(OverNightDiscount_21_Up+FedExExrpessEarnedDiscount))*'1Day AM Base'!H75),2),ROUND(MinBase1AMDay*(1+ExpressFuelSurcharge),2),ROUND(((1-(OverNightDiscount_21_Up+FedExExrpessEarnedDiscount))*'1Day AM Base'!H75)*(1+ExpressFuelSurcharge),2)))*(1+FedEx_Markup),2)</f>
        <v>332.51</v>
      </c>
    </row>
    <row r="79" ht="12.75" customHeight="1">
      <c r="A79" s="274">
        <v>74.0</v>
      </c>
      <c r="B79" s="275">
        <f>ROUND((IF(MinBase1AMDay&gt;ROUND(((1-(OverNightDiscount_21_Up+FedExExrpessEarnedDiscount))*'1Day AM Base'!B76),2),ROUND(MinBase1AMDay*(1+ExpressFuelSurcharge),2),ROUND(((1-(OverNightDiscount_21_Up+FedExExrpessEarnedDiscount))*'1Day AM Base'!B76)*(1+ExpressFuelSurcharge),2)))*(1+FedEx_Markup),2)</f>
        <v>98.66</v>
      </c>
      <c r="C79" s="275">
        <f>ROUND((IF(MinBase1AMDay&gt;ROUND(((1-(OverNightDiscount_21_Up+FedExExrpessEarnedDiscount))*'1Day AM Base'!C76),2),ROUND(MinBase1AMDay*(1+ExpressFuelSurcharge),2),ROUND(((1-(OverNightDiscount_21_Up+FedExExrpessEarnedDiscount))*'1Day AM Base'!C76)*(1+ExpressFuelSurcharge),2)))*(1+FedEx_Markup),2)</f>
        <v>148.61</v>
      </c>
      <c r="D79" s="275">
        <f>ROUND((IF(MinBase1AMDay&gt;ROUND(((1-(OverNightDiscount_21_Up+FedExExrpessEarnedDiscount))*'1Day AM Base'!D76),2),ROUND(MinBase1AMDay*(1+ExpressFuelSurcharge),2),ROUND(((1-(OverNightDiscount_21_Up+FedExExrpessEarnedDiscount))*'1Day AM Base'!D76)*(1+ExpressFuelSurcharge),2)))*(1+FedEx_Markup),2)</f>
        <v>250.07</v>
      </c>
      <c r="E79" s="275">
        <f>ROUND((IF(MinBase1AMDay&gt;ROUND(((1-(OverNightDiscount_21_Up+FedExExrpessEarnedDiscount))*'1Day AM Base'!E76),2),ROUND(MinBase1AMDay*(1+ExpressFuelSurcharge),2),ROUND(((1-(OverNightDiscount_21_Up+FedExExrpessEarnedDiscount))*'1Day AM Base'!E76)*(1+ExpressFuelSurcharge),2)))*(1+FedEx_Markup),2)</f>
        <v>265.41</v>
      </c>
      <c r="F79" s="275">
        <f>ROUND((IF(MinBase1AMDay&gt;ROUND(((1-(OverNightDiscount_21_Up+FedExExrpessEarnedDiscount))*'1Day AM Base'!F76),2),ROUND(MinBase1AMDay*(1+ExpressFuelSurcharge),2),ROUND(((1-(OverNightDiscount_21_Up+FedExExrpessEarnedDiscount))*'1Day AM Base'!F76)*(1+ExpressFuelSurcharge),2)))*(1+FedEx_Markup),2)</f>
        <v>270.72</v>
      </c>
      <c r="G79" s="275">
        <f>ROUND((IF(MinBase1AMDay&gt;ROUND(((1-(OverNightDiscount_21_Up+FedExExrpessEarnedDiscount))*'1Day AM Base'!G76),2),ROUND(MinBase1AMDay*(1+ExpressFuelSurcharge),2),ROUND(((1-(OverNightDiscount_21_Up+FedExExrpessEarnedDiscount))*'1Day AM Base'!G76)*(1+ExpressFuelSurcharge),2)))*(1+FedEx_Markup),2)</f>
        <v>316.7</v>
      </c>
      <c r="H79" s="275">
        <f>ROUND((IF(MinBase1AMDay&gt;ROUND(((1-(OverNightDiscount_21_Up+FedExExrpessEarnedDiscount))*'1Day AM Base'!H76),2),ROUND(MinBase1AMDay*(1+ExpressFuelSurcharge),2),ROUND(((1-(OverNightDiscount_21_Up+FedExExrpessEarnedDiscount))*'1Day AM Base'!H76)*(1+ExpressFuelSurcharge),2)))*(1+FedEx_Markup),2)</f>
        <v>332.75</v>
      </c>
    </row>
    <row r="80" ht="12.75" customHeight="1">
      <c r="A80" s="274">
        <v>75.0</v>
      </c>
      <c r="B80" s="275">
        <f>ROUND((IF(MinBase1AMDay&gt;ROUND(((1-(OverNightDiscount_21_Up+FedExExrpessEarnedDiscount))*'1Day AM Base'!B77),2),ROUND(MinBase1AMDay*(1+ExpressFuelSurcharge),2),ROUND(((1-(OverNightDiscount_21_Up+FedExExrpessEarnedDiscount))*'1Day AM Base'!B77)*(1+ExpressFuelSurcharge),2)))*(1+FedEx_Markup),2)</f>
        <v>99.12</v>
      </c>
      <c r="C80" s="275">
        <f>ROUND((IF(MinBase1AMDay&gt;ROUND(((1-(OverNightDiscount_21_Up+FedExExrpessEarnedDiscount))*'1Day AM Base'!C77),2),ROUND(MinBase1AMDay*(1+ExpressFuelSurcharge),2),ROUND(((1-(OverNightDiscount_21_Up+FedExExrpessEarnedDiscount))*'1Day AM Base'!C77)*(1+ExpressFuelSurcharge),2)))*(1+FedEx_Markup),2)</f>
        <v>149.09</v>
      </c>
      <c r="D80" s="275">
        <f>ROUND((IF(MinBase1AMDay&gt;ROUND(((1-(OverNightDiscount_21_Up+FedExExrpessEarnedDiscount))*'1Day AM Base'!D77),2),ROUND(MinBase1AMDay*(1+ExpressFuelSurcharge),2),ROUND(((1-(OverNightDiscount_21_Up+FedExExrpessEarnedDiscount))*'1Day AM Base'!D77)*(1+ExpressFuelSurcharge),2)))*(1+FedEx_Markup),2)</f>
        <v>250.48</v>
      </c>
      <c r="E80" s="275">
        <f>ROUND((IF(MinBase1AMDay&gt;ROUND(((1-(OverNightDiscount_21_Up+FedExExrpessEarnedDiscount))*'1Day AM Base'!E77),2),ROUND(MinBase1AMDay*(1+ExpressFuelSurcharge),2),ROUND(((1-(OverNightDiscount_21_Up+FedExExrpessEarnedDiscount))*'1Day AM Base'!E77)*(1+ExpressFuelSurcharge),2)))*(1+FedEx_Markup),2)</f>
        <v>265.83</v>
      </c>
      <c r="F80" s="275">
        <f>ROUND((IF(MinBase1AMDay&gt;ROUND(((1-(OverNightDiscount_21_Up+FedExExrpessEarnedDiscount))*'1Day AM Base'!F77),2),ROUND(MinBase1AMDay*(1+ExpressFuelSurcharge),2),ROUND(((1-(OverNightDiscount_21_Up+FedExExrpessEarnedDiscount))*'1Day AM Base'!F77)*(1+ExpressFuelSurcharge),2)))*(1+FedEx_Markup),2)</f>
        <v>271.16</v>
      </c>
      <c r="G80" s="275">
        <f>ROUND((IF(MinBase1AMDay&gt;ROUND(((1-(OverNightDiscount_21_Up+FedExExrpessEarnedDiscount))*'1Day AM Base'!G77),2),ROUND(MinBase1AMDay*(1+ExpressFuelSurcharge),2),ROUND(((1-(OverNightDiscount_21_Up+FedExExrpessEarnedDiscount))*'1Day AM Base'!G77)*(1+ExpressFuelSurcharge),2)))*(1+FedEx_Markup),2)</f>
        <v>317.14</v>
      </c>
      <c r="H80" s="275">
        <f>ROUND((IF(MinBase1AMDay&gt;ROUND(((1-(OverNightDiscount_21_Up+FedExExrpessEarnedDiscount))*'1Day AM Base'!H77),2),ROUND(MinBase1AMDay*(1+ExpressFuelSurcharge),2),ROUND(((1-(OverNightDiscount_21_Up+FedExExrpessEarnedDiscount))*'1Day AM Base'!H77)*(1+ExpressFuelSurcharge),2)))*(1+FedEx_Markup),2)</f>
        <v>333.18</v>
      </c>
    </row>
    <row r="81" ht="12.75" customHeight="1">
      <c r="A81" s="274">
        <v>76.0</v>
      </c>
      <c r="B81" s="275">
        <f>ROUND((IF(MinBase1AMDay&gt;ROUND(((1-(OverNightDiscount_21_Up+FedExExrpessEarnedDiscount))*'1Day AM Base'!B78),2),ROUND(MinBase1AMDay*(1+ExpressFuelSurcharge),2),ROUND(((1-(OverNightDiscount_21_Up+FedExExrpessEarnedDiscount))*'1Day AM Base'!B78)*(1+ExpressFuelSurcharge),2)))*(1+FedEx_Markup),2)</f>
        <v>99.83</v>
      </c>
      <c r="C81" s="275">
        <f>ROUND((IF(MinBase1AMDay&gt;ROUND(((1-(OverNightDiscount_21_Up+FedExExrpessEarnedDiscount))*'1Day AM Base'!C78),2),ROUND(MinBase1AMDay*(1+ExpressFuelSurcharge),2),ROUND(((1-(OverNightDiscount_21_Up+FedExExrpessEarnedDiscount))*'1Day AM Base'!C78)*(1+ExpressFuelSurcharge),2)))*(1+FedEx_Markup),2)</f>
        <v>153.23</v>
      </c>
      <c r="D81" s="275">
        <f>ROUND((IF(MinBase1AMDay&gt;ROUND(((1-(OverNightDiscount_21_Up+FedExExrpessEarnedDiscount))*'1Day AM Base'!D78),2),ROUND(MinBase1AMDay*(1+ExpressFuelSurcharge),2),ROUND(((1-(OverNightDiscount_21_Up+FedExExrpessEarnedDiscount))*'1Day AM Base'!D78)*(1+ExpressFuelSurcharge),2)))*(1+FedEx_Markup),2)</f>
        <v>251.83</v>
      </c>
      <c r="E81" s="275">
        <f>ROUND((IF(MinBase1AMDay&gt;ROUND(((1-(OverNightDiscount_21_Up+FedExExrpessEarnedDiscount))*'1Day AM Base'!E78),2),ROUND(MinBase1AMDay*(1+ExpressFuelSurcharge),2),ROUND(((1-(OverNightDiscount_21_Up+FedExExrpessEarnedDiscount))*'1Day AM Base'!E78)*(1+ExpressFuelSurcharge),2)))*(1+FedEx_Markup),2)</f>
        <v>268.11</v>
      </c>
      <c r="F81" s="275">
        <f>ROUND((IF(MinBase1AMDay&gt;ROUND(((1-(OverNightDiscount_21_Up+FedExExrpessEarnedDiscount))*'1Day AM Base'!F78),2),ROUND(MinBase1AMDay*(1+ExpressFuelSurcharge),2),ROUND(((1-(OverNightDiscount_21_Up+FedExExrpessEarnedDiscount))*'1Day AM Base'!F78)*(1+ExpressFuelSurcharge),2)))*(1+FedEx_Markup),2)</f>
        <v>273.47</v>
      </c>
      <c r="G81" s="275">
        <f>ROUND((IF(MinBase1AMDay&gt;ROUND(((1-(OverNightDiscount_21_Up+FedExExrpessEarnedDiscount))*'1Day AM Base'!G78),2),ROUND(MinBase1AMDay*(1+ExpressFuelSurcharge),2),ROUND(((1-(OverNightDiscount_21_Up+FedExExrpessEarnedDiscount))*'1Day AM Base'!G78)*(1+ExpressFuelSurcharge),2)))*(1+FedEx_Markup),2)</f>
        <v>325.5</v>
      </c>
      <c r="H81" s="275">
        <f>ROUND((IF(MinBase1AMDay&gt;ROUND(((1-(OverNightDiscount_21_Up+FedExExrpessEarnedDiscount))*'1Day AM Base'!H78),2),ROUND(MinBase1AMDay*(1+ExpressFuelSurcharge),2),ROUND(((1-(OverNightDiscount_21_Up+FedExExrpessEarnedDiscount))*'1Day AM Base'!H78)*(1+ExpressFuelSurcharge),2)))*(1+FedEx_Markup),2)</f>
        <v>333.5</v>
      </c>
      <c r="L81" s="4"/>
    </row>
    <row r="82" ht="12.75" customHeight="1">
      <c r="A82" s="274">
        <v>77.0</v>
      </c>
      <c r="B82" s="275">
        <f>ROUND((IF(MinBase1AMDay&gt;ROUND(((1-(OverNightDiscount_21_Up+FedExExrpessEarnedDiscount))*'1Day AM Base'!B79),2),ROUND(MinBase1AMDay*(1+ExpressFuelSurcharge),2),ROUND(((1-(OverNightDiscount_21_Up+FedExExrpessEarnedDiscount))*'1Day AM Base'!B79)*(1+ExpressFuelSurcharge),2)))*(1+FedEx_Markup),2)</f>
        <v>100.15</v>
      </c>
      <c r="C82" s="275">
        <f>ROUND((IF(MinBase1AMDay&gt;ROUND(((1-(OverNightDiscount_21_Up+FedExExrpessEarnedDiscount))*'1Day AM Base'!C79),2),ROUND(MinBase1AMDay*(1+ExpressFuelSurcharge),2),ROUND(((1-(OverNightDiscount_21_Up+FedExExrpessEarnedDiscount))*'1Day AM Base'!C79)*(1+ExpressFuelSurcharge),2)))*(1+FedEx_Markup),2)</f>
        <v>153.64</v>
      </c>
      <c r="D82" s="275">
        <f>ROUND((IF(MinBase1AMDay&gt;ROUND(((1-(OverNightDiscount_21_Up+FedExExrpessEarnedDiscount))*'1Day AM Base'!D79),2),ROUND(MinBase1AMDay*(1+ExpressFuelSurcharge),2),ROUND(((1-(OverNightDiscount_21_Up+FedExExrpessEarnedDiscount))*'1Day AM Base'!D79)*(1+ExpressFuelSurcharge),2)))*(1+FedEx_Markup),2)</f>
        <v>252.85</v>
      </c>
      <c r="E82" s="275">
        <f>ROUND((IF(MinBase1AMDay&gt;ROUND(((1-(OverNightDiscount_21_Up+FedExExrpessEarnedDiscount))*'1Day AM Base'!E79),2),ROUND(MinBase1AMDay*(1+ExpressFuelSurcharge),2),ROUND(((1-(OverNightDiscount_21_Up+FedExExrpessEarnedDiscount))*'1Day AM Base'!E79)*(1+ExpressFuelSurcharge),2)))*(1+FedEx_Markup),2)</f>
        <v>276.69</v>
      </c>
      <c r="F82" s="275">
        <f>ROUND((IF(MinBase1AMDay&gt;ROUND(((1-(OverNightDiscount_21_Up+FedExExrpessEarnedDiscount))*'1Day AM Base'!F79),2),ROUND(MinBase1AMDay*(1+ExpressFuelSurcharge),2),ROUND(((1-(OverNightDiscount_21_Up+FedExExrpessEarnedDiscount))*'1Day AM Base'!F79)*(1+ExpressFuelSurcharge),2)))*(1+FedEx_Markup),2)</f>
        <v>284.54</v>
      </c>
      <c r="G82" s="275">
        <f>ROUND((IF(MinBase1AMDay&gt;ROUND(((1-(OverNightDiscount_21_Up+FedExExrpessEarnedDiscount))*'1Day AM Base'!G79),2),ROUND(MinBase1AMDay*(1+ExpressFuelSurcharge),2),ROUND(((1-(OverNightDiscount_21_Up+FedExExrpessEarnedDiscount))*'1Day AM Base'!G79)*(1+ExpressFuelSurcharge),2)))*(1+FedEx_Markup),2)</f>
        <v>326.35</v>
      </c>
      <c r="H82" s="275">
        <f>ROUND((IF(MinBase1AMDay&gt;ROUND(((1-(OverNightDiscount_21_Up+FedExExrpessEarnedDiscount))*'1Day AM Base'!H79),2),ROUND(MinBase1AMDay*(1+ExpressFuelSurcharge),2),ROUND(((1-(OverNightDiscount_21_Up+FedExExrpessEarnedDiscount))*'1Day AM Base'!H79)*(1+ExpressFuelSurcharge),2)))*(1+FedEx_Markup),2)</f>
        <v>333.82</v>
      </c>
    </row>
    <row r="83" ht="12.75" customHeight="1">
      <c r="A83" s="274">
        <v>78.0</v>
      </c>
      <c r="B83" s="275">
        <f>ROUND((IF(MinBase1AMDay&gt;ROUND(((1-(OverNightDiscount_21_Up+FedExExrpessEarnedDiscount))*'1Day AM Base'!B80),2),ROUND(MinBase1AMDay*(1+ExpressFuelSurcharge),2),ROUND(((1-(OverNightDiscount_21_Up+FedExExrpessEarnedDiscount))*'1Day AM Base'!B80)*(1+ExpressFuelSurcharge),2)))*(1+FedEx_Markup),2)</f>
        <v>100.49</v>
      </c>
      <c r="C83" s="275">
        <f>ROUND((IF(MinBase1AMDay&gt;ROUND(((1-(OverNightDiscount_21_Up+FedExExrpessEarnedDiscount))*'1Day AM Base'!C80),2),ROUND(MinBase1AMDay*(1+ExpressFuelSurcharge),2),ROUND(((1-(OverNightDiscount_21_Up+FedExExrpessEarnedDiscount))*'1Day AM Base'!C80)*(1+ExpressFuelSurcharge),2)))*(1+FedEx_Markup),2)</f>
        <v>153.96</v>
      </c>
      <c r="D83" s="275">
        <f>ROUND((IF(MinBase1AMDay&gt;ROUND(((1-(OverNightDiscount_21_Up+FedExExrpessEarnedDiscount))*'1Day AM Base'!D80),2),ROUND(MinBase1AMDay*(1+ExpressFuelSurcharge),2),ROUND(((1-(OverNightDiscount_21_Up+FedExExrpessEarnedDiscount))*'1Day AM Base'!D80)*(1+ExpressFuelSurcharge),2)))*(1+FedEx_Markup),2)</f>
        <v>257.63</v>
      </c>
      <c r="E83" s="275">
        <f>ROUND((IF(MinBase1AMDay&gt;ROUND(((1-(OverNightDiscount_21_Up+FedExExrpessEarnedDiscount))*'1Day AM Base'!E80),2),ROUND(MinBase1AMDay*(1+ExpressFuelSurcharge),2),ROUND(((1-(OverNightDiscount_21_Up+FedExExrpessEarnedDiscount))*'1Day AM Base'!E80)*(1+ExpressFuelSurcharge),2)))*(1+FedEx_Markup),2)</f>
        <v>281.74</v>
      </c>
      <c r="F83" s="275">
        <f>ROUND((IF(MinBase1AMDay&gt;ROUND(((1-(OverNightDiscount_21_Up+FedExExrpessEarnedDiscount))*'1Day AM Base'!F80),2),ROUND(MinBase1AMDay*(1+ExpressFuelSurcharge),2),ROUND(((1-(OverNightDiscount_21_Up+FedExExrpessEarnedDiscount))*'1Day AM Base'!F80)*(1+ExpressFuelSurcharge),2)))*(1+FedEx_Markup),2)</f>
        <v>290.89</v>
      </c>
      <c r="G83" s="275">
        <f>ROUND((IF(MinBase1AMDay&gt;ROUND(((1-(OverNightDiscount_21_Up+FedExExrpessEarnedDiscount))*'1Day AM Base'!G80),2),ROUND(MinBase1AMDay*(1+ExpressFuelSurcharge),2),ROUND(((1-(OverNightDiscount_21_Up+FedExExrpessEarnedDiscount))*'1Day AM Base'!G80)*(1+ExpressFuelSurcharge),2)))*(1+FedEx_Markup),2)</f>
        <v>326.77</v>
      </c>
      <c r="H83" s="275">
        <f>ROUND((IF(MinBase1AMDay&gt;ROUND(((1-(OverNightDiscount_21_Up+FedExExrpessEarnedDiscount))*'1Day AM Base'!H80),2),ROUND(MinBase1AMDay*(1+ExpressFuelSurcharge),2),ROUND(((1-(OverNightDiscount_21_Up+FedExExrpessEarnedDiscount))*'1Day AM Base'!H80)*(1+ExpressFuelSurcharge),2)))*(1+FedEx_Markup),2)</f>
        <v>334.16</v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274">
        <v>79.0</v>
      </c>
      <c r="B84" s="275">
        <f>ROUND((IF(MinBase1AMDay&gt;ROUND(((1-(OverNightDiscount_21_Up+FedExExrpessEarnedDiscount))*'1Day AM Base'!B81),2),ROUND(MinBase1AMDay*(1+ExpressFuelSurcharge),2),ROUND(((1-(OverNightDiscount_21_Up+FedExExrpessEarnedDiscount))*'1Day AM Base'!B81)*(1+ExpressFuelSurcharge),2)))*(1+FedEx_Markup),2)</f>
        <v>100.81</v>
      </c>
      <c r="C84" s="275">
        <f>ROUND((IF(MinBase1AMDay&gt;ROUND(((1-(OverNightDiscount_21_Up+FedExExrpessEarnedDiscount))*'1Day AM Base'!C81),2),ROUND(MinBase1AMDay*(1+ExpressFuelSurcharge),2),ROUND(((1-(OverNightDiscount_21_Up+FedExExrpessEarnedDiscount))*'1Day AM Base'!C81)*(1+ExpressFuelSurcharge),2)))*(1+FedEx_Markup),2)</f>
        <v>154.3</v>
      </c>
      <c r="D84" s="275">
        <f>ROUND((IF(MinBase1AMDay&gt;ROUND(((1-(OverNightDiscount_21_Up+FedExExrpessEarnedDiscount))*'1Day AM Base'!D81),2),ROUND(MinBase1AMDay*(1+ExpressFuelSurcharge),2),ROUND(((1-(OverNightDiscount_21_Up+FedExExrpessEarnedDiscount))*'1Day AM Base'!D81)*(1+ExpressFuelSurcharge),2)))*(1+FedEx_Markup),2)</f>
        <v>258.11</v>
      </c>
      <c r="E84" s="275">
        <f>ROUND((IF(MinBase1AMDay&gt;ROUND(((1-(OverNightDiscount_21_Up+FedExExrpessEarnedDiscount))*'1Day AM Base'!E81),2),ROUND(MinBase1AMDay*(1+ExpressFuelSurcharge),2),ROUND(((1-(OverNightDiscount_21_Up+FedExExrpessEarnedDiscount))*'1Day AM Base'!E81)*(1+ExpressFuelSurcharge),2)))*(1+FedEx_Markup),2)</f>
        <v>282.26</v>
      </c>
      <c r="F84" s="275">
        <f>ROUND((IF(MinBase1AMDay&gt;ROUND(((1-(OverNightDiscount_21_Up+FedExExrpessEarnedDiscount))*'1Day AM Base'!F81),2),ROUND(MinBase1AMDay*(1+ExpressFuelSurcharge),2),ROUND(((1-(OverNightDiscount_21_Up+FedExExrpessEarnedDiscount))*'1Day AM Base'!F81)*(1+ExpressFuelSurcharge),2)))*(1+FedEx_Markup),2)</f>
        <v>291.53</v>
      </c>
      <c r="G84" s="275">
        <f>ROUND((IF(MinBase1AMDay&gt;ROUND(((1-(OverNightDiscount_21_Up+FedExExrpessEarnedDiscount))*'1Day AM Base'!G81),2),ROUND(MinBase1AMDay*(1+ExpressFuelSurcharge),2),ROUND(((1-(OverNightDiscount_21_Up+FedExExrpessEarnedDiscount))*'1Day AM Base'!G81)*(1+ExpressFuelSurcharge),2)))*(1+FedEx_Markup),2)</f>
        <v>327.72</v>
      </c>
      <c r="H84" s="275">
        <f>ROUND((IF(MinBase1AMDay&gt;ROUND(((1-(OverNightDiscount_21_Up+FedExExrpessEarnedDiscount))*'1Day AM Base'!H81),2),ROUND(MinBase1AMDay*(1+ExpressFuelSurcharge),2),ROUND(((1-(OverNightDiscount_21_Up+FedExExrpessEarnedDiscount))*'1Day AM Base'!H81)*(1+ExpressFuelSurcharge),2)))*(1+FedEx_Markup),2)</f>
        <v>334.48</v>
      </c>
    </row>
    <row r="85" ht="12.75" customHeight="1">
      <c r="A85" s="274">
        <v>80.0</v>
      </c>
      <c r="B85" s="275">
        <f>ROUND((IF(MinBase1AMDay&gt;ROUND(((1-(OverNightDiscount_21_Up+FedExExrpessEarnedDiscount))*'1Day AM Base'!B82),2),ROUND(MinBase1AMDay*(1+ExpressFuelSurcharge),2),ROUND(((1-(OverNightDiscount_21_Up+FedExExrpessEarnedDiscount))*'1Day AM Base'!B82)*(1+ExpressFuelSurcharge),2)))*(1+FedEx_Markup),2)</f>
        <v>101.22</v>
      </c>
      <c r="C85" s="275">
        <f>ROUND((IF(MinBase1AMDay&gt;ROUND(((1-(OverNightDiscount_21_Up+FedExExrpessEarnedDiscount))*'1Day AM Base'!C82),2),ROUND(MinBase1AMDay*(1+ExpressFuelSurcharge),2),ROUND(((1-(OverNightDiscount_21_Up+FedExExrpessEarnedDiscount))*'1Day AM Base'!C82)*(1+ExpressFuelSurcharge),2)))*(1+FedEx_Markup),2)</f>
        <v>154.62</v>
      </c>
      <c r="D85" s="275">
        <f>ROUND((IF(MinBase1AMDay&gt;ROUND(((1-(OverNightDiscount_21_Up+FedExExrpessEarnedDiscount))*'1Day AM Base'!D82),2),ROUND(MinBase1AMDay*(1+ExpressFuelSurcharge),2),ROUND(((1-(OverNightDiscount_21_Up+FedExExrpessEarnedDiscount))*'1Day AM Base'!D82)*(1+ExpressFuelSurcharge),2)))*(1+FedEx_Markup),2)</f>
        <v>258.74</v>
      </c>
      <c r="E85" s="275">
        <f>ROUND((IF(MinBase1AMDay&gt;ROUND(((1-(OverNightDiscount_21_Up+FedExExrpessEarnedDiscount))*'1Day AM Base'!E82),2),ROUND(MinBase1AMDay*(1+ExpressFuelSurcharge),2),ROUND(((1-(OverNightDiscount_21_Up+FedExExrpessEarnedDiscount))*'1Day AM Base'!E82)*(1+ExpressFuelSurcharge),2)))*(1+FedEx_Markup),2)</f>
        <v>283.36</v>
      </c>
      <c r="F85" s="275">
        <f>ROUND((IF(MinBase1AMDay&gt;ROUND(((1-(OverNightDiscount_21_Up+FedExExrpessEarnedDiscount))*'1Day AM Base'!F82),2),ROUND(MinBase1AMDay*(1+ExpressFuelSurcharge),2),ROUND(((1-(OverNightDiscount_21_Up+FedExExrpessEarnedDiscount))*'1Day AM Base'!F82)*(1+ExpressFuelSurcharge),2)))*(1+FedEx_Markup),2)</f>
        <v>292.53</v>
      </c>
      <c r="G85" s="275">
        <f>ROUND((IF(MinBase1AMDay&gt;ROUND(((1-(OverNightDiscount_21_Up+FedExExrpessEarnedDiscount))*'1Day AM Base'!G82),2),ROUND(MinBase1AMDay*(1+ExpressFuelSurcharge),2),ROUND(((1-(OverNightDiscount_21_Up+FedExExrpessEarnedDiscount))*'1Day AM Base'!G82)*(1+ExpressFuelSurcharge),2)))*(1+FedEx_Markup),2)</f>
        <v>328.38</v>
      </c>
      <c r="H85" s="275">
        <f>ROUND((IF(MinBase1AMDay&gt;ROUND(((1-(OverNightDiscount_21_Up+FedExExrpessEarnedDiscount))*'1Day AM Base'!H82),2),ROUND(MinBase1AMDay*(1+ExpressFuelSurcharge),2),ROUND(((1-(OverNightDiscount_21_Up+FedExExrpessEarnedDiscount))*'1Day AM Base'!H82)*(1+ExpressFuelSurcharge),2)))*(1+FedEx_Markup),2)</f>
        <v>335.14</v>
      </c>
    </row>
    <row r="86" ht="12.75" customHeight="1">
      <c r="A86" s="274">
        <v>81.0</v>
      </c>
      <c r="B86" s="275">
        <f>ROUND((IF(MinBase1AMDay&gt;ROUND(((1-(OverNightDiscount_21_Up+FedExExrpessEarnedDiscount))*'1Day AM Base'!B83),2),ROUND(MinBase1AMDay*(1+ExpressFuelSurcharge),2),ROUND(((1-(OverNightDiscount_21_Up+FedExExrpessEarnedDiscount))*'1Day AM Base'!B83)*(1+ExpressFuelSurcharge),2)))*(1+FedEx_Markup),2)</f>
        <v>109.41</v>
      </c>
      <c r="C86" s="275">
        <f>ROUND((IF(MinBase1AMDay&gt;ROUND(((1-(OverNightDiscount_21_Up+FedExExrpessEarnedDiscount))*'1Day AM Base'!C83),2),ROUND(MinBase1AMDay*(1+ExpressFuelSurcharge),2),ROUND(((1-(OverNightDiscount_21_Up+FedExExrpessEarnedDiscount))*'1Day AM Base'!C83)*(1+ExpressFuelSurcharge),2)))*(1+FedEx_Markup),2)</f>
        <v>158.24</v>
      </c>
      <c r="D86" s="275">
        <f>ROUND((IF(MinBase1AMDay&gt;ROUND(((1-(OverNightDiscount_21_Up+FedExExrpessEarnedDiscount))*'1Day AM Base'!D83),2),ROUND(MinBase1AMDay*(1+ExpressFuelSurcharge),2),ROUND(((1-(OverNightDiscount_21_Up+FedExExrpessEarnedDiscount))*'1Day AM Base'!D83)*(1+ExpressFuelSurcharge),2)))*(1+FedEx_Markup),2)</f>
        <v>271.29</v>
      </c>
      <c r="E86" s="275">
        <f>ROUND((IF(MinBase1AMDay&gt;ROUND(((1-(OverNightDiscount_21_Up+FedExExrpessEarnedDiscount))*'1Day AM Base'!E83),2),ROUND(MinBase1AMDay*(1+ExpressFuelSurcharge),2),ROUND(((1-(OverNightDiscount_21_Up+FedExExrpessEarnedDiscount))*'1Day AM Base'!E83)*(1+ExpressFuelSurcharge),2)))*(1+FedEx_Markup),2)</f>
        <v>305.52</v>
      </c>
      <c r="F86" s="275">
        <f>ROUND((IF(MinBase1AMDay&gt;ROUND(((1-(OverNightDiscount_21_Up+FedExExrpessEarnedDiscount))*'1Day AM Base'!F83),2),ROUND(MinBase1AMDay*(1+ExpressFuelSurcharge),2),ROUND(((1-(OverNightDiscount_21_Up+FedExExrpessEarnedDiscount))*'1Day AM Base'!F83)*(1+ExpressFuelSurcharge),2)))*(1+FedEx_Markup),2)</f>
        <v>312.47</v>
      </c>
      <c r="G86" s="275">
        <f>ROUND((IF(MinBase1AMDay&gt;ROUND(((1-(OverNightDiscount_21_Up+FedExExrpessEarnedDiscount))*'1Day AM Base'!G83),2),ROUND(MinBase1AMDay*(1+ExpressFuelSurcharge),2),ROUND(((1-(OverNightDiscount_21_Up+FedExExrpessEarnedDiscount))*'1Day AM Base'!G83)*(1+ExpressFuelSurcharge),2)))*(1+FedEx_Markup),2)</f>
        <v>341.67</v>
      </c>
      <c r="H86" s="275">
        <f>ROUND((IF(MinBase1AMDay&gt;ROUND(((1-(OverNightDiscount_21_Up+FedExExrpessEarnedDiscount))*'1Day AM Base'!H83),2),ROUND(MinBase1AMDay*(1+ExpressFuelSurcharge),2),ROUND(((1-(OverNightDiscount_21_Up+FedExExrpessEarnedDiscount))*'1Day AM Base'!H83)*(1+ExpressFuelSurcharge),2)))*(1+FedEx_Markup),2)</f>
        <v>348.52</v>
      </c>
    </row>
    <row r="87" ht="12.75" customHeight="1">
      <c r="A87" s="274">
        <v>82.0</v>
      </c>
      <c r="B87" s="275">
        <f>ROUND((IF(MinBase1AMDay&gt;ROUND(((1-(OverNightDiscount_21_Up+FedExExrpessEarnedDiscount))*'1Day AM Base'!B84),2),ROUND(MinBase1AMDay*(1+ExpressFuelSurcharge),2),ROUND(((1-(OverNightDiscount_21_Up+FedExExrpessEarnedDiscount))*'1Day AM Base'!B84)*(1+ExpressFuelSurcharge),2)))*(1+FedEx_Markup),2)</f>
        <v>110.24</v>
      </c>
      <c r="C87" s="275">
        <f>ROUND((IF(MinBase1AMDay&gt;ROUND(((1-(OverNightDiscount_21_Up+FedExExrpessEarnedDiscount))*'1Day AM Base'!C84),2),ROUND(MinBase1AMDay*(1+ExpressFuelSurcharge),2),ROUND(((1-(OverNightDiscount_21_Up+FedExExrpessEarnedDiscount))*'1Day AM Base'!C84)*(1+ExpressFuelSurcharge),2)))*(1+FedEx_Markup),2)</f>
        <v>158.61</v>
      </c>
      <c r="D87" s="275">
        <f>ROUND((IF(MinBase1AMDay&gt;ROUND(((1-(OverNightDiscount_21_Up+FedExExrpessEarnedDiscount))*'1Day AM Base'!D84),2),ROUND(MinBase1AMDay*(1+ExpressFuelSurcharge),2),ROUND(((1-(OverNightDiscount_21_Up+FedExExrpessEarnedDiscount))*'1Day AM Base'!D84)*(1+ExpressFuelSurcharge),2)))*(1+FedEx_Markup),2)</f>
        <v>272.72</v>
      </c>
      <c r="E87" s="275">
        <f>ROUND((IF(MinBase1AMDay&gt;ROUND(((1-(OverNightDiscount_21_Up+FedExExrpessEarnedDiscount))*'1Day AM Base'!E84),2),ROUND(MinBase1AMDay*(1+ExpressFuelSurcharge),2),ROUND(((1-(OverNightDiscount_21_Up+FedExExrpessEarnedDiscount))*'1Day AM Base'!E84)*(1+ExpressFuelSurcharge),2)))*(1+FedEx_Markup),2)</f>
        <v>307.74</v>
      </c>
      <c r="F87" s="275">
        <f>ROUND((IF(MinBase1AMDay&gt;ROUND(((1-(OverNightDiscount_21_Up+FedExExrpessEarnedDiscount))*'1Day AM Base'!F84),2),ROUND(MinBase1AMDay*(1+ExpressFuelSurcharge),2),ROUND(((1-(OverNightDiscount_21_Up+FedExExrpessEarnedDiscount))*'1Day AM Base'!F84)*(1+ExpressFuelSurcharge),2)))*(1+FedEx_Markup),2)</f>
        <v>314.47</v>
      </c>
      <c r="G87" s="275">
        <f>ROUND((IF(MinBase1AMDay&gt;ROUND(((1-(OverNightDiscount_21_Up+FedExExrpessEarnedDiscount))*'1Day AM Base'!G84),2),ROUND(MinBase1AMDay*(1+ExpressFuelSurcharge),2),ROUND(((1-(OverNightDiscount_21_Up+FedExExrpessEarnedDiscount))*'1Day AM Base'!G84)*(1+ExpressFuelSurcharge),2)))*(1+FedEx_Markup),2)</f>
        <v>343</v>
      </c>
      <c r="H87" s="275">
        <f>ROUND((IF(MinBase1AMDay&gt;ROUND(((1-(OverNightDiscount_21_Up+FedExExrpessEarnedDiscount))*'1Day AM Base'!H84),2),ROUND(MinBase1AMDay*(1+ExpressFuelSurcharge),2),ROUND(((1-(OverNightDiscount_21_Up+FedExExrpessEarnedDiscount))*'1Day AM Base'!H84)*(1+ExpressFuelSurcharge),2)))*(1+FedEx_Markup),2)</f>
        <v>349.86</v>
      </c>
    </row>
    <row r="88" ht="12.75" customHeight="1">
      <c r="A88" s="274">
        <v>83.0</v>
      </c>
      <c r="B88" s="275">
        <f>ROUND((IF(MinBase1AMDay&gt;ROUND(((1-(OverNightDiscount_21_Up+FedExExrpessEarnedDiscount))*'1Day AM Base'!B85),2),ROUND(MinBase1AMDay*(1+ExpressFuelSurcharge),2),ROUND(((1-(OverNightDiscount_21_Up+FedExExrpessEarnedDiscount))*'1Day AM Base'!B85)*(1+ExpressFuelSurcharge),2)))*(1+FedEx_Markup),2)</f>
        <v>110.7</v>
      </c>
      <c r="C88" s="275">
        <f>ROUND((IF(MinBase1AMDay&gt;ROUND(((1-(OverNightDiscount_21_Up+FedExExrpessEarnedDiscount))*'1Day AM Base'!C85),2),ROUND(MinBase1AMDay*(1+ExpressFuelSurcharge),2),ROUND(((1-(OverNightDiscount_21_Up+FedExExrpessEarnedDiscount))*'1Day AM Base'!C85)*(1+ExpressFuelSurcharge),2)))*(1+FedEx_Markup),2)</f>
        <v>158.93</v>
      </c>
      <c r="D88" s="275">
        <f>ROUND((IF(MinBase1AMDay&gt;ROUND(((1-(OverNightDiscount_21_Up+FedExExrpessEarnedDiscount))*'1Day AM Base'!D85),2),ROUND(MinBase1AMDay*(1+ExpressFuelSurcharge),2),ROUND(((1-(OverNightDiscount_21_Up+FedExExrpessEarnedDiscount))*'1Day AM Base'!D85)*(1+ExpressFuelSurcharge),2)))*(1+FedEx_Markup),2)</f>
        <v>273.16</v>
      </c>
      <c r="E88" s="275">
        <f>ROUND((IF(MinBase1AMDay&gt;ROUND(((1-(OverNightDiscount_21_Up+FedExExrpessEarnedDiscount))*'1Day AM Base'!E85),2),ROUND(MinBase1AMDay*(1+ExpressFuelSurcharge),2),ROUND(((1-(OverNightDiscount_21_Up+FedExExrpessEarnedDiscount))*'1Day AM Base'!E85)*(1+ExpressFuelSurcharge),2)))*(1+FedEx_Markup),2)</f>
        <v>308.17</v>
      </c>
      <c r="F88" s="275">
        <f>ROUND((IF(MinBase1AMDay&gt;ROUND(((1-(OverNightDiscount_21_Up+FedExExrpessEarnedDiscount))*'1Day AM Base'!F85),2),ROUND(MinBase1AMDay*(1+ExpressFuelSurcharge),2),ROUND(((1-(OverNightDiscount_21_Up+FedExExrpessEarnedDiscount))*'1Day AM Base'!F85)*(1+ExpressFuelSurcharge),2)))*(1+FedEx_Markup),2)</f>
        <v>314.9</v>
      </c>
      <c r="G88" s="275">
        <f>ROUND((IF(MinBase1AMDay&gt;ROUND(((1-(OverNightDiscount_21_Up+FedExExrpessEarnedDiscount))*'1Day AM Base'!G85),2),ROUND(MinBase1AMDay*(1+ExpressFuelSurcharge),2),ROUND(((1-(OverNightDiscount_21_Up+FedExExrpessEarnedDiscount))*'1Day AM Base'!G85)*(1+ExpressFuelSurcharge),2)))*(1+FedEx_Markup),2)</f>
        <v>343.45</v>
      </c>
      <c r="H88" s="275">
        <f>ROUND((IF(MinBase1AMDay&gt;ROUND(((1-(OverNightDiscount_21_Up+FedExExrpessEarnedDiscount))*'1Day AM Base'!H85),2),ROUND(MinBase1AMDay*(1+ExpressFuelSurcharge),2),ROUND(((1-(OverNightDiscount_21_Up+FedExExrpessEarnedDiscount))*'1Day AM Base'!H85)*(1+ExpressFuelSurcharge),2)))*(1+FedEx_Markup),2)</f>
        <v>350.31</v>
      </c>
    </row>
    <row r="89" ht="13.5" customHeight="1">
      <c r="A89" s="274">
        <v>84.0</v>
      </c>
      <c r="B89" s="275">
        <f>ROUND((IF(MinBase1AMDay&gt;ROUND(((1-(OverNightDiscount_21_Up+FedExExrpessEarnedDiscount))*'1Day AM Base'!B86),2),ROUND(MinBase1AMDay*(1+ExpressFuelSurcharge),2),ROUND(((1-(OverNightDiscount_21_Up+FedExExrpessEarnedDiscount))*'1Day AM Base'!B86)*(1+ExpressFuelSurcharge),2)))*(1+FedEx_Markup),2)</f>
        <v>111.16</v>
      </c>
      <c r="C89" s="275">
        <f>ROUND((IF(MinBase1AMDay&gt;ROUND(((1-(OverNightDiscount_21_Up+FedExExrpessEarnedDiscount))*'1Day AM Base'!C86),2),ROUND(MinBase1AMDay*(1+ExpressFuelSurcharge),2),ROUND(((1-(OverNightDiscount_21_Up+FedExExrpessEarnedDiscount))*'1Day AM Base'!C86)*(1+ExpressFuelSurcharge),2)))*(1+FedEx_Markup),2)</f>
        <v>159.25</v>
      </c>
      <c r="D89" s="275">
        <f>ROUND((IF(MinBase1AMDay&gt;ROUND(((1-(OverNightDiscount_21_Up+FedExExrpessEarnedDiscount))*'1Day AM Base'!D86),2),ROUND(MinBase1AMDay*(1+ExpressFuelSurcharge),2),ROUND(((1-(OverNightDiscount_21_Up+FedExExrpessEarnedDiscount))*'1Day AM Base'!D86)*(1+ExpressFuelSurcharge),2)))*(1+FedEx_Markup),2)</f>
        <v>273.6</v>
      </c>
      <c r="E89" s="275">
        <f>ROUND((IF(MinBase1AMDay&gt;ROUND(((1-(OverNightDiscount_21_Up+FedExExrpessEarnedDiscount))*'1Day AM Base'!E86),2),ROUND(MinBase1AMDay*(1+ExpressFuelSurcharge),2),ROUND(((1-(OverNightDiscount_21_Up+FedExExrpessEarnedDiscount))*'1Day AM Base'!E86)*(1+ExpressFuelSurcharge),2)))*(1+FedEx_Markup),2)</f>
        <v>308.6</v>
      </c>
      <c r="F89" s="275">
        <f>ROUND((IF(MinBase1AMDay&gt;ROUND(((1-(OverNightDiscount_21_Up+FedExExrpessEarnedDiscount))*'1Day AM Base'!F86),2),ROUND(MinBase1AMDay*(1+ExpressFuelSurcharge),2),ROUND(((1-(OverNightDiscount_21_Up+FedExExrpessEarnedDiscount))*'1Day AM Base'!F86)*(1+ExpressFuelSurcharge),2)))*(1+FedEx_Markup),2)</f>
        <v>315.35</v>
      </c>
      <c r="G89" s="275">
        <f>ROUND((IF(MinBase1AMDay&gt;ROUND(((1-(OverNightDiscount_21_Up+FedExExrpessEarnedDiscount))*'1Day AM Base'!G86),2),ROUND(MinBase1AMDay*(1+ExpressFuelSurcharge),2),ROUND(((1-(OverNightDiscount_21_Up+FedExExrpessEarnedDiscount))*'1Day AM Base'!G86)*(1+ExpressFuelSurcharge),2)))*(1+FedEx_Markup),2)</f>
        <v>350.45</v>
      </c>
      <c r="H89" s="275">
        <f>ROUND((IF(MinBase1AMDay&gt;ROUND(((1-(OverNightDiscount_21_Up+FedExExrpessEarnedDiscount))*'1Day AM Base'!H86),2),ROUND(MinBase1AMDay*(1+ExpressFuelSurcharge),2),ROUND(((1-(OverNightDiscount_21_Up+FedExExrpessEarnedDiscount))*'1Day AM Base'!H86)*(1+ExpressFuelSurcharge),2)))*(1+FedEx_Markup),2)</f>
        <v>357.48</v>
      </c>
    </row>
    <row r="90" ht="13.5" customHeight="1">
      <c r="A90" s="274">
        <v>85.0</v>
      </c>
      <c r="B90" s="275">
        <f>ROUND((IF(MinBase1AMDay&gt;ROUND(((1-(OverNightDiscount_21_Up+FedExExrpessEarnedDiscount))*'1Day AM Base'!B87),2),ROUND(MinBase1AMDay*(1+ExpressFuelSurcharge),2),ROUND(((1-(OverNightDiscount_21_Up+FedExExrpessEarnedDiscount))*'1Day AM Base'!B87)*(1+ExpressFuelSurcharge),2)))*(1+FedEx_Markup),2)</f>
        <v>111.62</v>
      </c>
      <c r="C90" s="275">
        <f>ROUND((IF(MinBase1AMDay&gt;ROUND(((1-(OverNightDiscount_21_Up+FedExExrpessEarnedDiscount))*'1Day AM Base'!C87),2),ROUND(MinBase1AMDay*(1+ExpressFuelSurcharge),2),ROUND(((1-(OverNightDiscount_21_Up+FedExExrpessEarnedDiscount))*'1Day AM Base'!C87)*(1+ExpressFuelSurcharge),2)))*(1+FedEx_Markup),2)</f>
        <v>159.59</v>
      </c>
      <c r="D90" s="275">
        <f>ROUND((IF(MinBase1AMDay&gt;ROUND(((1-(OverNightDiscount_21_Up+FedExExrpessEarnedDiscount))*'1Day AM Base'!D87),2),ROUND(MinBase1AMDay*(1+ExpressFuelSurcharge),2),ROUND(((1-(OverNightDiscount_21_Up+FedExExrpessEarnedDiscount))*'1Day AM Base'!D87)*(1+ExpressFuelSurcharge),2)))*(1+FedEx_Markup),2)</f>
        <v>274.05</v>
      </c>
      <c r="E90" s="275">
        <f>ROUND((IF(MinBase1AMDay&gt;ROUND(((1-(OverNightDiscount_21_Up+FedExExrpessEarnedDiscount))*'1Day AM Base'!E87),2),ROUND(MinBase1AMDay*(1+ExpressFuelSurcharge),2),ROUND(((1-(OverNightDiscount_21_Up+FedExExrpessEarnedDiscount))*'1Day AM Base'!E87)*(1+ExpressFuelSurcharge),2)))*(1+FedEx_Markup),2)</f>
        <v>309.04</v>
      </c>
      <c r="F90" s="275">
        <f>ROUND((IF(MinBase1AMDay&gt;ROUND(((1-(OverNightDiscount_21_Up+FedExExrpessEarnedDiscount))*'1Day AM Base'!F87),2),ROUND(MinBase1AMDay*(1+ExpressFuelSurcharge),2),ROUND(((1-(OverNightDiscount_21_Up+FedExExrpessEarnedDiscount))*'1Day AM Base'!F87)*(1+ExpressFuelSurcharge),2)))*(1+FedEx_Markup),2)</f>
        <v>315.77</v>
      </c>
      <c r="G90" s="275">
        <f>ROUND((IF(MinBase1AMDay&gt;ROUND(((1-(OverNightDiscount_21_Up+FedExExrpessEarnedDiscount))*'1Day AM Base'!G87),2),ROUND(MinBase1AMDay*(1+ExpressFuelSurcharge),2),ROUND(((1-(OverNightDiscount_21_Up+FedExExrpessEarnedDiscount))*'1Day AM Base'!G87)*(1+ExpressFuelSurcharge),2)))*(1+FedEx_Markup),2)</f>
        <v>351.16</v>
      </c>
      <c r="H90" s="275">
        <f>ROUND((IF(MinBase1AMDay&gt;ROUND(((1-(OverNightDiscount_21_Up+FedExExrpessEarnedDiscount))*'1Day AM Base'!H87),2),ROUND(MinBase1AMDay*(1+ExpressFuelSurcharge),2),ROUND(((1-(OverNightDiscount_21_Up+FedExExrpessEarnedDiscount))*'1Day AM Base'!H87)*(1+ExpressFuelSurcharge),2)))*(1+FedEx_Markup),2)</f>
        <v>358.2</v>
      </c>
    </row>
    <row r="91" ht="13.5" customHeight="1">
      <c r="A91" s="274">
        <v>86.0</v>
      </c>
      <c r="B91" s="275">
        <f>ROUND((IF(MinBase1AMDay&gt;ROUND(((1-(OverNightDiscount_21_Up+FedExExrpessEarnedDiscount))*'1Day AM Base'!B88),2),ROUND(MinBase1AMDay*(1+ExpressFuelSurcharge),2),ROUND(((1-(OverNightDiscount_21_Up+FedExExrpessEarnedDiscount))*'1Day AM Base'!B88)*(1+ExpressFuelSurcharge),2)))*(1+FedEx_Markup),2)</f>
        <v>113.09</v>
      </c>
      <c r="C91" s="275">
        <f>ROUND((IF(MinBase1AMDay&gt;ROUND(((1-(OverNightDiscount_21_Up+FedExExrpessEarnedDiscount))*'1Day AM Base'!C88),2),ROUND(MinBase1AMDay*(1+ExpressFuelSurcharge),2),ROUND(((1-(OverNightDiscount_21_Up+FedExExrpessEarnedDiscount))*'1Day AM Base'!C88)*(1+ExpressFuelSurcharge),2)))*(1+FedEx_Markup),2)</f>
        <v>159.91</v>
      </c>
      <c r="D91" s="275">
        <f>ROUND((IF(MinBase1AMDay&gt;ROUND(((1-(OverNightDiscount_21_Up+FedExExrpessEarnedDiscount))*'1Day AM Base'!D88),2),ROUND(MinBase1AMDay*(1+ExpressFuelSurcharge),2),ROUND(((1-(OverNightDiscount_21_Up+FedExExrpessEarnedDiscount))*'1Day AM Base'!D88)*(1+ExpressFuelSurcharge),2)))*(1+FedEx_Markup),2)</f>
        <v>274.83</v>
      </c>
      <c r="E91" s="275">
        <f>ROUND((IF(MinBase1AMDay&gt;ROUND(((1-(OverNightDiscount_21_Up+FedExExrpessEarnedDiscount))*'1Day AM Base'!E88),2),ROUND(MinBase1AMDay*(1+ExpressFuelSurcharge),2),ROUND(((1-(OverNightDiscount_21_Up+FedExExrpessEarnedDiscount))*'1Day AM Base'!E88)*(1+ExpressFuelSurcharge),2)))*(1+FedEx_Markup),2)</f>
        <v>310.16</v>
      </c>
      <c r="F91" s="275">
        <f>ROUND((IF(MinBase1AMDay&gt;ROUND(((1-(OverNightDiscount_21_Up+FedExExrpessEarnedDiscount))*'1Day AM Base'!F88),2),ROUND(MinBase1AMDay*(1+ExpressFuelSurcharge),2),ROUND(((1-(OverNightDiscount_21_Up+FedExExrpessEarnedDiscount))*'1Day AM Base'!F88)*(1+ExpressFuelSurcharge),2)))*(1+FedEx_Markup),2)</f>
        <v>316.37</v>
      </c>
      <c r="G91" s="275">
        <f>ROUND((IF(MinBase1AMDay&gt;ROUND(((1-(OverNightDiscount_21_Up+FedExExrpessEarnedDiscount))*'1Day AM Base'!G88),2),ROUND(MinBase1AMDay*(1+ExpressFuelSurcharge),2),ROUND(((1-(OverNightDiscount_21_Up+FedExExrpessEarnedDiscount))*'1Day AM Base'!G88)*(1+ExpressFuelSurcharge),2)))*(1+FedEx_Markup),2)</f>
        <v>351.59</v>
      </c>
      <c r="H91" s="275">
        <f>ROUND((IF(MinBase1AMDay&gt;ROUND(((1-(OverNightDiscount_21_Up+FedExExrpessEarnedDiscount))*'1Day AM Base'!H88),2),ROUND(MinBase1AMDay*(1+ExpressFuelSurcharge),2),ROUND(((1-(OverNightDiscount_21_Up+FedExExrpessEarnedDiscount))*'1Day AM Base'!H88)*(1+ExpressFuelSurcharge),2)))*(1+FedEx_Markup),2)</f>
        <v>358.63</v>
      </c>
    </row>
    <row r="92" ht="13.5" customHeight="1">
      <c r="A92" s="274">
        <v>87.0</v>
      </c>
      <c r="B92" s="275">
        <f>ROUND((IF(MinBase1AMDay&gt;ROUND(((1-(OverNightDiscount_21_Up+FedExExrpessEarnedDiscount))*'1Day AM Base'!B89),2),ROUND(MinBase1AMDay*(1+ExpressFuelSurcharge),2),ROUND(((1-(OverNightDiscount_21_Up+FedExExrpessEarnedDiscount))*'1Day AM Base'!B89)*(1+ExpressFuelSurcharge),2)))*(1+FedEx_Markup),2)</f>
        <v>113.41</v>
      </c>
      <c r="C92" s="275">
        <f>ROUND((IF(MinBase1AMDay&gt;ROUND(((1-(OverNightDiscount_21_Up+FedExExrpessEarnedDiscount))*'1Day AM Base'!C89),2),ROUND(MinBase1AMDay*(1+ExpressFuelSurcharge),2),ROUND(((1-(OverNightDiscount_21_Up+FedExExrpessEarnedDiscount))*'1Day AM Base'!C89)*(1+ExpressFuelSurcharge),2)))*(1+FedEx_Markup),2)</f>
        <v>160.23</v>
      </c>
      <c r="D92" s="275">
        <f>ROUND((IF(MinBase1AMDay&gt;ROUND(((1-(OverNightDiscount_21_Up+FedExExrpessEarnedDiscount))*'1Day AM Base'!D89),2),ROUND(MinBase1AMDay*(1+ExpressFuelSurcharge),2),ROUND(((1-(OverNightDiscount_21_Up+FedExExrpessEarnedDiscount))*'1Day AM Base'!D89)*(1+ExpressFuelSurcharge),2)))*(1+FedEx_Markup),2)</f>
        <v>284.69</v>
      </c>
      <c r="E92" s="275">
        <f>ROUND((IF(MinBase1AMDay&gt;ROUND(((1-(OverNightDiscount_21_Up+FedExExrpessEarnedDiscount))*'1Day AM Base'!E89),2),ROUND(MinBase1AMDay*(1+ExpressFuelSurcharge),2),ROUND(((1-(OverNightDiscount_21_Up+FedExExrpessEarnedDiscount))*'1Day AM Base'!E89)*(1+ExpressFuelSurcharge),2)))*(1+FedEx_Markup),2)</f>
        <v>311.55</v>
      </c>
      <c r="F92" s="275">
        <f>ROUND((IF(MinBase1AMDay&gt;ROUND(((1-(OverNightDiscount_21_Up+FedExExrpessEarnedDiscount))*'1Day AM Base'!F89),2),ROUND(MinBase1AMDay*(1+ExpressFuelSurcharge),2),ROUND(((1-(OverNightDiscount_21_Up+FedExExrpessEarnedDiscount))*'1Day AM Base'!F89)*(1+ExpressFuelSurcharge),2)))*(1+FedEx_Markup),2)</f>
        <v>317.78</v>
      </c>
      <c r="G92" s="275">
        <f>ROUND((IF(MinBase1AMDay&gt;ROUND(((1-(OverNightDiscount_21_Up+FedExExrpessEarnedDiscount))*'1Day AM Base'!G89),2),ROUND(MinBase1AMDay*(1+ExpressFuelSurcharge),2),ROUND(((1-(OverNightDiscount_21_Up+FedExExrpessEarnedDiscount))*'1Day AM Base'!G89)*(1+ExpressFuelSurcharge),2)))*(1+FedEx_Markup),2)</f>
        <v>352.12</v>
      </c>
      <c r="H92" s="275">
        <f>ROUND((IF(MinBase1AMDay&gt;ROUND(((1-(OverNightDiscount_21_Up+FedExExrpessEarnedDiscount))*'1Day AM Base'!H89),2),ROUND(MinBase1AMDay*(1+ExpressFuelSurcharge),2),ROUND(((1-(OverNightDiscount_21_Up+FedExExrpessEarnedDiscount))*'1Day AM Base'!H89)*(1+ExpressFuelSurcharge),2)))*(1+FedEx_Markup),2)</f>
        <v>359.17</v>
      </c>
    </row>
    <row r="93" ht="13.5" customHeight="1">
      <c r="A93" s="274">
        <v>88.0</v>
      </c>
      <c r="B93" s="275">
        <f>ROUND((IF(MinBase1AMDay&gt;ROUND(((1-(OverNightDiscount_21_Up+FedExExrpessEarnedDiscount))*'1Day AM Base'!B90),2),ROUND(MinBase1AMDay*(1+ExpressFuelSurcharge),2),ROUND(((1-(OverNightDiscount_21_Up+FedExExrpessEarnedDiscount))*'1Day AM Base'!B90)*(1+ExpressFuelSurcharge),2)))*(1+FedEx_Markup),2)</f>
        <v>113.75</v>
      </c>
      <c r="C93" s="275">
        <f>ROUND((IF(MinBase1AMDay&gt;ROUND(((1-(OverNightDiscount_21_Up+FedExExrpessEarnedDiscount))*'1Day AM Base'!C90),2),ROUND(MinBase1AMDay*(1+ExpressFuelSurcharge),2),ROUND(((1-(OverNightDiscount_21_Up+FedExExrpessEarnedDiscount))*'1Day AM Base'!C90)*(1+ExpressFuelSurcharge),2)))*(1+FedEx_Markup),2)</f>
        <v>160.56</v>
      </c>
      <c r="D93" s="275">
        <f>ROUND((IF(MinBase1AMDay&gt;ROUND(((1-(OverNightDiscount_21_Up+FedExExrpessEarnedDiscount))*'1Day AM Base'!D90),2),ROUND(MinBase1AMDay*(1+ExpressFuelSurcharge),2),ROUND(((1-(OverNightDiscount_21_Up+FedExExrpessEarnedDiscount))*'1Day AM Base'!D90)*(1+ExpressFuelSurcharge),2)))*(1+FedEx_Markup),2)</f>
        <v>285.68</v>
      </c>
      <c r="E93" s="275">
        <f>ROUND((IF(MinBase1AMDay&gt;ROUND(((1-(OverNightDiscount_21_Up+FedExExrpessEarnedDiscount))*'1Day AM Base'!E90),2),ROUND(MinBase1AMDay*(1+ExpressFuelSurcharge),2),ROUND(((1-(OverNightDiscount_21_Up+FedExExrpessEarnedDiscount))*'1Day AM Base'!E90)*(1+ExpressFuelSurcharge),2)))*(1+FedEx_Markup),2)</f>
        <v>312.23</v>
      </c>
      <c r="F93" s="275">
        <f>ROUND((IF(MinBase1AMDay&gt;ROUND(((1-(OverNightDiscount_21_Up+FedExExrpessEarnedDiscount))*'1Day AM Base'!F90),2),ROUND(MinBase1AMDay*(1+ExpressFuelSurcharge),2),ROUND(((1-(OverNightDiscount_21_Up+FedExExrpessEarnedDiscount))*'1Day AM Base'!F90)*(1+ExpressFuelSurcharge),2)))*(1+FedEx_Markup),2)</f>
        <v>318.58</v>
      </c>
      <c r="G93" s="275">
        <f>ROUND((IF(MinBase1AMDay&gt;ROUND(((1-(OverNightDiscount_21_Up+FedExExrpessEarnedDiscount))*'1Day AM Base'!G90),2),ROUND(MinBase1AMDay*(1+ExpressFuelSurcharge),2),ROUND(((1-(OverNightDiscount_21_Up+FedExExrpessEarnedDiscount))*'1Day AM Base'!G90)*(1+ExpressFuelSurcharge),2)))*(1+FedEx_Markup),2)</f>
        <v>353.46</v>
      </c>
      <c r="H93" s="275">
        <f>ROUND((IF(MinBase1AMDay&gt;ROUND(((1-(OverNightDiscount_21_Up+FedExExrpessEarnedDiscount))*'1Day AM Base'!H90),2),ROUND(MinBase1AMDay*(1+ExpressFuelSurcharge),2),ROUND(((1-(OverNightDiscount_21_Up+FedExExrpessEarnedDiscount))*'1Day AM Base'!H90)*(1+ExpressFuelSurcharge),2)))*(1+FedEx_Markup),2)</f>
        <v>360.94</v>
      </c>
    </row>
    <row r="94" ht="13.5" customHeight="1">
      <c r="A94" s="274">
        <v>89.0</v>
      </c>
      <c r="B94" s="275">
        <f>ROUND((IF(MinBase1AMDay&gt;ROUND(((1-(OverNightDiscount_21_Up+FedExExrpessEarnedDiscount))*'1Day AM Base'!B91),2),ROUND(MinBase1AMDay*(1+ExpressFuelSurcharge),2),ROUND(((1-(OverNightDiscount_21_Up+FedExExrpessEarnedDiscount))*'1Day AM Base'!B91)*(1+ExpressFuelSurcharge),2)))*(1+FedEx_Markup),2)</f>
        <v>114.07</v>
      </c>
      <c r="C94" s="275">
        <f>ROUND((IF(MinBase1AMDay&gt;ROUND(((1-(OverNightDiscount_21_Up+FedExExrpessEarnedDiscount))*'1Day AM Base'!C91),2),ROUND(MinBase1AMDay*(1+ExpressFuelSurcharge),2),ROUND(((1-(OverNightDiscount_21_Up+FedExExrpessEarnedDiscount))*'1Day AM Base'!C91)*(1+ExpressFuelSurcharge),2)))*(1+FedEx_Markup),2)</f>
        <v>160.89</v>
      </c>
      <c r="D94" s="275">
        <f>ROUND((IF(MinBase1AMDay&gt;ROUND(((1-(OverNightDiscount_21_Up+FedExExrpessEarnedDiscount))*'1Day AM Base'!D91),2),ROUND(MinBase1AMDay*(1+ExpressFuelSurcharge),2),ROUND(((1-(OverNightDiscount_21_Up+FedExExrpessEarnedDiscount))*'1Day AM Base'!D91)*(1+ExpressFuelSurcharge),2)))*(1+FedEx_Markup),2)</f>
        <v>294.65</v>
      </c>
      <c r="E94" s="275">
        <f>ROUND((IF(MinBase1AMDay&gt;ROUND(((1-(OverNightDiscount_21_Up+FedExExrpessEarnedDiscount))*'1Day AM Base'!E91),2),ROUND(MinBase1AMDay*(1+ExpressFuelSurcharge),2),ROUND(((1-(OverNightDiscount_21_Up+FedExExrpessEarnedDiscount))*'1Day AM Base'!E91)*(1+ExpressFuelSurcharge),2)))*(1+FedEx_Markup),2)</f>
        <v>325.74</v>
      </c>
      <c r="F94" s="275">
        <f>ROUND((IF(MinBase1AMDay&gt;ROUND(((1-(OverNightDiscount_21_Up+FedExExrpessEarnedDiscount))*'1Day AM Base'!F91),2),ROUND(MinBase1AMDay*(1+ExpressFuelSurcharge),2),ROUND(((1-(OverNightDiscount_21_Up+FedExExrpessEarnedDiscount))*'1Day AM Base'!F91)*(1+ExpressFuelSurcharge),2)))*(1+FedEx_Markup),2)</f>
        <v>334.75</v>
      </c>
      <c r="G94" s="275">
        <f>ROUND((IF(MinBase1AMDay&gt;ROUND(((1-(OverNightDiscount_21_Up+FedExExrpessEarnedDiscount))*'1Day AM Base'!G91),2),ROUND(MinBase1AMDay*(1+ExpressFuelSurcharge),2),ROUND(((1-(OverNightDiscount_21_Up+FedExExrpessEarnedDiscount))*'1Day AM Base'!G91)*(1+ExpressFuelSurcharge),2)))*(1+FedEx_Markup),2)</f>
        <v>380.29</v>
      </c>
      <c r="H94" s="275">
        <f>ROUND((IF(MinBase1AMDay&gt;ROUND(((1-(OverNightDiscount_21_Up+FedExExrpessEarnedDiscount))*'1Day AM Base'!H91),2),ROUND(MinBase1AMDay*(1+ExpressFuelSurcharge),2),ROUND(((1-(OverNightDiscount_21_Up+FedExExrpessEarnedDiscount))*'1Day AM Base'!H91)*(1+ExpressFuelSurcharge),2)))*(1+FedEx_Markup),2)</f>
        <v>396.24</v>
      </c>
    </row>
    <row r="95" ht="13.5" customHeight="1">
      <c r="A95" s="274">
        <v>90.0</v>
      </c>
      <c r="B95" s="275">
        <f>ROUND((IF(MinBase1AMDay&gt;ROUND(((1-(OverNightDiscount_21_Up+FedExExrpessEarnedDiscount))*'1Day AM Base'!B92),2),ROUND(MinBase1AMDay*(1+ExpressFuelSurcharge),2),ROUND(((1-(OverNightDiscount_21_Up+FedExExrpessEarnedDiscount))*'1Day AM Base'!B92)*(1+ExpressFuelSurcharge),2)))*(1+FedEx_Markup),2)</f>
        <v>114.39</v>
      </c>
      <c r="C95" s="275">
        <f>ROUND((IF(MinBase1AMDay&gt;ROUND(((1-(OverNightDiscount_21_Up+FedExExrpessEarnedDiscount))*'1Day AM Base'!C92),2),ROUND(MinBase1AMDay*(1+ExpressFuelSurcharge),2),ROUND(((1-(OverNightDiscount_21_Up+FedExExrpessEarnedDiscount))*'1Day AM Base'!C92)*(1+ExpressFuelSurcharge),2)))*(1+FedEx_Markup),2)</f>
        <v>161.21</v>
      </c>
      <c r="D95" s="275">
        <f>ROUND((IF(MinBase1AMDay&gt;ROUND(((1-(OverNightDiscount_21_Up+FedExExrpessEarnedDiscount))*'1Day AM Base'!D92),2),ROUND(MinBase1AMDay*(1+ExpressFuelSurcharge),2),ROUND(((1-(OverNightDiscount_21_Up+FedExExrpessEarnedDiscount))*'1Day AM Base'!D92)*(1+ExpressFuelSurcharge),2)))*(1+FedEx_Markup),2)</f>
        <v>295.55</v>
      </c>
      <c r="E95" s="275">
        <f>ROUND((IF(MinBase1AMDay&gt;ROUND(((1-(OverNightDiscount_21_Up+FedExExrpessEarnedDiscount))*'1Day AM Base'!E92),2),ROUND(MinBase1AMDay*(1+ExpressFuelSurcharge),2),ROUND(((1-(OverNightDiscount_21_Up+FedExExrpessEarnedDiscount))*'1Day AM Base'!E92)*(1+ExpressFuelSurcharge),2)))*(1+FedEx_Markup),2)</f>
        <v>327.65</v>
      </c>
      <c r="F95" s="275">
        <f>ROUND((IF(MinBase1AMDay&gt;ROUND(((1-(OverNightDiscount_21_Up+FedExExrpessEarnedDiscount))*'1Day AM Base'!F92),2),ROUND(MinBase1AMDay*(1+ExpressFuelSurcharge),2),ROUND(((1-(OverNightDiscount_21_Up+FedExExrpessEarnedDiscount))*'1Day AM Base'!F92)*(1+ExpressFuelSurcharge),2)))*(1+FedEx_Markup),2)</f>
        <v>338.95</v>
      </c>
      <c r="G95" s="275">
        <f>ROUND((IF(MinBase1AMDay&gt;ROUND(((1-(OverNightDiscount_21_Up+FedExExrpessEarnedDiscount))*'1Day AM Base'!G92),2),ROUND(MinBase1AMDay*(1+ExpressFuelSurcharge),2),ROUND(((1-(OverNightDiscount_21_Up+FedExExrpessEarnedDiscount))*'1Day AM Base'!G92)*(1+ExpressFuelSurcharge),2)))*(1+FedEx_Markup),2)</f>
        <v>394.94</v>
      </c>
      <c r="H95" s="275">
        <f>ROUND((IF(MinBase1AMDay&gt;ROUND(((1-(OverNightDiscount_21_Up+FedExExrpessEarnedDiscount))*'1Day AM Base'!H92),2),ROUND(MinBase1AMDay*(1+ExpressFuelSurcharge),2),ROUND(((1-(OverNightDiscount_21_Up+FedExExrpessEarnedDiscount))*'1Day AM Base'!H92)*(1+ExpressFuelSurcharge),2)))*(1+FedEx_Markup),2)</f>
        <v>403.59</v>
      </c>
    </row>
    <row r="96" ht="13.5" customHeight="1">
      <c r="A96" s="274">
        <v>91.0</v>
      </c>
      <c r="B96" s="275">
        <f>ROUND((IF(MinBase1AMDay&gt;ROUND(((1-(OverNightDiscount_21_Up+FedExExrpessEarnedDiscount))*'1Day AM Base'!B93),2),ROUND(MinBase1AMDay*(1+ExpressFuelSurcharge),2),ROUND(((1-(OverNightDiscount_21_Up+FedExExrpessEarnedDiscount))*'1Day AM Base'!B93)*(1+ExpressFuelSurcharge),2)))*(1+FedEx_Markup),2)</f>
        <v>114.72</v>
      </c>
      <c r="C96" s="275">
        <f>ROUND((IF(MinBase1AMDay&gt;ROUND(((1-(OverNightDiscount_21_Up+FedExExrpessEarnedDiscount))*'1Day AM Base'!C93),2),ROUND(MinBase1AMDay*(1+ExpressFuelSurcharge),2),ROUND(((1-(OverNightDiscount_21_Up+FedExExrpessEarnedDiscount))*'1Day AM Base'!C93)*(1+ExpressFuelSurcharge),2)))*(1+FedEx_Markup),2)</f>
        <v>161.54</v>
      </c>
      <c r="D96" s="275">
        <f>ROUND((IF(MinBase1AMDay&gt;ROUND(((1-(OverNightDiscount_21_Up+FedExExrpessEarnedDiscount))*'1Day AM Base'!D93),2),ROUND(MinBase1AMDay*(1+ExpressFuelSurcharge),2),ROUND(((1-(OverNightDiscount_21_Up+FedExExrpessEarnedDiscount))*'1Day AM Base'!D93)*(1+ExpressFuelSurcharge),2)))*(1+FedEx_Markup),2)</f>
        <v>295.88</v>
      </c>
      <c r="E96" s="275">
        <f>ROUND((IF(MinBase1AMDay&gt;ROUND(((1-(OverNightDiscount_21_Up+FedExExrpessEarnedDiscount))*'1Day AM Base'!E93),2),ROUND(MinBase1AMDay*(1+ExpressFuelSurcharge),2),ROUND(((1-(OverNightDiscount_21_Up+FedExExrpessEarnedDiscount))*'1Day AM Base'!E93)*(1+ExpressFuelSurcharge),2)))*(1+FedEx_Markup),2)</f>
        <v>328.06</v>
      </c>
      <c r="F96" s="275">
        <f>ROUND((IF(MinBase1AMDay&gt;ROUND(((1-(OverNightDiscount_21_Up+FedExExrpessEarnedDiscount))*'1Day AM Base'!F93),2),ROUND(MinBase1AMDay*(1+ExpressFuelSurcharge),2),ROUND(((1-(OverNightDiscount_21_Up+FedExExrpessEarnedDiscount))*'1Day AM Base'!F93)*(1+ExpressFuelSurcharge),2)))*(1+FedEx_Markup),2)</f>
        <v>339.38</v>
      </c>
      <c r="G96" s="275">
        <f>ROUND((IF(MinBase1AMDay&gt;ROUND(((1-(OverNightDiscount_21_Up+FedExExrpessEarnedDiscount))*'1Day AM Base'!G93),2),ROUND(MinBase1AMDay*(1+ExpressFuelSurcharge),2),ROUND(((1-(OverNightDiscount_21_Up+FedExExrpessEarnedDiscount))*'1Day AM Base'!G93)*(1+ExpressFuelSurcharge),2)))*(1+FedEx_Markup),2)</f>
        <v>396.41</v>
      </c>
      <c r="H96" s="275">
        <f>ROUND((IF(MinBase1AMDay&gt;ROUND(((1-(OverNightDiscount_21_Up+FedExExrpessEarnedDiscount))*'1Day AM Base'!H93),2),ROUND(MinBase1AMDay*(1+ExpressFuelSurcharge),2),ROUND(((1-(OverNightDiscount_21_Up+FedExExrpessEarnedDiscount))*'1Day AM Base'!H93)*(1+ExpressFuelSurcharge),2)))*(1+FedEx_Markup),2)</f>
        <v>404.34</v>
      </c>
    </row>
    <row r="97" ht="13.5" customHeight="1">
      <c r="A97" s="274">
        <v>92.0</v>
      </c>
      <c r="B97" s="275">
        <f>ROUND((IF(MinBase1AMDay&gt;ROUND(((1-(OverNightDiscount_21_Up+FedExExrpessEarnedDiscount))*'1Day AM Base'!B94),2),ROUND(MinBase1AMDay*(1+ExpressFuelSurcharge),2),ROUND(((1-(OverNightDiscount_21_Up+FedExExrpessEarnedDiscount))*'1Day AM Base'!B94)*(1+ExpressFuelSurcharge),2)))*(1+FedEx_Markup),2)</f>
        <v>115.05</v>
      </c>
      <c r="C97" s="275">
        <f>ROUND((IF(MinBase1AMDay&gt;ROUND(((1-(OverNightDiscount_21_Up+FedExExrpessEarnedDiscount))*'1Day AM Base'!C94),2),ROUND(MinBase1AMDay*(1+ExpressFuelSurcharge),2),ROUND(((1-(OverNightDiscount_21_Up+FedExExrpessEarnedDiscount))*'1Day AM Base'!C94)*(1+ExpressFuelSurcharge),2)))*(1+FedEx_Markup),2)</f>
        <v>161.86</v>
      </c>
      <c r="D97" s="275">
        <f>ROUND((IF(MinBase1AMDay&gt;ROUND(((1-(OverNightDiscount_21_Up+FedExExrpessEarnedDiscount))*'1Day AM Base'!D94),2),ROUND(MinBase1AMDay*(1+ExpressFuelSurcharge),2),ROUND(((1-(OverNightDiscount_21_Up+FedExExrpessEarnedDiscount))*'1Day AM Base'!D94)*(1+ExpressFuelSurcharge),2)))*(1+FedEx_Markup),2)</f>
        <v>296.21</v>
      </c>
      <c r="E97" s="275">
        <f>ROUND((IF(MinBase1AMDay&gt;ROUND(((1-(OverNightDiscount_21_Up+FedExExrpessEarnedDiscount))*'1Day AM Base'!E94),2),ROUND(MinBase1AMDay*(1+ExpressFuelSurcharge),2),ROUND(((1-(OverNightDiscount_21_Up+FedExExrpessEarnedDiscount))*'1Day AM Base'!E94)*(1+ExpressFuelSurcharge),2)))*(1+FedEx_Markup),2)</f>
        <v>328.47</v>
      </c>
      <c r="F97" s="275">
        <f>ROUND((IF(MinBase1AMDay&gt;ROUND(((1-(OverNightDiscount_21_Up+FedExExrpessEarnedDiscount))*'1Day AM Base'!F94),2),ROUND(MinBase1AMDay*(1+ExpressFuelSurcharge),2),ROUND(((1-(OverNightDiscount_21_Up+FedExExrpessEarnedDiscount))*'1Day AM Base'!F94)*(1+ExpressFuelSurcharge),2)))*(1+FedEx_Markup),2)</f>
        <v>339.79</v>
      </c>
      <c r="G97" s="275">
        <f>ROUND((IF(MinBase1AMDay&gt;ROUND(((1-(OverNightDiscount_21_Up+FedExExrpessEarnedDiscount))*'1Day AM Base'!G94),2),ROUND(MinBase1AMDay*(1+ExpressFuelSurcharge),2),ROUND(((1-(OverNightDiscount_21_Up+FedExExrpessEarnedDiscount))*'1Day AM Base'!G94)*(1+ExpressFuelSurcharge),2)))*(1+FedEx_Markup),2)</f>
        <v>396.83</v>
      </c>
      <c r="H97" s="275">
        <f>ROUND((IF(MinBase1AMDay&gt;ROUND(((1-(OverNightDiscount_21_Up+FedExExrpessEarnedDiscount))*'1Day AM Base'!H94),2),ROUND(MinBase1AMDay*(1+ExpressFuelSurcharge),2),ROUND(((1-(OverNightDiscount_21_Up+FedExExrpessEarnedDiscount))*'1Day AM Base'!H94)*(1+ExpressFuelSurcharge),2)))*(1+FedEx_Markup),2)</f>
        <v>404.82</v>
      </c>
    </row>
    <row r="98" ht="13.5" customHeight="1">
      <c r="A98" s="274">
        <v>93.0</v>
      </c>
      <c r="B98" s="275">
        <f>ROUND((IF(MinBase1AMDay&gt;ROUND(((1-(OverNightDiscount_21_Up+FedExExrpessEarnedDiscount))*'1Day AM Base'!B95),2),ROUND(MinBase1AMDay*(1+ExpressFuelSurcharge),2),ROUND(((1-(OverNightDiscount_21_Up+FedExExrpessEarnedDiscount))*'1Day AM Base'!B95)*(1+ExpressFuelSurcharge),2)))*(1+FedEx_Markup),2)</f>
        <v>115.37</v>
      </c>
      <c r="C98" s="275">
        <f>ROUND((IF(MinBase1AMDay&gt;ROUND(((1-(OverNightDiscount_21_Up+FedExExrpessEarnedDiscount))*'1Day AM Base'!C95),2),ROUND(MinBase1AMDay*(1+ExpressFuelSurcharge),2),ROUND(((1-(OverNightDiscount_21_Up+FedExExrpessEarnedDiscount))*'1Day AM Base'!C95)*(1+ExpressFuelSurcharge),2)))*(1+FedEx_Markup),2)</f>
        <v>162.18</v>
      </c>
      <c r="D98" s="275">
        <f>ROUND((IF(MinBase1AMDay&gt;ROUND(((1-(OverNightDiscount_21_Up+FedExExrpessEarnedDiscount))*'1Day AM Base'!D95),2),ROUND(MinBase1AMDay*(1+ExpressFuelSurcharge),2),ROUND(((1-(OverNightDiscount_21_Up+FedExExrpessEarnedDiscount))*'1Day AM Base'!D95)*(1+ExpressFuelSurcharge),2)))*(1+FedEx_Markup),2)</f>
        <v>296.53</v>
      </c>
      <c r="E98" s="275">
        <f>ROUND((IF(MinBase1AMDay&gt;ROUND(((1-(OverNightDiscount_21_Up+FedExExrpessEarnedDiscount))*'1Day AM Base'!E95),2),ROUND(MinBase1AMDay*(1+ExpressFuelSurcharge),2),ROUND(((1-(OverNightDiscount_21_Up+FedExExrpessEarnedDiscount))*'1Day AM Base'!E95)*(1+ExpressFuelSurcharge),2)))*(1+FedEx_Markup),2)</f>
        <v>328.9</v>
      </c>
      <c r="F98" s="275">
        <f>ROUND((IF(MinBase1AMDay&gt;ROUND(((1-(OverNightDiscount_21_Up+FedExExrpessEarnedDiscount))*'1Day AM Base'!F95),2),ROUND(MinBase1AMDay*(1+ExpressFuelSurcharge),2),ROUND(((1-(OverNightDiscount_21_Up+FedExExrpessEarnedDiscount))*'1Day AM Base'!F95)*(1+ExpressFuelSurcharge),2)))*(1+FedEx_Markup),2)</f>
        <v>340.22</v>
      </c>
      <c r="G98" s="275">
        <f>ROUND((IF(MinBase1AMDay&gt;ROUND(((1-(OverNightDiscount_21_Up+FedExExrpessEarnedDiscount))*'1Day AM Base'!G95),2),ROUND(MinBase1AMDay*(1+ExpressFuelSurcharge),2),ROUND(((1-(OverNightDiscount_21_Up+FedExExrpessEarnedDiscount))*'1Day AM Base'!G95)*(1+ExpressFuelSurcharge),2)))*(1+FedEx_Markup),2)</f>
        <v>397.35</v>
      </c>
      <c r="H98" s="275">
        <f>ROUND((IF(MinBase1AMDay&gt;ROUND(((1-(OverNightDiscount_21_Up+FedExExrpessEarnedDiscount))*'1Day AM Base'!H95),2),ROUND(MinBase1AMDay*(1+ExpressFuelSurcharge),2),ROUND(((1-(OverNightDiscount_21_Up+FedExExrpessEarnedDiscount))*'1Day AM Base'!H95)*(1+ExpressFuelSurcharge),2)))*(1+FedEx_Markup),2)</f>
        <v>405.29</v>
      </c>
    </row>
    <row r="99" ht="13.5" customHeight="1">
      <c r="A99" s="274">
        <v>94.0</v>
      </c>
      <c r="B99" s="275">
        <f>ROUND((IF(MinBase1AMDay&gt;ROUND(((1-(OverNightDiscount_21_Up+FedExExrpessEarnedDiscount))*'1Day AM Base'!B96),2),ROUND(MinBase1AMDay*(1+ExpressFuelSurcharge),2),ROUND(((1-(OverNightDiscount_21_Up+FedExExrpessEarnedDiscount))*'1Day AM Base'!B96)*(1+ExpressFuelSurcharge),2)))*(1+FedEx_Markup),2)</f>
        <v>115.7</v>
      </c>
      <c r="C99" s="275">
        <f>ROUND((IF(MinBase1AMDay&gt;ROUND(((1-(OverNightDiscount_21_Up+FedExExrpessEarnedDiscount))*'1Day AM Base'!C96),2),ROUND(MinBase1AMDay*(1+ExpressFuelSurcharge),2),ROUND(((1-(OverNightDiscount_21_Up+FedExExrpessEarnedDiscount))*'1Day AM Base'!C96)*(1+ExpressFuelSurcharge),2)))*(1+FedEx_Markup),2)</f>
        <v>162.52</v>
      </c>
      <c r="D99" s="275">
        <f>ROUND((IF(MinBase1AMDay&gt;ROUND(((1-(OverNightDiscount_21_Up+FedExExrpessEarnedDiscount))*'1Day AM Base'!D96),2),ROUND(MinBase1AMDay*(1+ExpressFuelSurcharge),2),ROUND(((1-(OverNightDiscount_21_Up+FedExExrpessEarnedDiscount))*'1Day AM Base'!D96)*(1+ExpressFuelSurcharge),2)))*(1+FedEx_Markup),2)</f>
        <v>296.86</v>
      </c>
      <c r="E99" s="275">
        <f>ROUND((IF(MinBase1AMDay&gt;ROUND(((1-(OverNightDiscount_21_Up+FedExExrpessEarnedDiscount))*'1Day AM Base'!E96),2),ROUND(MinBase1AMDay*(1+ExpressFuelSurcharge),2),ROUND(((1-(OverNightDiscount_21_Up+FedExExrpessEarnedDiscount))*'1Day AM Base'!E96)*(1+ExpressFuelSurcharge),2)))*(1+FedEx_Markup),2)</f>
        <v>329.31</v>
      </c>
      <c r="F99" s="275">
        <f>ROUND((IF(MinBase1AMDay&gt;ROUND(((1-(OverNightDiscount_21_Up+FedExExrpessEarnedDiscount))*'1Day AM Base'!F96),2),ROUND(MinBase1AMDay*(1+ExpressFuelSurcharge),2),ROUND(((1-(OverNightDiscount_21_Up+FedExExrpessEarnedDiscount))*'1Day AM Base'!F96)*(1+ExpressFuelSurcharge),2)))*(1+FedEx_Markup),2)</f>
        <v>340.63</v>
      </c>
      <c r="G99" s="275">
        <f>ROUND((IF(MinBase1AMDay&gt;ROUND(((1-(OverNightDiscount_21_Up+FedExExrpessEarnedDiscount))*'1Day AM Base'!G96),2),ROUND(MinBase1AMDay*(1+ExpressFuelSurcharge),2),ROUND(((1-(OverNightDiscount_21_Up+FedExExrpessEarnedDiscount))*'1Day AM Base'!G96)*(1+ExpressFuelSurcharge),2)))*(1+FedEx_Markup),2)</f>
        <v>397.82</v>
      </c>
      <c r="H99" s="275">
        <f>ROUND((IF(MinBase1AMDay&gt;ROUND(((1-(OverNightDiscount_21_Up+FedExExrpessEarnedDiscount))*'1Day AM Base'!H96),2),ROUND(MinBase1AMDay*(1+ExpressFuelSurcharge),2),ROUND(((1-(OverNightDiscount_21_Up+FedExExrpessEarnedDiscount))*'1Day AM Base'!H96)*(1+ExpressFuelSurcharge),2)))*(1+FedEx_Markup),2)</f>
        <v>405.78</v>
      </c>
    </row>
    <row r="100" ht="13.5" customHeight="1">
      <c r="A100" s="274">
        <v>95.0</v>
      </c>
      <c r="B100" s="275">
        <f>ROUND((IF(MinBase1AMDay&gt;ROUND(((1-(OverNightDiscount_21_Up+FedExExrpessEarnedDiscount))*'1Day AM Base'!B97),2),ROUND(MinBase1AMDay*(1+ExpressFuelSurcharge),2),ROUND(((1-(OverNightDiscount_21_Up+FedExExrpessEarnedDiscount))*'1Day AM Base'!B97)*(1+ExpressFuelSurcharge),2)))*(1+FedEx_Markup),2)</f>
        <v>116.02</v>
      </c>
      <c r="C100" s="275">
        <f>ROUND((IF(MinBase1AMDay&gt;ROUND(((1-(OverNightDiscount_21_Up+FedExExrpessEarnedDiscount))*'1Day AM Base'!C97),2),ROUND(MinBase1AMDay*(1+ExpressFuelSurcharge),2),ROUND(((1-(OverNightDiscount_21_Up+FedExExrpessEarnedDiscount))*'1Day AM Base'!C97)*(1+ExpressFuelSurcharge),2)))*(1+FedEx_Markup),2)</f>
        <v>162.84</v>
      </c>
      <c r="D100" s="275">
        <f>ROUND((IF(MinBase1AMDay&gt;ROUND(((1-(OverNightDiscount_21_Up+FedExExrpessEarnedDiscount))*'1Day AM Base'!D97),2),ROUND(MinBase1AMDay*(1+ExpressFuelSurcharge),2),ROUND(((1-(OverNightDiscount_21_Up+FedExExrpessEarnedDiscount))*'1Day AM Base'!D97)*(1+ExpressFuelSurcharge),2)))*(1+FedEx_Markup),2)</f>
        <v>297.18</v>
      </c>
      <c r="E100" s="275">
        <f>ROUND((IF(MinBase1AMDay&gt;ROUND(((1-(OverNightDiscount_21_Up+FedExExrpessEarnedDiscount))*'1Day AM Base'!E97),2),ROUND(MinBase1AMDay*(1+ExpressFuelSurcharge),2),ROUND(((1-(OverNightDiscount_21_Up+FedExExrpessEarnedDiscount))*'1Day AM Base'!E97)*(1+ExpressFuelSurcharge),2)))*(1+FedEx_Markup),2)</f>
        <v>331.68</v>
      </c>
      <c r="F100" s="275">
        <f>ROUND((IF(MinBase1AMDay&gt;ROUND(((1-(OverNightDiscount_21_Up+FedExExrpessEarnedDiscount))*'1Day AM Base'!F97),2),ROUND(MinBase1AMDay*(1+ExpressFuelSurcharge),2),ROUND(((1-(OverNightDiscount_21_Up+FedExExrpessEarnedDiscount))*'1Day AM Base'!F97)*(1+ExpressFuelSurcharge),2)))*(1+FedEx_Markup),2)</f>
        <v>341.07</v>
      </c>
      <c r="G100" s="275">
        <f>ROUND((IF(MinBase1AMDay&gt;ROUND(((1-(OverNightDiscount_21_Up+FedExExrpessEarnedDiscount))*'1Day AM Base'!G97),2),ROUND(MinBase1AMDay*(1+ExpressFuelSurcharge),2),ROUND(((1-(OverNightDiscount_21_Up+FedExExrpessEarnedDiscount))*'1Day AM Base'!G97)*(1+ExpressFuelSurcharge),2)))*(1+FedEx_Markup),2)</f>
        <v>398.25</v>
      </c>
      <c r="H100" s="275">
        <f>ROUND((IF(MinBase1AMDay&gt;ROUND(((1-(OverNightDiscount_21_Up+FedExExrpessEarnedDiscount))*'1Day AM Base'!H97),2),ROUND(MinBase1AMDay*(1+ExpressFuelSurcharge),2),ROUND(((1-(OverNightDiscount_21_Up+FedExExrpessEarnedDiscount))*'1Day AM Base'!H97)*(1+ExpressFuelSurcharge),2)))*(1+FedEx_Markup),2)</f>
        <v>406.26</v>
      </c>
    </row>
    <row r="101" ht="13.5" customHeight="1">
      <c r="A101" s="274">
        <v>96.0</v>
      </c>
      <c r="B101" s="275">
        <f>ROUND((IF(MinBase1AMDay&gt;ROUND(((1-(OverNightDiscount_21_Up+FedExExrpessEarnedDiscount))*'1Day AM Base'!B98),2),ROUND(MinBase1AMDay*(1+ExpressFuelSurcharge),2),ROUND(((1-(OverNightDiscount_21_Up+FedExExrpessEarnedDiscount))*'1Day AM Base'!B98)*(1+ExpressFuelSurcharge),2)))*(1+FedEx_Markup),2)</f>
        <v>116.35</v>
      </c>
      <c r="C101" s="275">
        <f>ROUND((IF(MinBase1AMDay&gt;ROUND(((1-(OverNightDiscount_21_Up+FedExExrpessEarnedDiscount))*'1Day AM Base'!C98),2),ROUND(MinBase1AMDay*(1+ExpressFuelSurcharge),2),ROUND(((1-(OverNightDiscount_21_Up+FedExExrpessEarnedDiscount))*'1Day AM Base'!C98)*(1+ExpressFuelSurcharge),2)))*(1+FedEx_Markup),2)</f>
        <v>163.16</v>
      </c>
      <c r="D101" s="275">
        <f>ROUND((IF(MinBase1AMDay&gt;ROUND(((1-(OverNightDiscount_21_Up+FedExExrpessEarnedDiscount))*'1Day AM Base'!D98),2),ROUND(MinBase1AMDay*(1+ExpressFuelSurcharge),2),ROUND(((1-(OverNightDiscount_21_Up+FedExExrpessEarnedDiscount))*'1Day AM Base'!D98)*(1+ExpressFuelSurcharge),2)))*(1+FedEx_Markup),2)</f>
        <v>297.51</v>
      </c>
      <c r="E101" s="275">
        <f>ROUND((IF(MinBase1AMDay&gt;ROUND(((1-(OverNightDiscount_21_Up+FedExExrpessEarnedDiscount))*'1Day AM Base'!E98),2),ROUND(MinBase1AMDay*(1+ExpressFuelSurcharge),2),ROUND(((1-(OverNightDiscount_21_Up+FedExExrpessEarnedDiscount))*'1Day AM Base'!E98)*(1+ExpressFuelSurcharge),2)))*(1+FedEx_Markup),2)</f>
        <v>333.9</v>
      </c>
      <c r="F101" s="275">
        <f>ROUND((IF(MinBase1AMDay&gt;ROUND(((1-(OverNightDiscount_21_Up+FedExExrpessEarnedDiscount))*'1Day AM Base'!F98),2),ROUND(MinBase1AMDay*(1+ExpressFuelSurcharge),2),ROUND(((1-(OverNightDiscount_21_Up+FedExExrpessEarnedDiscount))*'1Day AM Base'!F98)*(1+ExpressFuelSurcharge),2)))*(1+FedEx_Markup),2)</f>
        <v>343.6</v>
      </c>
      <c r="G101" s="275">
        <f>ROUND((IF(MinBase1AMDay&gt;ROUND(((1-(OverNightDiscount_21_Up+FedExExrpessEarnedDiscount))*'1Day AM Base'!G98),2),ROUND(MinBase1AMDay*(1+ExpressFuelSurcharge),2),ROUND(((1-(OverNightDiscount_21_Up+FedExExrpessEarnedDiscount))*'1Day AM Base'!G98)*(1+ExpressFuelSurcharge),2)))*(1+FedEx_Markup),2)</f>
        <v>398.66</v>
      </c>
      <c r="H101" s="275">
        <f>ROUND((IF(MinBase1AMDay&gt;ROUND(((1-(OverNightDiscount_21_Up+FedExExrpessEarnedDiscount))*'1Day AM Base'!H98),2),ROUND(MinBase1AMDay*(1+ExpressFuelSurcharge),2),ROUND(((1-(OverNightDiscount_21_Up+FedExExrpessEarnedDiscount))*'1Day AM Base'!H98)*(1+ExpressFuelSurcharge),2)))*(1+FedEx_Markup),2)</f>
        <v>406.7</v>
      </c>
    </row>
    <row r="102" ht="13.5" customHeight="1">
      <c r="A102" s="274">
        <v>97.0</v>
      </c>
      <c r="B102" s="275">
        <f>ROUND((IF(MinBase1AMDay&gt;ROUND(((1-(OverNightDiscount_21_Up+FedExExrpessEarnedDiscount))*'1Day AM Base'!B99),2),ROUND(MinBase1AMDay*(1+ExpressFuelSurcharge),2),ROUND(((1-(OverNightDiscount_21_Up+FedExExrpessEarnedDiscount))*'1Day AM Base'!B99)*(1+ExpressFuelSurcharge),2)))*(1+FedEx_Markup),2)</f>
        <v>116.68</v>
      </c>
      <c r="C102" s="275">
        <f>ROUND((IF(MinBase1AMDay&gt;ROUND(((1-(OverNightDiscount_21_Up+FedExExrpessEarnedDiscount))*'1Day AM Base'!C99),2),ROUND(MinBase1AMDay*(1+ExpressFuelSurcharge),2),ROUND(((1-(OverNightDiscount_21_Up+FedExExrpessEarnedDiscount))*'1Day AM Base'!C99)*(1+ExpressFuelSurcharge),2)))*(1+FedEx_Markup),2)</f>
        <v>163.5</v>
      </c>
      <c r="D102" s="275">
        <f>ROUND((IF(MinBase1AMDay&gt;ROUND(((1-(OverNightDiscount_21_Up+FedExExrpessEarnedDiscount))*'1Day AM Base'!D99),2),ROUND(MinBase1AMDay*(1+ExpressFuelSurcharge),2),ROUND(((1-(OverNightDiscount_21_Up+FedExExrpessEarnedDiscount))*'1Day AM Base'!D99)*(1+ExpressFuelSurcharge),2)))*(1+FedEx_Markup),2)</f>
        <v>297.84</v>
      </c>
      <c r="E102" s="275">
        <f>ROUND((IF(MinBase1AMDay&gt;ROUND(((1-(OverNightDiscount_21_Up+FedExExrpessEarnedDiscount))*'1Day AM Base'!E99),2),ROUND(MinBase1AMDay*(1+ExpressFuelSurcharge),2),ROUND(((1-(OverNightDiscount_21_Up+FedExExrpessEarnedDiscount))*'1Day AM Base'!E99)*(1+ExpressFuelSurcharge),2)))*(1+FedEx_Markup),2)</f>
        <v>336.65</v>
      </c>
      <c r="F102" s="275">
        <f>ROUND((IF(MinBase1AMDay&gt;ROUND(((1-(OverNightDiscount_21_Up+FedExExrpessEarnedDiscount))*'1Day AM Base'!F99),2),ROUND(MinBase1AMDay*(1+ExpressFuelSurcharge),2),ROUND(((1-(OverNightDiscount_21_Up+FedExExrpessEarnedDiscount))*'1Day AM Base'!F99)*(1+ExpressFuelSurcharge),2)))*(1+FedEx_Markup),2)</f>
        <v>347.02</v>
      </c>
      <c r="G102" s="275">
        <f>ROUND((IF(MinBase1AMDay&gt;ROUND(((1-(OverNightDiscount_21_Up+FedExExrpessEarnedDiscount))*'1Day AM Base'!G99),2),ROUND(MinBase1AMDay*(1+ExpressFuelSurcharge),2),ROUND(((1-(OverNightDiscount_21_Up+FedExExrpessEarnedDiscount))*'1Day AM Base'!G99)*(1+ExpressFuelSurcharge),2)))*(1+FedEx_Markup),2)</f>
        <v>399.07</v>
      </c>
      <c r="H102" s="275">
        <f>ROUND((IF(MinBase1AMDay&gt;ROUND(((1-(OverNightDiscount_21_Up+FedExExrpessEarnedDiscount))*'1Day AM Base'!H99),2),ROUND(MinBase1AMDay*(1+ExpressFuelSurcharge),2),ROUND(((1-(OverNightDiscount_21_Up+FedExExrpessEarnedDiscount))*'1Day AM Base'!H99)*(1+ExpressFuelSurcharge),2)))*(1+FedEx_Markup),2)</f>
        <v>407.23</v>
      </c>
    </row>
    <row r="103" ht="13.5" customHeight="1">
      <c r="A103" s="274">
        <v>98.0</v>
      </c>
      <c r="B103" s="275">
        <f>ROUND((IF(MinBase1AMDay&gt;ROUND(((1-(OverNightDiscount_21_Up+FedExExrpessEarnedDiscount))*'1Day AM Base'!B100),2),ROUND(MinBase1AMDay*(1+ExpressFuelSurcharge),2),ROUND(((1-(OverNightDiscount_21_Up+FedExExrpessEarnedDiscount))*'1Day AM Base'!B100)*(1+ExpressFuelSurcharge),2)))*(1+FedEx_Markup),2)</f>
        <v>117</v>
      </c>
      <c r="C103" s="275">
        <f>ROUND((IF(MinBase1AMDay&gt;ROUND(((1-(OverNightDiscount_21_Up+FedExExrpessEarnedDiscount))*'1Day AM Base'!C100),2),ROUND(MinBase1AMDay*(1+ExpressFuelSurcharge),2),ROUND(((1-(OverNightDiscount_21_Up+FedExExrpessEarnedDiscount))*'1Day AM Base'!C100)*(1+ExpressFuelSurcharge),2)))*(1+FedEx_Markup),2)</f>
        <v>163.82</v>
      </c>
      <c r="D103" s="275">
        <f>ROUND((IF(MinBase1AMDay&gt;ROUND(((1-(OverNightDiscount_21_Up+FedExExrpessEarnedDiscount))*'1Day AM Base'!D100),2),ROUND(MinBase1AMDay*(1+ExpressFuelSurcharge),2),ROUND(((1-(OverNightDiscount_21_Up+FedExExrpessEarnedDiscount))*'1Day AM Base'!D100)*(1+ExpressFuelSurcharge),2)))*(1+FedEx_Markup),2)</f>
        <v>298.16</v>
      </c>
      <c r="E103" s="275">
        <f>ROUND((IF(MinBase1AMDay&gt;ROUND(((1-(OverNightDiscount_21_Up+FedExExrpessEarnedDiscount))*'1Day AM Base'!E100),2),ROUND(MinBase1AMDay*(1+ExpressFuelSurcharge),2),ROUND(((1-(OverNightDiscount_21_Up+FedExExrpessEarnedDiscount))*'1Day AM Base'!E100)*(1+ExpressFuelSurcharge),2)))*(1+FedEx_Markup),2)</f>
        <v>337.58</v>
      </c>
      <c r="F103" s="275">
        <f>ROUND((IF(MinBase1AMDay&gt;ROUND(((1-(OverNightDiscount_21_Up+FedExExrpessEarnedDiscount))*'1Day AM Base'!F100),2),ROUND(MinBase1AMDay*(1+ExpressFuelSurcharge),2),ROUND(((1-(OverNightDiscount_21_Up+FedExExrpessEarnedDiscount))*'1Day AM Base'!F100)*(1+ExpressFuelSurcharge),2)))*(1+FedEx_Markup),2)</f>
        <v>349.12</v>
      </c>
      <c r="G103" s="275">
        <f>ROUND((IF(MinBase1AMDay&gt;ROUND(((1-(OverNightDiscount_21_Up+FedExExrpessEarnedDiscount))*'1Day AM Base'!G100),2),ROUND(MinBase1AMDay*(1+ExpressFuelSurcharge),2),ROUND(((1-(OverNightDiscount_21_Up+FedExExrpessEarnedDiscount))*'1Day AM Base'!G100)*(1+ExpressFuelSurcharge),2)))*(1+FedEx_Markup),2)</f>
        <v>400.03</v>
      </c>
      <c r="H103" s="275">
        <f>ROUND((IF(MinBase1AMDay&gt;ROUND(((1-(OverNightDiscount_21_Up+FedExExrpessEarnedDiscount))*'1Day AM Base'!H100),2),ROUND(MinBase1AMDay*(1+ExpressFuelSurcharge),2),ROUND(((1-(OverNightDiscount_21_Up+FedExExrpessEarnedDiscount))*'1Day AM Base'!H100)*(1+ExpressFuelSurcharge),2)))*(1+FedEx_Markup),2)</f>
        <v>408.19</v>
      </c>
    </row>
    <row r="104" ht="13.5" customHeight="1">
      <c r="A104" s="274">
        <v>99.0</v>
      </c>
      <c r="B104" s="275">
        <f>ROUND((IF(MinBase1AMDay&gt;ROUND(((1-(OverNightDiscount_21_Up+FedExExrpessEarnedDiscount))*'1Day AM Base'!B101),2),ROUND(MinBase1AMDay*(1+ExpressFuelSurcharge),2),ROUND(((1-(OverNightDiscount_21_Up+FedExExrpessEarnedDiscount))*'1Day AM Base'!B101)*(1+ExpressFuelSurcharge),2)))*(1+FedEx_Markup),2)</f>
        <v>117.32</v>
      </c>
      <c r="C104" s="275">
        <f>ROUND((IF(MinBase1AMDay&gt;ROUND(((1-(OverNightDiscount_21_Up+FedExExrpessEarnedDiscount))*'1Day AM Base'!C101),2),ROUND(MinBase1AMDay*(1+ExpressFuelSurcharge),2),ROUND(((1-(OverNightDiscount_21_Up+FedExExrpessEarnedDiscount))*'1Day AM Base'!C101)*(1+ExpressFuelSurcharge),2)))*(1+FedEx_Markup),2)</f>
        <v>164.14</v>
      </c>
      <c r="D104" s="275">
        <f>ROUND((IF(MinBase1AMDay&gt;ROUND(((1-(OverNightDiscount_21_Up+FedExExrpessEarnedDiscount))*'1Day AM Base'!D101),2),ROUND(MinBase1AMDay*(1+ExpressFuelSurcharge),2),ROUND(((1-(OverNightDiscount_21_Up+FedExExrpessEarnedDiscount))*'1Day AM Base'!D101)*(1+ExpressFuelSurcharge),2)))*(1+FedEx_Markup),2)</f>
        <v>298.48</v>
      </c>
      <c r="E104" s="275">
        <f>ROUND((IF(MinBase1AMDay&gt;ROUND(((1-(OverNightDiscount_21_Up+FedExExrpessEarnedDiscount))*'1Day AM Base'!E101),2),ROUND(MinBase1AMDay*(1+ExpressFuelSurcharge),2),ROUND(((1-(OverNightDiscount_21_Up+FedExExrpessEarnedDiscount))*'1Day AM Base'!E101)*(1+ExpressFuelSurcharge),2)))*(1+FedEx_Markup),2)</f>
        <v>354.55</v>
      </c>
      <c r="F104" s="275">
        <f>ROUND((IF(MinBase1AMDay&gt;ROUND(((1-(OverNightDiscount_21_Up+FedExExrpessEarnedDiscount))*'1Day AM Base'!F101),2),ROUND(MinBase1AMDay*(1+ExpressFuelSurcharge),2),ROUND(((1-(OverNightDiscount_21_Up+FedExExrpessEarnedDiscount))*'1Day AM Base'!F101)*(1+ExpressFuelSurcharge),2)))*(1+FedEx_Markup),2)</f>
        <v>362.6</v>
      </c>
      <c r="G104" s="275">
        <f>ROUND((IF(MinBase1AMDay&gt;ROUND(((1-(OverNightDiscount_21_Up+FedExExrpessEarnedDiscount))*'1Day AM Base'!G101),2),ROUND(MinBase1AMDay*(1+ExpressFuelSurcharge),2),ROUND(((1-(OverNightDiscount_21_Up+FedExExrpessEarnedDiscount))*'1Day AM Base'!G101)*(1+ExpressFuelSurcharge),2)))*(1+FedEx_Markup),2)</f>
        <v>419.03</v>
      </c>
      <c r="H104" s="275">
        <f>ROUND((IF(MinBase1AMDay&gt;ROUND(((1-(OverNightDiscount_21_Up+FedExExrpessEarnedDiscount))*'1Day AM Base'!H101),2),ROUND(MinBase1AMDay*(1+ExpressFuelSurcharge),2),ROUND(((1-(OverNightDiscount_21_Up+FedExExrpessEarnedDiscount))*'1Day AM Base'!H101)*(1+ExpressFuelSurcharge),2)))*(1+FedEx_Markup),2)</f>
        <v>427.41</v>
      </c>
    </row>
    <row r="105" ht="13.5" customHeight="1">
      <c r="A105" s="274">
        <v>100.0</v>
      </c>
      <c r="B105" s="275">
        <f>ROUND((IF(MinBase1AMDay&gt;ROUND(((1-(OverNightDiscount_21_Up+FedExExrpessEarnedDiscount))*'1Day AM Base'!B102),2),ROUND(MinBase1AMDay*(1+ExpressFuelSurcharge),2),ROUND(((1-(OverNightDiscount_21_Up+FedExExrpessEarnedDiscount))*'1Day AM Base'!B102)*(1+ExpressFuelSurcharge),2)))*(1+FedEx_Markup),2)</f>
        <v>117.66</v>
      </c>
      <c r="C105" s="275">
        <f>ROUND((IF(MinBase1AMDay&gt;ROUND(((1-(OverNightDiscount_21_Up+FedExExrpessEarnedDiscount))*'1Day AM Base'!C102),2),ROUND(MinBase1AMDay*(1+ExpressFuelSurcharge),2),ROUND(((1-(OverNightDiscount_21_Up+FedExExrpessEarnedDiscount))*'1Day AM Base'!C102)*(1+ExpressFuelSurcharge),2)))*(1+FedEx_Markup),2)</f>
        <v>164.47</v>
      </c>
      <c r="D105" s="275">
        <f>ROUND((IF(MinBase1AMDay&gt;ROUND(((1-(OverNightDiscount_21_Up+FedExExrpessEarnedDiscount))*'1Day AM Base'!D102),2),ROUND(MinBase1AMDay*(1+ExpressFuelSurcharge),2),ROUND(((1-(OverNightDiscount_21_Up+FedExExrpessEarnedDiscount))*'1Day AM Base'!D102)*(1+ExpressFuelSurcharge),2)))*(1+FedEx_Markup),2)</f>
        <v>298.82</v>
      </c>
      <c r="E105" s="275">
        <f>ROUND((IF(MinBase1AMDay&gt;ROUND(((1-(OverNightDiscount_21_Up+FedExExrpessEarnedDiscount))*'1Day AM Base'!E102),2),ROUND(MinBase1AMDay*(1+ExpressFuelSurcharge),2),ROUND(((1-(OverNightDiscount_21_Up+FedExExrpessEarnedDiscount))*'1Day AM Base'!E102)*(1+ExpressFuelSurcharge),2)))*(1+FedEx_Markup),2)</f>
        <v>356.62</v>
      </c>
      <c r="F105" s="275">
        <f>ROUND((IF(MinBase1AMDay&gt;ROUND(((1-(OverNightDiscount_21_Up+FedExExrpessEarnedDiscount))*'1Day AM Base'!F102),2),ROUND(MinBase1AMDay*(1+ExpressFuelSurcharge),2),ROUND(((1-(OverNightDiscount_21_Up+FedExExrpessEarnedDiscount))*'1Day AM Base'!F102)*(1+ExpressFuelSurcharge),2)))*(1+FedEx_Markup),2)</f>
        <v>363.95</v>
      </c>
      <c r="G105" s="275">
        <f>ROUND((IF(MinBase1AMDay&gt;ROUND(((1-(OverNightDiscount_21_Up+FedExExrpessEarnedDiscount))*'1Day AM Base'!G102),2),ROUND(MinBase1AMDay*(1+ExpressFuelSurcharge),2),ROUND(((1-(OverNightDiscount_21_Up+FedExExrpessEarnedDiscount))*'1Day AM Base'!G102)*(1+ExpressFuelSurcharge),2)))*(1+FedEx_Markup),2)</f>
        <v>445.77</v>
      </c>
      <c r="H105" s="275">
        <f>ROUND((IF(MinBase1AMDay&gt;ROUND(((1-(OverNightDiscount_21_Up+FedExExrpessEarnedDiscount))*'1Day AM Base'!H102),2),ROUND(MinBase1AMDay*(1+ExpressFuelSurcharge),2),ROUND(((1-(OverNightDiscount_21_Up+FedExExrpessEarnedDiscount))*'1Day AM Base'!H102)*(1+ExpressFuelSurcharge),2)))*(1+FedEx_Markup),2)</f>
        <v>474.67</v>
      </c>
    </row>
    <row r="106" ht="13.5" customHeight="1">
      <c r="A106" s="274">
        <v>101.0</v>
      </c>
      <c r="B106" s="275">
        <f>ROUND((IF(MinBase1AMDay&gt;ROUND(((1-(OverNightDiscount_21_Up+FedExExrpessEarnedDiscount))*'1Day AM Base'!B103),2),ROUND(MinBase1AMDay*(1+ExpressFuelSurcharge),2),ROUND(((1-(OverNightDiscount_21_Up+FedExExrpessEarnedDiscount))*'1Day AM Base'!B103)*(1+ExpressFuelSurcharge),2)))*(1+FedEx_Markup),2)</f>
        <v>118.83</v>
      </c>
      <c r="C106" s="275">
        <f>ROUND((IF(MinBase1AMDay&gt;ROUND(((1-(OverNightDiscount_21_Up+FedExExrpessEarnedDiscount))*'1Day AM Base'!C103),2),ROUND(MinBase1AMDay*(1+ExpressFuelSurcharge),2),ROUND(((1-(OverNightDiscount_21_Up+FedExExrpessEarnedDiscount))*'1Day AM Base'!C103)*(1+ExpressFuelSurcharge),2)))*(1+FedEx_Markup),2)</f>
        <v>166.12</v>
      </c>
      <c r="D106" s="275">
        <f>ROUND((IF(MinBase1AMDay&gt;ROUND(((1-(OverNightDiscount_21_Up+FedExExrpessEarnedDiscount))*'1Day AM Base'!D103),2),ROUND(MinBase1AMDay*(1+ExpressFuelSurcharge),2),ROUND(((1-(OverNightDiscount_21_Up+FedExExrpessEarnedDiscount))*'1Day AM Base'!D103)*(1+ExpressFuelSurcharge),2)))*(1+FedEx_Markup),2)</f>
        <v>301.79</v>
      </c>
      <c r="E106" s="275">
        <f>ROUND((IF(MinBase1AMDay&gt;ROUND(((1-(OverNightDiscount_21_Up+FedExExrpessEarnedDiscount))*'1Day AM Base'!E103),2),ROUND(MinBase1AMDay*(1+ExpressFuelSurcharge),2),ROUND(((1-(OverNightDiscount_21_Up+FedExExrpessEarnedDiscount))*'1Day AM Base'!E103)*(1+ExpressFuelSurcharge),2)))*(1+FedEx_Markup),2)</f>
        <v>360.19</v>
      </c>
      <c r="F106" s="275">
        <f>ROUND((IF(MinBase1AMDay&gt;ROUND(((1-(OverNightDiscount_21_Up+FedExExrpessEarnedDiscount))*'1Day AM Base'!F103),2),ROUND(MinBase1AMDay*(1+ExpressFuelSurcharge),2),ROUND(((1-(OverNightDiscount_21_Up+FedExExrpessEarnedDiscount))*'1Day AM Base'!F103)*(1+ExpressFuelSurcharge),2)))*(1+FedEx_Markup),2)</f>
        <v>367.59</v>
      </c>
      <c r="G106" s="275">
        <f>ROUND((IF(MinBase1AMDay&gt;ROUND(((1-(OverNightDiscount_21_Up+FedExExrpessEarnedDiscount))*'1Day AM Base'!G103),2),ROUND(MinBase1AMDay*(1+ExpressFuelSurcharge),2),ROUND(((1-(OverNightDiscount_21_Up+FedExExrpessEarnedDiscount))*'1Day AM Base'!G103)*(1+ExpressFuelSurcharge),2)))*(1+FedEx_Markup),2)</f>
        <v>450.24</v>
      </c>
      <c r="H106" s="275">
        <f>ROUND((IF(MinBase1AMDay&gt;ROUND(((1-(OverNightDiscount_21_Up+FedExExrpessEarnedDiscount))*'1Day AM Base'!H103),2),ROUND(MinBase1AMDay*(1+ExpressFuelSurcharge),2),ROUND(((1-(OverNightDiscount_21_Up+FedExExrpessEarnedDiscount))*'1Day AM Base'!H103)*(1+ExpressFuelSurcharge),2)))*(1+FedEx_Markup),2)</f>
        <v>479.42</v>
      </c>
    </row>
    <row r="107" ht="13.5" customHeight="1">
      <c r="A107" s="274">
        <v>102.0</v>
      </c>
      <c r="B107" s="275">
        <f>ROUND((IF(MinBase1AMDay&gt;ROUND(((1-(OverNightDiscount_21_Up+FedExExrpessEarnedDiscount))*'1Day AM Base'!B104),2),ROUND(MinBase1AMDay*(1+ExpressFuelSurcharge),2),ROUND(((1-(OverNightDiscount_21_Up+FedExExrpessEarnedDiscount))*'1Day AM Base'!B104)*(1+ExpressFuelSurcharge),2)))*(1+FedEx_Markup),2)</f>
        <v>120</v>
      </c>
      <c r="C107" s="275">
        <f>ROUND((IF(MinBase1AMDay&gt;ROUND(((1-(OverNightDiscount_21_Up+FedExExrpessEarnedDiscount))*'1Day AM Base'!C104),2),ROUND(MinBase1AMDay*(1+ExpressFuelSurcharge),2),ROUND(((1-(OverNightDiscount_21_Up+FedExExrpessEarnedDiscount))*'1Day AM Base'!C104)*(1+ExpressFuelSurcharge),2)))*(1+FedEx_Markup),2)</f>
        <v>167.76</v>
      </c>
      <c r="D107" s="275">
        <f>ROUND((IF(MinBase1AMDay&gt;ROUND(((1-(OverNightDiscount_21_Up+FedExExrpessEarnedDiscount))*'1Day AM Base'!D104),2),ROUND(MinBase1AMDay*(1+ExpressFuelSurcharge),2),ROUND(((1-(OverNightDiscount_21_Up+FedExExrpessEarnedDiscount))*'1Day AM Base'!D104)*(1+ExpressFuelSurcharge),2)))*(1+FedEx_Markup),2)</f>
        <v>304.78</v>
      </c>
      <c r="E107" s="275">
        <f>ROUND((IF(MinBase1AMDay&gt;ROUND(((1-(OverNightDiscount_21_Up+FedExExrpessEarnedDiscount))*'1Day AM Base'!E104),2),ROUND(MinBase1AMDay*(1+ExpressFuelSurcharge),2),ROUND(((1-(OverNightDiscount_21_Up+FedExExrpessEarnedDiscount))*'1Day AM Base'!E104)*(1+ExpressFuelSurcharge),2)))*(1+FedEx_Markup),2)</f>
        <v>363.76</v>
      </c>
      <c r="F107" s="275">
        <f>ROUND((IF(MinBase1AMDay&gt;ROUND(((1-(OverNightDiscount_21_Up+FedExExrpessEarnedDiscount))*'1Day AM Base'!F104),2),ROUND(MinBase1AMDay*(1+ExpressFuelSurcharge),2),ROUND(((1-(OverNightDiscount_21_Up+FedExExrpessEarnedDiscount))*'1Day AM Base'!F104)*(1+ExpressFuelSurcharge),2)))*(1+FedEx_Markup),2)</f>
        <v>371.23</v>
      </c>
      <c r="G107" s="275">
        <f>ROUND((IF(MinBase1AMDay&gt;ROUND(((1-(OverNightDiscount_21_Up+FedExExrpessEarnedDiscount))*'1Day AM Base'!G104),2),ROUND(MinBase1AMDay*(1+ExpressFuelSurcharge),2),ROUND(((1-(OverNightDiscount_21_Up+FedExExrpessEarnedDiscount))*'1Day AM Base'!G104)*(1+ExpressFuelSurcharge),2)))*(1+FedEx_Markup),2)</f>
        <v>454.69</v>
      </c>
      <c r="H107" s="275">
        <f>ROUND((IF(MinBase1AMDay&gt;ROUND(((1-(OverNightDiscount_21_Up+FedExExrpessEarnedDiscount))*'1Day AM Base'!H104),2),ROUND(MinBase1AMDay*(1+ExpressFuelSurcharge),2),ROUND(((1-(OverNightDiscount_21_Up+FedExExrpessEarnedDiscount))*'1Day AM Base'!H104)*(1+ExpressFuelSurcharge),2)))*(1+FedEx_Markup),2)</f>
        <v>484.17</v>
      </c>
    </row>
    <row r="108" ht="13.5" customHeight="1">
      <c r="A108" s="274">
        <v>103.0</v>
      </c>
      <c r="B108" s="275">
        <f>ROUND((IF(MinBase1AMDay&gt;ROUND(((1-(OverNightDiscount_21_Up+FedExExrpessEarnedDiscount))*'1Day AM Base'!B105),2),ROUND(MinBase1AMDay*(1+ExpressFuelSurcharge),2),ROUND(((1-(OverNightDiscount_21_Up+FedExExrpessEarnedDiscount))*'1Day AM Base'!B105)*(1+ExpressFuelSurcharge),2)))*(1+FedEx_Markup),2)</f>
        <v>121.19</v>
      </c>
      <c r="C108" s="275">
        <f>ROUND((IF(MinBase1AMDay&gt;ROUND(((1-(OverNightDiscount_21_Up+FedExExrpessEarnedDiscount))*'1Day AM Base'!C105),2),ROUND(MinBase1AMDay*(1+ExpressFuelSurcharge),2),ROUND(((1-(OverNightDiscount_21_Up+FedExExrpessEarnedDiscount))*'1Day AM Base'!C105)*(1+ExpressFuelSurcharge),2)))*(1+FedEx_Markup),2)</f>
        <v>169.41</v>
      </c>
      <c r="D108" s="275">
        <f>ROUND((IF(MinBase1AMDay&gt;ROUND(((1-(OverNightDiscount_21_Up+FedExExrpessEarnedDiscount))*'1Day AM Base'!D105),2),ROUND(MinBase1AMDay*(1+ExpressFuelSurcharge),2),ROUND(((1-(OverNightDiscount_21_Up+FedExExrpessEarnedDiscount))*'1Day AM Base'!D105)*(1+ExpressFuelSurcharge),2)))*(1+FedEx_Markup),2)</f>
        <v>307.77</v>
      </c>
      <c r="E108" s="275">
        <f>ROUND((IF(MinBase1AMDay&gt;ROUND(((1-(OverNightDiscount_21_Up+FedExExrpessEarnedDiscount))*'1Day AM Base'!E105),2),ROUND(MinBase1AMDay*(1+ExpressFuelSurcharge),2),ROUND(((1-(OverNightDiscount_21_Up+FedExExrpessEarnedDiscount))*'1Day AM Base'!E105)*(1+ExpressFuelSurcharge),2)))*(1+FedEx_Markup),2)</f>
        <v>367.32</v>
      </c>
      <c r="F108" s="275">
        <f>ROUND((IF(MinBase1AMDay&gt;ROUND(((1-(OverNightDiscount_21_Up+FedExExrpessEarnedDiscount))*'1Day AM Base'!F105),2),ROUND(MinBase1AMDay*(1+ExpressFuelSurcharge),2),ROUND(((1-(OverNightDiscount_21_Up+FedExExrpessEarnedDiscount))*'1Day AM Base'!F105)*(1+ExpressFuelSurcharge),2)))*(1+FedEx_Markup),2)</f>
        <v>374.87</v>
      </c>
      <c r="G108" s="275">
        <f>ROUND((IF(MinBase1AMDay&gt;ROUND(((1-(OverNightDiscount_21_Up+FedExExrpessEarnedDiscount))*'1Day AM Base'!G105),2),ROUND(MinBase1AMDay*(1+ExpressFuelSurcharge),2),ROUND(((1-(OverNightDiscount_21_Up+FedExExrpessEarnedDiscount))*'1Day AM Base'!G105)*(1+ExpressFuelSurcharge),2)))*(1+FedEx_Markup),2)</f>
        <v>459.15</v>
      </c>
      <c r="H108" s="275">
        <f>ROUND((IF(MinBase1AMDay&gt;ROUND(((1-(OverNightDiscount_21_Up+FedExExrpessEarnedDiscount))*'1Day AM Base'!H105),2),ROUND(MinBase1AMDay*(1+ExpressFuelSurcharge),2),ROUND(((1-(OverNightDiscount_21_Up+FedExExrpessEarnedDiscount))*'1Day AM Base'!H105)*(1+ExpressFuelSurcharge),2)))*(1+FedEx_Markup),2)</f>
        <v>488.92</v>
      </c>
    </row>
    <row r="109" ht="13.5" customHeight="1">
      <c r="A109" s="274">
        <v>104.0</v>
      </c>
      <c r="B109" s="275">
        <f>ROUND((IF(MinBase1AMDay&gt;ROUND(((1-(OverNightDiscount_21_Up+FedExExrpessEarnedDiscount))*'1Day AM Base'!B106),2),ROUND(MinBase1AMDay*(1+ExpressFuelSurcharge),2),ROUND(((1-(OverNightDiscount_21_Up+FedExExrpessEarnedDiscount))*'1Day AM Base'!B106)*(1+ExpressFuelSurcharge),2)))*(1+FedEx_Markup),2)</f>
        <v>122.36</v>
      </c>
      <c r="C109" s="275">
        <f>ROUND((IF(MinBase1AMDay&gt;ROUND(((1-(OverNightDiscount_21_Up+FedExExrpessEarnedDiscount))*'1Day AM Base'!C106),2),ROUND(MinBase1AMDay*(1+ExpressFuelSurcharge),2),ROUND(((1-(OverNightDiscount_21_Up+FedExExrpessEarnedDiscount))*'1Day AM Base'!C106)*(1+ExpressFuelSurcharge),2)))*(1+FedEx_Markup),2)</f>
        <v>171.05</v>
      </c>
      <c r="D109" s="275">
        <f>ROUND((IF(MinBase1AMDay&gt;ROUND(((1-(OverNightDiscount_21_Up+FedExExrpessEarnedDiscount))*'1Day AM Base'!D106),2),ROUND(MinBase1AMDay*(1+ExpressFuelSurcharge),2),ROUND(((1-(OverNightDiscount_21_Up+FedExExrpessEarnedDiscount))*'1Day AM Base'!D106)*(1+ExpressFuelSurcharge),2)))*(1+FedEx_Markup),2)</f>
        <v>310.76</v>
      </c>
      <c r="E109" s="275">
        <f>ROUND((IF(MinBase1AMDay&gt;ROUND(((1-(OverNightDiscount_21_Up+FedExExrpessEarnedDiscount))*'1Day AM Base'!E106),2),ROUND(MinBase1AMDay*(1+ExpressFuelSurcharge),2),ROUND(((1-(OverNightDiscount_21_Up+FedExExrpessEarnedDiscount))*'1Day AM Base'!E106)*(1+ExpressFuelSurcharge),2)))*(1+FedEx_Markup),2)</f>
        <v>370.89</v>
      </c>
      <c r="F109" s="275">
        <f>ROUND((IF(MinBase1AMDay&gt;ROUND(((1-(OverNightDiscount_21_Up+FedExExrpessEarnedDiscount))*'1Day AM Base'!F106),2),ROUND(MinBase1AMDay*(1+ExpressFuelSurcharge),2),ROUND(((1-(OverNightDiscount_21_Up+FedExExrpessEarnedDiscount))*'1Day AM Base'!F106)*(1+ExpressFuelSurcharge),2)))*(1+FedEx_Markup),2)</f>
        <v>378.51</v>
      </c>
      <c r="G109" s="275">
        <f>ROUND((IF(MinBase1AMDay&gt;ROUND(((1-(OverNightDiscount_21_Up+FedExExrpessEarnedDiscount))*'1Day AM Base'!G106),2),ROUND(MinBase1AMDay*(1+ExpressFuelSurcharge),2),ROUND(((1-(OverNightDiscount_21_Up+FedExExrpessEarnedDiscount))*'1Day AM Base'!G106)*(1+ExpressFuelSurcharge),2)))*(1+FedEx_Markup),2)</f>
        <v>463.61</v>
      </c>
      <c r="H109" s="275">
        <f>ROUND((IF(MinBase1AMDay&gt;ROUND(((1-(OverNightDiscount_21_Up+FedExExrpessEarnedDiscount))*'1Day AM Base'!H106),2),ROUND(MinBase1AMDay*(1+ExpressFuelSurcharge),2),ROUND(((1-(OverNightDiscount_21_Up+FedExExrpessEarnedDiscount))*'1Day AM Base'!H106)*(1+ExpressFuelSurcharge),2)))*(1+FedEx_Markup),2)</f>
        <v>493.66</v>
      </c>
    </row>
    <row r="110" ht="12.75" customHeight="1">
      <c r="A110" s="274">
        <v>105.0</v>
      </c>
      <c r="B110" s="275">
        <f>ROUND((IF(MinBase1AMDay&gt;ROUND(((1-(OverNightDiscount_21_Up+FedExExrpessEarnedDiscount))*'1Day AM Base'!B107),2),ROUND(MinBase1AMDay*(1+ExpressFuelSurcharge),2),ROUND(((1-(OverNightDiscount_21_Up+FedExExrpessEarnedDiscount))*'1Day AM Base'!B107)*(1+ExpressFuelSurcharge),2)))*(1+FedEx_Markup),2)</f>
        <v>123.53</v>
      </c>
      <c r="C110" s="275">
        <f>ROUND((IF(MinBase1AMDay&gt;ROUND(((1-(OverNightDiscount_21_Up+FedExExrpessEarnedDiscount))*'1Day AM Base'!C107),2),ROUND(MinBase1AMDay*(1+ExpressFuelSurcharge),2),ROUND(((1-(OverNightDiscount_21_Up+FedExExrpessEarnedDiscount))*'1Day AM Base'!C107)*(1+ExpressFuelSurcharge),2)))*(1+FedEx_Markup),2)</f>
        <v>172.7</v>
      </c>
      <c r="D110" s="275">
        <f>ROUND((IF(MinBase1AMDay&gt;ROUND(((1-(OverNightDiscount_21_Up+FedExExrpessEarnedDiscount))*'1Day AM Base'!D107),2),ROUND(MinBase1AMDay*(1+ExpressFuelSurcharge),2),ROUND(((1-(OverNightDiscount_21_Up+FedExExrpessEarnedDiscount))*'1Day AM Base'!D107)*(1+ExpressFuelSurcharge),2)))*(1+FedEx_Markup),2)</f>
        <v>313.75</v>
      </c>
      <c r="E110" s="275">
        <f>ROUND((IF(MinBase1AMDay&gt;ROUND(((1-(OverNightDiscount_21_Up+FedExExrpessEarnedDiscount))*'1Day AM Base'!E107),2),ROUND(MinBase1AMDay*(1+ExpressFuelSurcharge),2),ROUND(((1-(OverNightDiscount_21_Up+FedExExrpessEarnedDiscount))*'1Day AM Base'!E107)*(1+ExpressFuelSurcharge),2)))*(1+FedEx_Markup),2)</f>
        <v>374.45</v>
      </c>
      <c r="F110" s="275">
        <f>ROUND((IF(MinBase1AMDay&gt;ROUND(((1-(OverNightDiscount_21_Up+FedExExrpessEarnedDiscount))*'1Day AM Base'!F107),2),ROUND(MinBase1AMDay*(1+ExpressFuelSurcharge),2),ROUND(((1-(OverNightDiscount_21_Up+FedExExrpessEarnedDiscount))*'1Day AM Base'!F107)*(1+ExpressFuelSurcharge),2)))*(1+FedEx_Markup),2)</f>
        <v>382.15</v>
      </c>
      <c r="G110" s="275">
        <f>ROUND((IF(MinBase1AMDay&gt;ROUND(((1-(OverNightDiscount_21_Up+FedExExrpessEarnedDiscount))*'1Day AM Base'!G107),2),ROUND(MinBase1AMDay*(1+ExpressFuelSurcharge),2),ROUND(((1-(OverNightDiscount_21_Up+FedExExrpessEarnedDiscount))*'1Day AM Base'!G107)*(1+ExpressFuelSurcharge),2)))*(1+FedEx_Markup),2)</f>
        <v>468.06</v>
      </c>
      <c r="H110" s="275">
        <f>ROUND((IF(MinBase1AMDay&gt;ROUND(((1-(OverNightDiscount_21_Up+FedExExrpessEarnedDiscount))*'1Day AM Base'!H107),2),ROUND(MinBase1AMDay*(1+ExpressFuelSurcharge),2),ROUND(((1-(OverNightDiscount_21_Up+FedExExrpessEarnedDiscount))*'1Day AM Base'!H107)*(1+ExpressFuelSurcharge),2)))*(1+FedEx_Markup),2)</f>
        <v>498.41</v>
      </c>
    </row>
    <row r="111" ht="12.75" customHeight="1">
      <c r="A111" s="274">
        <v>106.0</v>
      </c>
      <c r="B111" s="275">
        <f>ROUND((IF(MinBase1AMDay&gt;ROUND(((1-(OverNightDiscount_21_Up+FedExExrpessEarnedDiscount))*'1Day AM Base'!B108),2),ROUND(MinBase1AMDay*(1+ExpressFuelSurcharge),2),ROUND(((1-(OverNightDiscount_21_Up+FedExExrpessEarnedDiscount))*'1Day AM Base'!B108)*(1+ExpressFuelSurcharge),2)))*(1+FedEx_Markup),2)</f>
        <v>124.71</v>
      </c>
      <c r="C111" s="275">
        <f>ROUND((IF(MinBase1AMDay&gt;ROUND(((1-(OverNightDiscount_21_Up+FedExExrpessEarnedDiscount))*'1Day AM Base'!C108),2),ROUND(MinBase1AMDay*(1+ExpressFuelSurcharge),2),ROUND(((1-(OverNightDiscount_21_Up+FedExExrpessEarnedDiscount))*'1Day AM Base'!C108)*(1+ExpressFuelSurcharge),2)))*(1+FedEx_Markup),2)</f>
        <v>174.34</v>
      </c>
      <c r="D111" s="275">
        <f>ROUND((IF(MinBase1AMDay&gt;ROUND(((1-(OverNightDiscount_21_Up+FedExExrpessEarnedDiscount))*'1Day AM Base'!D108),2),ROUND(MinBase1AMDay*(1+ExpressFuelSurcharge),2),ROUND(((1-(OverNightDiscount_21_Up+FedExExrpessEarnedDiscount))*'1Day AM Base'!D108)*(1+ExpressFuelSurcharge),2)))*(1+FedEx_Markup),2)</f>
        <v>316.74</v>
      </c>
      <c r="E111" s="275">
        <f>ROUND((IF(MinBase1AMDay&gt;ROUND(((1-(OverNightDiscount_21_Up+FedExExrpessEarnedDiscount))*'1Day AM Base'!E108),2),ROUND(MinBase1AMDay*(1+ExpressFuelSurcharge),2),ROUND(((1-(OverNightDiscount_21_Up+FedExExrpessEarnedDiscount))*'1Day AM Base'!E108)*(1+ExpressFuelSurcharge),2)))*(1+FedEx_Markup),2)</f>
        <v>378.02</v>
      </c>
      <c r="F111" s="275">
        <f>ROUND((IF(MinBase1AMDay&gt;ROUND(((1-(OverNightDiscount_21_Up+FedExExrpessEarnedDiscount))*'1Day AM Base'!F108),2),ROUND(MinBase1AMDay*(1+ExpressFuelSurcharge),2),ROUND(((1-(OverNightDiscount_21_Up+FedExExrpessEarnedDiscount))*'1Day AM Base'!F108)*(1+ExpressFuelSurcharge),2)))*(1+FedEx_Markup),2)</f>
        <v>385.78</v>
      </c>
      <c r="G111" s="275">
        <f>ROUND((IF(MinBase1AMDay&gt;ROUND(((1-(OverNightDiscount_21_Up+FedExExrpessEarnedDiscount))*'1Day AM Base'!G108),2),ROUND(MinBase1AMDay*(1+ExpressFuelSurcharge),2),ROUND(((1-(OverNightDiscount_21_Up+FedExExrpessEarnedDiscount))*'1Day AM Base'!G108)*(1+ExpressFuelSurcharge),2)))*(1+FedEx_Markup),2)</f>
        <v>472.52</v>
      </c>
      <c r="H111" s="275">
        <f>ROUND((IF(MinBase1AMDay&gt;ROUND(((1-(OverNightDiscount_21_Up+FedExExrpessEarnedDiscount))*'1Day AM Base'!H108),2),ROUND(MinBase1AMDay*(1+ExpressFuelSurcharge),2),ROUND(((1-(OverNightDiscount_21_Up+FedExExrpessEarnedDiscount))*'1Day AM Base'!H108)*(1+ExpressFuelSurcharge),2)))*(1+FedEx_Markup),2)</f>
        <v>503.16</v>
      </c>
    </row>
    <row r="112" ht="12.75" customHeight="1">
      <c r="A112" s="274">
        <v>107.0</v>
      </c>
      <c r="B112" s="275">
        <f>ROUND((IF(MinBase1AMDay&gt;ROUND(((1-(OverNightDiscount_21_Up+FedExExrpessEarnedDiscount))*'1Day AM Base'!B109),2),ROUND(MinBase1AMDay*(1+ExpressFuelSurcharge),2),ROUND(((1-(OverNightDiscount_21_Up+FedExExrpessEarnedDiscount))*'1Day AM Base'!B109)*(1+ExpressFuelSurcharge),2)))*(1+FedEx_Markup),2)</f>
        <v>125.89</v>
      </c>
      <c r="C112" s="275">
        <f>ROUND((IF(MinBase1AMDay&gt;ROUND(((1-(OverNightDiscount_21_Up+FedExExrpessEarnedDiscount))*'1Day AM Base'!C109),2),ROUND(MinBase1AMDay*(1+ExpressFuelSurcharge),2),ROUND(((1-(OverNightDiscount_21_Up+FedExExrpessEarnedDiscount))*'1Day AM Base'!C109)*(1+ExpressFuelSurcharge),2)))*(1+FedEx_Markup),2)</f>
        <v>175.98</v>
      </c>
      <c r="D112" s="275">
        <f>ROUND((IF(MinBase1AMDay&gt;ROUND(((1-(OverNightDiscount_21_Up+FedExExrpessEarnedDiscount))*'1Day AM Base'!D109),2),ROUND(MinBase1AMDay*(1+ExpressFuelSurcharge),2),ROUND(((1-(OverNightDiscount_21_Up+FedExExrpessEarnedDiscount))*'1Day AM Base'!D109)*(1+ExpressFuelSurcharge),2)))*(1+FedEx_Markup),2)</f>
        <v>319.72</v>
      </c>
      <c r="E112" s="275">
        <f>ROUND((IF(MinBase1AMDay&gt;ROUND(((1-(OverNightDiscount_21_Up+FedExExrpessEarnedDiscount))*'1Day AM Base'!E109),2),ROUND(MinBase1AMDay*(1+ExpressFuelSurcharge),2),ROUND(((1-(OverNightDiscount_21_Up+FedExExrpessEarnedDiscount))*'1Day AM Base'!E109)*(1+ExpressFuelSurcharge),2)))*(1+FedEx_Markup),2)</f>
        <v>381.58</v>
      </c>
      <c r="F112" s="275">
        <f>ROUND((IF(MinBase1AMDay&gt;ROUND(((1-(OverNightDiscount_21_Up+FedExExrpessEarnedDiscount))*'1Day AM Base'!F109),2),ROUND(MinBase1AMDay*(1+ExpressFuelSurcharge),2),ROUND(((1-(OverNightDiscount_21_Up+FedExExrpessEarnedDiscount))*'1Day AM Base'!F109)*(1+ExpressFuelSurcharge),2)))*(1+FedEx_Markup),2)</f>
        <v>389.42</v>
      </c>
      <c r="G112" s="275">
        <f>ROUND((IF(MinBase1AMDay&gt;ROUND(((1-(OverNightDiscount_21_Up+FedExExrpessEarnedDiscount))*'1Day AM Base'!G109),2),ROUND(MinBase1AMDay*(1+ExpressFuelSurcharge),2),ROUND(((1-(OverNightDiscount_21_Up+FedExExrpessEarnedDiscount))*'1Day AM Base'!G109)*(1+ExpressFuelSurcharge),2)))*(1+FedEx_Markup),2)</f>
        <v>476.97</v>
      </c>
      <c r="H112" s="275">
        <f>ROUND((IF(MinBase1AMDay&gt;ROUND(((1-(OverNightDiscount_21_Up+FedExExrpessEarnedDiscount))*'1Day AM Base'!H109),2),ROUND(MinBase1AMDay*(1+ExpressFuelSurcharge),2),ROUND(((1-(OverNightDiscount_21_Up+FedExExrpessEarnedDiscount))*'1Day AM Base'!H109)*(1+ExpressFuelSurcharge),2)))*(1+FedEx_Markup),2)</f>
        <v>507.91</v>
      </c>
    </row>
    <row r="113" ht="12.75" customHeight="1">
      <c r="A113" s="274">
        <v>108.0</v>
      </c>
      <c r="B113" s="275">
        <f>ROUND((IF(MinBase1AMDay&gt;ROUND(((1-(OverNightDiscount_21_Up+FedExExrpessEarnedDiscount))*'1Day AM Base'!B110),2),ROUND(MinBase1AMDay*(1+ExpressFuelSurcharge),2),ROUND(((1-(OverNightDiscount_21_Up+FedExExrpessEarnedDiscount))*'1Day AM Base'!B110)*(1+ExpressFuelSurcharge),2)))*(1+FedEx_Markup),2)</f>
        <v>127.06</v>
      </c>
      <c r="C113" s="275">
        <f>ROUND((IF(MinBase1AMDay&gt;ROUND(((1-(OverNightDiscount_21_Up+FedExExrpessEarnedDiscount))*'1Day AM Base'!C110),2),ROUND(MinBase1AMDay*(1+ExpressFuelSurcharge),2),ROUND(((1-(OverNightDiscount_21_Up+FedExExrpessEarnedDiscount))*'1Day AM Base'!C110)*(1+ExpressFuelSurcharge),2)))*(1+FedEx_Markup),2)</f>
        <v>177.63</v>
      </c>
      <c r="D113" s="275">
        <f>ROUND((IF(MinBase1AMDay&gt;ROUND(((1-(OverNightDiscount_21_Up+FedExExrpessEarnedDiscount))*'1Day AM Base'!D110),2),ROUND(MinBase1AMDay*(1+ExpressFuelSurcharge),2),ROUND(((1-(OverNightDiscount_21_Up+FedExExrpessEarnedDiscount))*'1Day AM Base'!D110)*(1+ExpressFuelSurcharge),2)))*(1+FedEx_Markup),2)</f>
        <v>322.71</v>
      </c>
      <c r="E113" s="275">
        <f>ROUND((IF(MinBase1AMDay&gt;ROUND(((1-(OverNightDiscount_21_Up+FedExExrpessEarnedDiscount))*'1Day AM Base'!E110),2),ROUND(MinBase1AMDay*(1+ExpressFuelSurcharge),2),ROUND(((1-(OverNightDiscount_21_Up+FedExExrpessEarnedDiscount))*'1Day AM Base'!E110)*(1+ExpressFuelSurcharge),2)))*(1+FedEx_Markup),2)</f>
        <v>385.15</v>
      </c>
      <c r="F113" s="275">
        <f>ROUND((IF(MinBase1AMDay&gt;ROUND(((1-(OverNightDiscount_21_Up+FedExExrpessEarnedDiscount))*'1Day AM Base'!F110),2),ROUND(MinBase1AMDay*(1+ExpressFuelSurcharge),2),ROUND(((1-(OverNightDiscount_21_Up+FedExExrpessEarnedDiscount))*'1Day AM Base'!F110)*(1+ExpressFuelSurcharge),2)))*(1+FedEx_Markup),2)</f>
        <v>393.06</v>
      </c>
      <c r="G113" s="275">
        <f>ROUND((IF(MinBase1AMDay&gt;ROUND(((1-(OverNightDiscount_21_Up+FedExExrpessEarnedDiscount))*'1Day AM Base'!G110),2),ROUND(MinBase1AMDay*(1+ExpressFuelSurcharge),2),ROUND(((1-(OverNightDiscount_21_Up+FedExExrpessEarnedDiscount))*'1Day AM Base'!G110)*(1+ExpressFuelSurcharge),2)))*(1+FedEx_Markup),2)</f>
        <v>481.44</v>
      </c>
      <c r="H113" s="275">
        <f>ROUND((IF(MinBase1AMDay&gt;ROUND(((1-(OverNightDiscount_21_Up+FedExExrpessEarnedDiscount))*'1Day AM Base'!H110),2),ROUND(MinBase1AMDay*(1+ExpressFuelSurcharge),2),ROUND(((1-(OverNightDiscount_21_Up+FedExExrpessEarnedDiscount))*'1Day AM Base'!H110)*(1+ExpressFuelSurcharge),2)))*(1+FedEx_Markup),2)</f>
        <v>512.66</v>
      </c>
    </row>
    <row r="114" ht="12.75" customHeight="1">
      <c r="A114" s="274">
        <v>109.0</v>
      </c>
      <c r="B114" s="275">
        <f>ROUND((IF(MinBase1AMDay&gt;ROUND(((1-(OverNightDiscount_21_Up+FedExExrpessEarnedDiscount))*'1Day AM Base'!B111),2),ROUND(MinBase1AMDay*(1+ExpressFuelSurcharge),2),ROUND(((1-(OverNightDiscount_21_Up+FedExExrpessEarnedDiscount))*'1Day AM Base'!B111)*(1+ExpressFuelSurcharge),2)))*(1+FedEx_Markup),2)</f>
        <v>128.24</v>
      </c>
      <c r="C114" s="275">
        <f>ROUND((IF(MinBase1AMDay&gt;ROUND(((1-(OverNightDiscount_21_Up+FedExExrpessEarnedDiscount))*'1Day AM Base'!C111),2),ROUND(MinBase1AMDay*(1+ExpressFuelSurcharge),2),ROUND(((1-(OverNightDiscount_21_Up+FedExExrpessEarnedDiscount))*'1Day AM Base'!C111)*(1+ExpressFuelSurcharge),2)))*(1+FedEx_Markup),2)</f>
        <v>179.27</v>
      </c>
      <c r="D114" s="275">
        <f>ROUND((IF(MinBase1AMDay&gt;ROUND(((1-(OverNightDiscount_21_Up+FedExExrpessEarnedDiscount))*'1Day AM Base'!D111),2),ROUND(MinBase1AMDay*(1+ExpressFuelSurcharge),2),ROUND(((1-(OverNightDiscount_21_Up+FedExExrpessEarnedDiscount))*'1Day AM Base'!D111)*(1+ExpressFuelSurcharge),2)))*(1+FedEx_Markup),2)</f>
        <v>325.7</v>
      </c>
      <c r="E114" s="275">
        <f>ROUND((IF(MinBase1AMDay&gt;ROUND(((1-(OverNightDiscount_21_Up+FedExExrpessEarnedDiscount))*'1Day AM Base'!E111),2),ROUND(MinBase1AMDay*(1+ExpressFuelSurcharge),2),ROUND(((1-(OverNightDiscount_21_Up+FedExExrpessEarnedDiscount))*'1Day AM Base'!E111)*(1+ExpressFuelSurcharge),2)))*(1+FedEx_Markup),2)</f>
        <v>388.71</v>
      </c>
      <c r="F114" s="275">
        <f>ROUND((IF(MinBase1AMDay&gt;ROUND(((1-(OverNightDiscount_21_Up+FedExExrpessEarnedDiscount))*'1Day AM Base'!F111),2),ROUND(MinBase1AMDay*(1+ExpressFuelSurcharge),2),ROUND(((1-(OverNightDiscount_21_Up+FedExExrpessEarnedDiscount))*'1Day AM Base'!F111)*(1+ExpressFuelSurcharge),2)))*(1+FedEx_Markup),2)</f>
        <v>396.7</v>
      </c>
      <c r="G114" s="275">
        <f>ROUND((IF(MinBase1AMDay&gt;ROUND(((1-(OverNightDiscount_21_Up+FedExExrpessEarnedDiscount))*'1Day AM Base'!G111),2),ROUND(MinBase1AMDay*(1+ExpressFuelSurcharge),2),ROUND(((1-(OverNightDiscount_21_Up+FedExExrpessEarnedDiscount))*'1Day AM Base'!G111)*(1+ExpressFuelSurcharge),2)))*(1+FedEx_Markup),2)</f>
        <v>485.9</v>
      </c>
      <c r="H114" s="275">
        <f>ROUND((IF(MinBase1AMDay&gt;ROUND(((1-(OverNightDiscount_21_Up+FedExExrpessEarnedDiscount))*'1Day AM Base'!H111),2),ROUND(MinBase1AMDay*(1+ExpressFuelSurcharge),2),ROUND(((1-(OverNightDiscount_21_Up+FedExExrpessEarnedDiscount))*'1Day AM Base'!H111)*(1+ExpressFuelSurcharge),2)))*(1+FedEx_Markup),2)</f>
        <v>517.4</v>
      </c>
    </row>
    <row r="115" ht="12.75" customHeight="1">
      <c r="A115" s="274">
        <v>110.0</v>
      </c>
      <c r="B115" s="275">
        <f>ROUND((IF(MinBase1AMDay&gt;ROUND(((1-(OverNightDiscount_21_Up+FedExExrpessEarnedDiscount))*'1Day AM Base'!B112),2),ROUND(MinBase1AMDay*(1+ExpressFuelSurcharge),2),ROUND(((1-(OverNightDiscount_21_Up+FedExExrpessEarnedDiscount))*'1Day AM Base'!B112)*(1+ExpressFuelSurcharge),2)))*(1+FedEx_Markup),2)</f>
        <v>129.42</v>
      </c>
      <c r="C115" s="275">
        <f>ROUND((IF(MinBase1AMDay&gt;ROUND(((1-(OverNightDiscount_21_Up+FedExExrpessEarnedDiscount))*'1Day AM Base'!C112),2),ROUND(MinBase1AMDay*(1+ExpressFuelSurcharge),2),ROUND(((1-(OverNightDiscount_21_Up+FedExExrpessEarnedDiscount))*'1Day AM Base'!C112)*(1+ExpressFuelSurcharge),2)))*(1+FedEx_Markup),2)</f>
        <v>180.92</v>
      </c>
      <c r="D115" s="275">
        <f>ROUND((IF(MinBase1AMDay&gt;ROUND(((1-(OverNightDiscount_21_Up+FedExExrpessEarnedDiscount))*'1Day AM Base'!D112),2),ROUND(MinBase1AMDay*(1+ExpressFuelSurcharge),2),ROUND(((1-(OverNightDiscount_21_Up+FedExExrpessEarnedDiscount))*'1Day AM Base'!D112)*(1+ExpressFuelSurcharge),2)))*(1+FedEx_Markup),2)</f>
        <v>328.69</v>
      </c>
      <c r="E115" s="275">
        <f>ROUND((IF(MinBase1AMDay&gt;ROUND(((1-(OverNightDiscount_21_Up+FedExExrpessEarnedDiscount))*'1Day AM Base'!E112),2),ROUND(MinBase1AMDay*(1+ExpressFuelSurcharge),2),ROUND(((1-(OverNightDiscount_21_Up+FedExExrpessEarnedDiscount))*'1Day AM Base'!E112)*(1+ExpressFuelSurcharge),2)))*(1+FedEx_Markup),2)</f>
        <v>392.28</v>
      </c>
      <c r="F115" s="275">
        <f>ROUND((IF(MinBase1AMDay&gt;ROUND(((1-(OverNightDiscount_21_Up+FedExExrpessEarnedDiscount))*'1Day AM Base'!F112),2),ROUND(MinBase1AMDay*(1+ExpressFuelSurcharge),2),ROUND(((1-(OverNightDiscount_21_Up+FedExExrpessEarnedDiscount))*'1Day AM Base'!F112)*(1+ExpressFuelSurcharge),2)))*(1+FedEx_Markup),2)</f>
        <v>400.34</v>
      </c>
      <c r="G115" s="275">
        <f>ROUND((IF(MinBase1AMDay&gt;ROUND(((1-(OverNightDiscount_21_Up+FedExExrpessEarnedDiscount))*'1Day AM Base'!G112),2),ROUND(MinBase1AMDay*(1+ExpressFuelSurcharge),2),ROUND(((1-(OverNightDiscount_21_Up+FedExExrpessEarnedDiscount))*'1Day AM Base'!G112)*(1+ExpressFuelSurcharge),2)))*(1+FedEx_Markup),2)</f>
        <v>490.35</v>
      </c>
      <c r="H115" s="275">
        <f>ROUND((IF(MinBase1AMDay&gt;ROUND(((1-(OverNightDiscount_21_Up+FedExExrpessEarnedDiscount))*'1Day AM Base'!H112),2),ROUND(MinBase1AMDay*(1+ExpressFuelSurcharge),2),ROUND(((1-(OverNightDiscount_21_Up+FedExExrpessEarnedDiscount))*'1Day AM Base'!H112)*(1+ExpressFuelSurcharge),2)))*(1+FedEx_Markup),2)</f>
        <v>522.15</v>
      </c>
    </row>
    <row r="116" ht="12.75" customHeight="1">
      <c r="A116" s="274">
        <v>111.0</v>
      </c>
      <c r="B116" s="275">
        <f>ROUND((IF(MinBase1AMDay&gt;ROUND(((1-(OverNightDiscount_21_Up+FedExExrpessEarnedDiscount))*'1Day AM Base'!B113),2),ROUND(MinBase1AMDay*(1+ExpressFuelSurcharge),2),ROUND(((1-(OverNightDiscount_21_Up+FedExExrpessEarnedDiscount))*'1Day AM Base'!B113)*(1+ExpressFuelSurcharge),2)))*(1+FedEx_Markup),2)</f>
        <v>130.59</v>
      </c>
      <c r="C116" s="275">
        <f>ROUND((IF(MinBase1AMDay&gt;ROUND(((1-(OverNightDiscount_21_Up+FedExExrpessEarnedDiscount))*'1Day AM Base'!C113),2),ROUND(MinBase1AMDay*(1+ExpressFuelSurcharge),2),ROUND(((1-(OverNightDiscount_21_Up+FedExExrpessEarnedDiscount))*'1Day AM Base'!C113)*(1+ExpressFuelSurcharge),2)))*(1+FedEx_Markup),2)</f>
        <v>182.56</v>
      </c>
      <c r="D116" s="275">
        <f>ROUND((IF(MinBase1AMDay&gt;ROUND(((1-(OverNightDiscount_21_Up+FedExExrpessEarnedDiscount))*'1Day AM Base'!D113),2),ROUND(MinBase1AMDay*(1+ExpressFuelSurcharge),2),ROUND(((1-(OverNightDiscount_21_Up+FedExExrpessEarnedDiscount))*'1Day AM Base'!D113)*(1+ExpressFuelSurcharge),2)))*(1+FedEx_Markup),2)</f>
        <v>331.68</v>
      </c>
      <c r="E116" s="275">
        <f>ROUND((IF(MinBase1AMDay&gt;ROUND(((1-(OverNightDiscount_21_Up+FedExExrpessEarnedDiscount))*'1Day AM Base'!E113),2),ROUND(MinBase1AMDay*(1+ExpressFuelSurcharge),2),ROUND(((1-(OverNightDiscount_21_Up+FedExExrpessEarnedDiscount))*'1Day AM Base'!E113)*(1+ExpressFuelSurcharge),2)))*(1+FedEx_Markup),2)</f>
        <v>395.85</v>
      </c>
      <c r="F116" s="275">
        <f>ROUND((IF(MinBase1AMDay&gt;ROUND(((1-(OverNightDiscount_21_Up+FedExExrpessEarnedDiscount))*'1Day AM Base'!F113),2),ROUND(MinBase1AMDay*(1+ExpressFuelSurcharge),2),ROUND(((1-(OverNightDiscount_21_Up+FedExExrpessEarnedDiscount))*'1Day AM Base'!F113)*(1+ExpressFuelSurcharge),2)))*(1+FedEx_Markup),2)</f>
        <v>403.98</v>
      </c>
      <c r="G116" s="275">
        <f>ROUND((IF(MinBase1AMDay&gt;ROUND(((1-(OverNightDiscount_21_Up+FedExExrpessEarnedDiscount))*'1Day AM Base'!G113),2),ROUND(MinBase1AMDay*(1+ExpressFuelSurcharge),2),ROUND(((1-(OverNightDiscount_21_Up+FedExExrpessEarnedDiscount))*'1Day AM Base'!G113)*(1+ExpressFuelSurcharge),2)))*(1+FedEx_Markup),2)</f>
        <v>494.81</v>
      </c>
      <c r="H116" s="275">
        <f>ROUND((IF(MinBase1AMDay&gt;ROUND(((1-(OverNightDiscount_21_Up+FedExExrpessEarnedDiscount))*'1Day AM Base'!H113),2),ROUND(MinBase1AMDay*(1+ExpressFuelSurcharge),2),ROUND(((1-(OverNightDiscount_21_Up+FedExExrpessEarnedDiscount))*'1Day AM Base'!H113)*(1+ExpressFuelSurcharge),2)))*(1+FedEx_Markup),2)</f>
        <v>526.9</v>
      </c>
    </row>
    <row r="117" ht="12.75" customHeight="1">
      <c r="A117" s="274">
        <v>112.0</v>
      </c>
      <c r="B117" s="275">
        <f>ROUND((IF(MinBase1AMDay&gt;ROUND(((1-(OverNightDiscount_21_Up+FedExExrpessEarnedDiscount))*'1Day AM Base'!B114),2),ROUND(MinBase1AMDay*(1+ExpressFuelSurcharge),2),ROUND(((1-(OverNightDiscount_21_Up+FedExExrpessEarnedDiscount))*'1Day AM Base'!B114)*(1+ExpressFuelSurcharge),2)))*(1+FedEx_Markup),2)</f>
        <v>131.77</v>
      </c>
      <c r="C117" s="275">
        <f>ROUND((IF(MinBase1AMDay&gt;ROUND(((1-(OverNightDiscount_21_Up+FedExExrpessEarnedDiscount))*'1Day AM Base'!C114),2),ROUND(MinBase1AMDay*(1+ExpressFuelSurcharge),2),ROUND(((1-(OverNightDiscount_21_Up+FedExExrpessEarnedDiscount))*'1Day AM Base'!C114)*(1+ExpressFuelSurcharge),2)))*(1+FedEx_Markup),2)</f>
        <v>184.21</v>
      </c>
      <c r="D117" s="275">
        <f>ROUND((IF(MinBase1AMDay&gt;ROUND(((1-(OverNightDiscount_21_Up+FedExExrpessEarnedDiscount))*'1Day AM Base'!D114),2),ROUND(MinBase1AMDay*(1+ExpressFuelSurcharge),2),ROUND(((1-(OverNightDiscount_21_Up+FedExExrpessEarnedDiscount))*'1Day AM Base'!D114)*(1+ExpressFuelSurcharge),2)))*(1+FedEx_Markup),2)</f>
        <v>334.67</v>
      </c>
      <c r="E117" s="275">
        <f>ROUND((IF(MinBase1AMDay&gt;ROUND(((1-(OverNightDiscount_21_Up+FedExExrpessEarnedDiscount))*'1Day AM Base'!E114),2),ROUND(MinBase1AMDay*(1+ExpressFuelSurcharge),2),ROUND(((1-(OverNightDiscount_21_Up+FedExExrpessEarnedDiscount))*'1Day AM Base'!E114)*(1+ExpressFuelSurcharge),2)))*(1+FedEx_Markup),2)</f>
        <v>399.42</v>
      </c>
      <c r="F117" s="275">
        <f>ROUND((IF(MinBase1AMDay&gt;ROUND(((1-(OverNightDiscount_21_Up+FedExExrpessEarnedDiscount))*'1Day AM Base'!F114),2),ROUND(MinBase1AMDay*(1+ExpressFuelSurcharge),2),ROUND(((1-(OverNightDiscount_21_Up+FedExExrpessEarnedDiscount))*'1Day AM Base'!F114)*(1+ExpressFuelSurcharge),2)))*(1+FedEx_Markup),2)</f>
        <v>407.62</v>
      </c>
      <c r="G117" s="275">
        <f>ROUND((IF(MinBase1AMDay&gt;ROUND(((1-(OverNightDiscount_21_Up+FedExExrpessEarnedDiscount))*'1Day AM Base'!G114),2),ROUND(MinBase1AMDay*(1+ExpressFuelSurcharge),2),ROUND(((1-(OverNightDiscount_21_Up+FedExExrpessEarnedDiscount))*'1Day AM Base'!G114)*(1+ExpressFuelSurcharge),2)))*(1+FedEx_Markup),2)</f>
        <v>499.27</v>
      </c>
      <c r="H117" s="275">
        <f>ROUND((IF(MinBase1AMDay&gt;ROUND(((1-(OverNightDiscount_21_Up+FedExExrpessEarnedDiscount))*'1Day AM Base'!H114),2),ROUND(MinBase1AMDay*(1+ExpressFuelSurcharge),2),ROUND(((1-(OverNightDiscount_21_Up+FedExExrpessEarnedDiscount))*'1Day AM Base'!H114)*(1+ExpressFuelSurcharge),2)))*(1+FedEx_Markup),2)</f>
        <v>531.65</v>
      </c>
    </row>
    <row r="118" ht="12.75" customHeight="1">
      <c r="A118" s="274">
        <v>113.0</v>
      </c>
      <c r="B118" s="275">
        <f>ROUND((IF(MinBase1AMDay&gt;ROUND(((1-(OverNightDiscount_21_Up+FedExExrpessEarnedDiscount))*'1Day AM Base'!B115),2),ROUND(MinBase1AMDay*(1+ExpressFuelSurcharge),2),ROUND(((1-(OverNightDiscount_21_Up+FedExExrpessEarnedDiscount))*'1Day AM Base'!B115)*(1+ExpressFuelSurcharge),2)))*(1+FedEx_Markup),2)</f>
        <v>132.95</v>
      </c>
      <c r="C118" s="275">
        <f>ROUND((IF(MinBase1AMDay&gt;ROUND(((1-(OverNightDiscount_21_Up+FedExExrpessEarnedDiscount))*'1Day AM Base'!C115),2),ROUND(MinBase1AMDay*(1+ExpressFuelSurcharge),2),ROUND(((1-(OverNightDiscount_21_Up+FedExExrpessEarnedDiscount))*'1Day AM Base'!C115)*(1+ExpressFuelSurcharge),2)))*(1+FedEx_Markup),2)</f>
        <v>185.85</v>
      </c>
      <c r="D118" s="275">
        <f>ROUND((IF(MinBase1AMDay&gt;ROUND(((1-(OverNightDiscount_21_Up+FedExExrpessEarnedDiscount))*'1Day AM Base'!D115),2),ROUND(MinBase1AMDay*(1+ExpressFuelSurcharge),2),ROUND(((1-(OverNightDiscount_21_Up+FedExExrpessEarnedDiscount))*'1Day AM Base'!D115)*(1+ExpressFuelSurcharge),2)))*(1+FedEx_Markup),2)</f>
        <v>337.65</v>
      </c>
      <c r="E118" s="275">
        <f>ROUND((IF(MinBase1AMDay&gt;ROUND(((1-(OverNightDiscount_21_Up+FedExExrpessEarnedDiscount))*'1Day AM Base'!E115),2),ROUND(MinBase1AMDay*(1+ExpressFuelSurcharge),2),ROUND(((1-(OverNightDiscount_21_Up+FedExExrpessEarnedDiscount))*'1Day AM Base'!E115)*(1+ExpressFuelSurcharge),2)))*(1+FedEx_Markup),2)</f>
        <v>402.98</v>
      </c>
      <c r="F118" s="275">
        <f>ROUND((IF(MinBase1AMDay&gt;ROUND(((1-(OverNightDiscount_21_Up+FedExExrpessEarnedDiscount))*'1Day AM Base'!F115),2),ROUND(MinBase1AMDay*(1+ExpressFuelSurcharge),2),ROUND(((1-(OverNightDiscount_21_Up+FedExExrpessEarnedDiscount))*'1Day AM Base'!F115)*(1+ExpressFuelSurcharge),2)))*(1+FedEx_Markup),2)</f>
        <v>411.26</v>
      </c>
      <c r="G118" s="275">
        <f>ROUND((IF(MinBase1AMDay&gt;ROUND(((1-(OverNightDiscount_21_Up+FedExExrpessEarnedDiscount))*'1Day AM Base'!G115),2),ROUND(MinBase1AMDay*(1+ExpressFuelSurcharge),2),ROUND(((1-(OverNightDiscount_21_Up+FedExExrpessEarnedDiscount))*'1Day AM Base'!G115)*(1+ExpressFuelSurcharge),2)))*(1+FedEx_Markup),2)</f>
        <v>503.72</v>
      </c>
      <c r="H118" s="275">
        <f>ROUND((IF(MinBase1AMDay&gt;ROUND(((1-(OverNightDiscount_21_Up+FedExExrpessEarnedDiscount))*'1Day AM Base'!H115),2),ROUND(MinBase1AMDay*(1+ExpressFuelSurcharge),2),ROUND(((1-(OverNightDiscount_21_Up+FedExExrpessEarnedDiscount))*'1Day AM Base'!H115)*(1+ExpressFuelSurcharge),2)))*(1+FedEx_Markup),2)</f>
        <v>536.38</v>
      </c>
    </row>
    <row r="119" ht="12.75" customHeight="1">
      <c r="A119" s="274">
        <v>114.0</v>
      </c>
      <c r="B119" s="275">
        <f>ROUND((IF(MinBase1AMDay&gt;ROUND(((1-(OverNightDiscount_21_Up+FedExExrpessEarnedDiscount))*'1Day AM Base'!B116),2),ROUND(MinBase1AMDay*(1+ExpressFuelSurcharge),2),ROUND(((1-(OverNightDiscount_21_Up+FedExExrpessEarnedDiscount))*'1Day AM Base'!B116)*(1+ExpressFuelSurcharge),2)))*(1+FedEx_Markup),2)</f>
        <v>134.12</v>
      </c>
      <c r="C119" s="275">
        <f>ROUND((IF(MinBase1AMDay&gt;ROUND(((1-(OverNightDiscount_21_Up+FedExExrpessEarnedDiscount))*'1Day AM Base'!C116),2),ROUND(MinBase1AMDay*(1+ExpressFuelSurcharge),2),ROUND(((1-(OverNightDiscount_21_Up+FedExExrpessEarnedDiscount))*'1Day AM Base'!C116)*(1+ExpressFuelSurcharge),2)))*(1+FedEx_Markup),2)</f>
        <v>187.5</v>
      </c>
      <c r="D119" s="275">
        <f>ROUND((IF(MinBase1AMDay&gt;ROUND(((1-(OverNightDiscount_21_Up+FedExExrpessEarnedDiscount))*'1Day AM Base'!D116),2),ROUND(MinBase1AMDay*(1+ExpressFuelSurcharge),2),ROUND(((1-(OverNightDiscount_21_Up+FedExExrpessEarnedDiscount))*'1Day AM Base'!D116)*(1+ExpressFuelSurcharge),2)))*(1+FedEx_Markup),2)</f>
        <v>340.64</v>
      </c>
      <c r="E119" s="275">
        <f>ROUND((IF(MinBase1AMDay&gt;ROUND(((1-(OverNightDiscount_21_Up+FedExExrpessEarnedDiscount))*'1Day AM Base'!E116),2),ROUND(MinBase1AMDay*(1+ExpressFuelSurcharge),2),ROUND(((1-(OverNightDiscount_21_Up+FedExExrpessEarnedDiscount))*'1Day AM Base'!E116)*(1+ExpressFuelSurcharge),2)))*(1+FedEx_Markup),2)</f>
        <v>406.55</v>
      </c>
      <c r="F119" s="275">
        <f>ROUND((IF(MinBase1AMDay&gt;ROUND(((1-(OverNightDiscount_21_Up+FedExExrpessEarnedDiscount))*'1Day AM Base'!F116),2),ROUND(MinBase1AMDay*(1+ExpressFuelSurcharge),2),ROUND(((1-(OverNightDiscount_21_Up+FedExExrpessEarnedDiscount))*'1Day AM Base'!F116)*(1+ExpressFuelSurcharge),2)))*(1+FedEx_Markup),2)</f>
        <v>414.9</v>
      </c>
      <c r="G119" s="275">
        <f>ROUND((IF(MinBase1AMDay&gt;ROUND(((1-(OverNightDiscount_21_Up+FedExExrpessEarnedDiscount))*'1Day AM Base'!G116),2),ROUND(MinBase1AMDay*(1+ExpressFuelSurcharge),2),ROUND(((1-(OverNightDiscount_21_Up+FedExExrpessEarnedDiscount))*'1Day AM Base'!G116)*(1+ExpressFuelSurcharge),2)))*(1+FedEx_Markup),2)</f>
        <v>508.19</v>
      </c>
      <c r="H119" s="275">
        <f>ROUND((IF(MinBase1AMDay&gt;ROUND(((1-(OverNightDiscount_21_Up+FedExExrpessEarnedDiscount))*'1Day AM Base'!H116),2),ROUND(MinBase1AMDay*(1+ExpressFuelSurcharge),2),ROUND(((1-(OverNightDiscount_21_Up+FedExExrpessEarnedDiscount))*'1Day AM Base'!H116)*(1+ExpressFuelSurcharge),2)))*(1+FedEx_Markup),2)</f>
        <v>541.13</v>
      </c>
    </row>
    <row r="120" ht="12.75" customHeight="1">
      <c r="A120" s="274">
        <v>115.0</v>
      </c>
      <c r="B120" s="275">
        <f>ROUND((IF(MinBase1AMDay&gt;ROUND(((1-(OverNightDiscount_21_Up+FedExExrpessEarnedDiscount))*'1Day AM Base'!B117),2),ROUND(MinBase1AMDay*(1+ExpressFuelSurcharge),2),ROUND(((1-(OverNightDiscount_21_Up+FedExExrpessEarnedDiscount))*'1Day AM Base'!B117)*(1+ExpressFuelSurcharge),2)))*(1+FedEx_Markup),2)</f>
        <v>135.3</v>
      </c>
      <c r="C120" s="275">
        <f>ROUND((IF(MinBase1AMDay&gt;ROUND(((1-(OverNightDiscount_21_Up+FedExExrpessEarnedDiscount))*'1Day AM Base'!C117),2),ROUND(MinBase1AMDay*(1+ExpressFuelSurcharge),2),ROUND(((1-(OverNightDiscount_21_Up+FedExExrpessEarnedDiscount))*'1Day AM Base'!C117)*(1+ExpressFuelSurcharge),2)))*(1+FedEx_Markup),2)</f>
        <v>189.14</v>
      </c>
      <c r="D120" s="275">
        <f>ROUND((IF(MinBase1AMDay&gt;ROUND(((1-(OverNightDiscount_21_Up+FedExExrpessEarnedDiscount))*'1Day AM Base'!D117),2),ROUND(MinBase1AMDay*(1+ExpressFuelSurcharge),2),ROUND(((1-(OverNightDiscount_21_Up+FedExExrpessEarnedDiscount))*'1Day AM Base'!D117)*(1+ExpressFuelSurcharge),2)))*(1+FedEx_Markup),2)</f>
        <v>343.63</v>
      </c>
      <c r="E120" s="275">
        <f>ROUND((IF(MinBase1AMDay&gt;ROUND(((1-(OverNightDiscount_21_Up+FedExExrpessEarnedDiscount))*'1Day AM Base'!E117),2),ROUND(MinBase1AMDay*(1+ExpressFuelSurcharge),2),ROUND(((1-(OverNightDiscount_21_Up+FedExExrpessEarnedDiscount))*'1Day AM Base'!E117)*(1+ExpressFuelSurcharge),2)))*(1+FedEx_Markup),2)</f>
        <v>410.11</v>
      </c>
      <c r="F120" s="275">
        <f>ROUND((IF(MinBase1AMDay&gt;ROUND(((1-(OverNightDiscount_21_Up+FedExExrpessEarnedDiscount))*'1Day AM Base'!F117),2),ROUND(MinBase1AMDay*(1+ExpressFuelSurcharge),2),ROUND(((1-(OverNightDiscount_21_Up+FedExExrpessEarnedDiscount))*'1Day AM Base'!F117)*(1+ExpressFuelSurcharge),2)))*(1+FedEx_Markup),2)</f>
        <v>418.54</v>
      </c>
      <c r="G120" s="275">
        <f>ROUND((IF(MinBase1AMDay&gt;ROUND(((1-(OverNightDiscount_21_Up+FedExExrpessEarnedDiscount))*'1Day AM Base'!G117),2),ROUND(MinBase1AMDay*(1+ExpressFuelSurcharge),2),ROUND(((1-(OverNightDiscount_21_Up+FedExExrpessEarnedDiscount))*'1Day AM Base'!G117)*(1+ExpressFuelSurcharge),2)))*(1+FedEx_Markup),2)</f>
        <v>512.64</v>
      </c>
      <c r="H120" s="275">
        <f>ROUND((IF(MinBase1AMDay&gt;ROUND(((1-(OverNightDiscount_21_Up+FedExExrpessEarnedDiscount))*'1Day AM Base'!H117),2),ROUND(MinBase1AMDay*(1+ExpressFuelSurcharge),2),ROUND(((1-(OverNightDiscount_21_Up+FedExExrpessEarnedDiscount))*'1Day AM Base'!H117)*(1+ExpressFuelSurcharge),2)))*(1+FedEx_Markup),2)</f>
        <v>545.88</v>
      </c>
    </row>
    <row r="121" ht="12.75" customHeight="1">
      <c r="A121" s="274">
        <v>116.0</v>
      </c>
      <c r="B121" s="275">
        <f>ROUND((IF(MinBase1AMDay&gt;ROUND(((1-(OverNightDiscount_21_Up+FedExExrpessEarnedDiscount))*'1Day AM Base'!B118),2),ROUND(MinBase1AMDay*(1+ExpressFuelSurcharge),2),ROUND(((1-(OverNightDiscount_21_Up+FedExExrpessEarnedDiscount))*'1Day AM Base'!B118)*(1+ExpressFuelSurcharge),2)))*(1+FedEx_Markup),2)</f>
        <v>136.47</v>
      </c>
      <c r="C121" s="275">
        <f>ROUND((IF(MinBase1AMDay&gt;ROUND(((1-(OverNightDiscount_21_Up+FedExExrpessEarnedDiscount))*'1Day AM Base'!C118),2),ROUND(MinBase1AMDay*(1+ExpressFuelSurcharge),2),ROUND(((1-(OverNightDiscount_21_Up+FedExExrpessEarnedDiscount))*'1Day AM Base'!C118)*(1+ExpressFuelSurcharge),2)))*(1+FedEx_Markup),2)</f>
        <v>190.79</v>
      </c>
      <c r="D121" s="275">
        <f>ROUND((IF(MinBase1AMDay&gt;ROUND(((1-(OverNightDiscount_21_Up+FedExExrpessEarnedDiscount))*'1Day AM Base'!D118),2),ROUND(MinBase1AMDay*(1+ExpressFuelSurcharge),2),ROUND(((1-(OverNightDiscount_21_Up+FedExExrpessEarnedDiscount))*'1Day AM Base'!D118)*(1+ExpressFuelSurcharge),2)))*(1+FedEx_Markup),2)</f>
        <v>346.62</v>
      </c>
      <c r="E121" s="275">
        <f>ROUND((IF(MinBase1AMDay&gt;ROUND(((1-(OverNightDiscount_21_Up+FedExExrpessEarnedDiscount))*'1Day AM Base'!E118),2),ROUND(MinBase1AMDay*(1+ExpressFuelSurcharge),2),ROUND(((1-(OverNightDiscount_21_Up+FedExExrpessEarnedDiscount))*'1Day AM Base'!E118)*(1+ExpressFuelSurcharge),2)))*(1+FedEx_Markup),2)</f>
        <v>413.68</v>
      </c>
      <c r="F121" s="275">
        <f>ROUND((IF(MinBase1AMDay&gt;ROUND(((1-(OverNightDiscount_21_Up+FedExExrpessEarnedDiscount))*'1Day AM Base'!F118),2),ROUND(MinBase1AMDay*(1+ExpressFuelSurcharge),2),ROUND(((1-(OverNightDiscount_21_Up+FedExExrpessEarnedDiscount))*'1Day AM Base'!F118)*(1+ExpressFuelSurcharge),2)))*(1+FedEx_Markup),2)</f>
        <v>422.18</v>
      </c>
      <c r="G121" s="275">
        <f>ROUND((IF(MinBase1AMDay&gt;ROUND(((1-(OverNightDiscount_21_Up+FedExExrpessEarnedDiscount))*'1Day AM Base'!G118),2),ROUND(MinBase1AMDay*(1+ExpressFuelSurcharge),2),ROUND(((1-(OverNightDiscount_21_Up+FedExExrpessEarnedDiscount))*'1Day AM Base'!G118)*(1+ExpressFuelSurcharge),2)))*(1+FedEx_Markup),2)</f>
        <v>517.1</v>
      </c>
      <c r="H121" s="275">
        <f>ROUND((IF(MinBase1AMDay&gt;ROUND(((1-(OverNightDiscount_21_Up+FedExExrpessEarnedDiscount))*'1Day AM Base'!H118),2),ROUND(MinBase1AMDay*(1+ExpressFuelSurcharge),2),ROUND(((1-(OverNightDiscount_21_Up+FedExExrpessEarnedDiscount))*'1Day AM Base'!H118)*(1+ExpressFuelSurcharge),2)))*(1+FedEx_Markup),2)</f>
        <v>550.63</v>
      </c>
      <c r="L121" s="4"/>
    </row>
    <row r="122" ht="12.75" customHeight="1">
      <c r="A122" s="274">
        <v>117.0</v>
      </c>
      <c r="B122" s="275">
        <f>ROUND((IF(MinBase1AMDay&gt;ROUND(((1-(OverNightDiscount_21_Up+FedExExrpessEarnedDiscount))*'1Day AM Base'!B119),2),ROUND(MinBase1AMDay*(1+ExpressFuelSurcharge),2),ROUND(((1-(OverNightDiscount_21_Up+FedExExrpessEarnedDiscount))*'1Day AM Base'!B119)*(1+ExpressFuelSurcharge),2)))*(1+FedEx_Markup),2)</f>
        <v>137.66</v>
      </c>
      <c r="C122" s="275">
        <f>ROUND((IF(MinBase1AMDay&gt;ROUND(((1-(OverNightDiscount_21_Up+FedExExrpessEarnedDiscount))*'1Day AM Base'!C119),2),ROUND(MinBase1AMDay*(1+ExpressFuelSurcharge),2),ROUND(((1-(OverNightDiscount_21_Up+FedExExrpessEarnedDiscount))*'1Day AM Base'!C119)*(1+ExpressFuelSurcharge),2)))*(1+FedEx_Markup),2)</f>
        <v>192.43</v>
      </c>
      <c r="D122" s="275">
        <f>ROUND((IF(MinBase1AMDay&gt;ROUND(((1-(OverNightDiscount_21_Up+FedExExrpessEarnedDiscount))*'1Day AM Base'!D119),2),ROUND(MinBase1AMDay*(1+ExpressFuelSurcharge),2),ROUND(((1-(OverNightDiscount_21_Up+FedExExrpessEarnedDiscount))*'1Day AM Base'!D119)*(1+ExpressFuelSurcharge),2)))*(1+FedEx_Markup),2)</f>
        <v>349.61</v>
      </c>
      <c r="E122" s="275">
        <f>ROUND((IF(MinBase1AMDay&gt;ROUND(((1-(OverNightDiscount_21_Up+FedExExrpessEarnedDiscount))*'1Day AM Base'!E119),2),ROUND(MinBase1AMDay*(1+ExpressFuelSurcharge),2),ROUND(((1-(OverNightDiscount_21_Up+FedExExrpessEarnedDiscount))*'1Day AM Base'!E119)*(1+ExpressFuelSurcharge),2)))*(1+FedEx_Markup),2)</f>
        <v>417.24</v>
      </c>
      <c r="F122" s="275">
        <f>ROUND((IF(MinBase1AMDay&gt;ROUND(((1-(OverNightDiscount_21_Up+FedExExrpessEarnedDiscount))*'1Day AM Base'!F119),2),ROUND(MinBase1AMDay*(1+ExpressFuelSurcharge),2),ROUND(((1-(OverNightDiscount_21_Up+FedExExrpessEarnedDiscount))*'1Day AM Base'!F119)*(1+ExpressFuelSurcharge),2)))*(1+FedEx_Markup),2)</f>
        <v>425.82</v>
      </c>
      <c r="G122" s="275">
        <f>ROUND((IF(MinBase1AMDay&gt;ROUND(((1-(OverNightDiscount_21_Up+FedExExrpessEarnedDiscount))*'1Day AM Base'!G119),2),ROUND(MinBase1AMDay*(1+ExpressFuelSurcharge),2),ROUND(((1-(OverNightDiscount_21_Up+FedExExrpessEarnedDiscount))*'1Day AM Base'!G119)*(1+ExpressFuelSurcharge),2)))*(1+FedEx_Markup),2)</f>
        <v>521.56</v>
      </c>
      <c r="H122" s="275">
        <f>ROUND((IF(MinBase1AMDay&gt;ROUND(((1-(OverNightDiscount_21_Up+FedExExrpessEarnedDiscount))*'1Day AM Base'!H119),2),ROUND(MinBase1AMDay*(1+ExpressFuelSurcharge),2),ROUND(((1-(OverNightDiscount_21_Up+FedExExrpessEarnedDiscount))*'1Day AM Base'!H119)*(1+ExpressFuelSurcharge),2)))*(1+FedEx_Markup),2)</f>
        <v>555.37</v>
      </c>
    </row>
    <row r="123" ht="12.75" customHeight="1">
      <c r="A123" s="274">
        <v>118.0</v>
      </c>
      <c r="B123" s="275">
        <f>ROUND((IF(MinBase1AMDay&gt;ROUND(((1-(OverNightDiscount_21_Up+FedExExrpessEarnedDiscount))*'1Day AM Base'!B120),2),ROUND(MinBase1AMDay*(1+ExpressFuelSurcharge),2),ROUND(((1-(OverNightDiscount_21_Up+FedExExrpessEarnedDiscount))*'1Day AM Base'!B120)*(1+ExpressFuelSurcharge),2)))*(1+FedEx_Markup),2)</f>
        <v>138.83</v>
      </c>
      <c r="C123" s="275">
        <f>ROUND((IF(MinBase1AMDay&gt;ROUND(((1-(OverNightDiscount_21_Up+FedExExrpessEarnedDiscount))*'1Day AM Base'!C120),2),ROUND(MinBase1AMDay*(1+ExpressFuelSurcharge),2),ROUND(((1-(OverNightDiscount_21_Up+FedExExrpessEarnedDiscount))*'1Day AM Base'!C120)*(1+ExpressFuelSurcharge),2)))*(1+FedEx_Markup),2)</f>
        <v>194.07</v>
      </c>
      <c r="D123" s="275">
        <f>ROUND((IF(MinBase1AMDay&gt;ROUND(((1-(OverNightDiscount_21_Up+FedExExrpessEarnedDiscount))*'1Day AM Base'!D120),2),ROUND(MinBase1AMDay*(1+ExpressFuelSurcharge),2),ROUND(((1-(OverNightDiscount_21_Up+FedExExrpessEarnedDiscount))*'1Day AM Base'!D120)*(1+ExpressFuelSurcharge),2)))*(1+FedEx_Markup),2)</f>
        <v>352.6</v>
      </c>
      <c r="E123" s="275">
        <f>ROUND((IF(MinBase1AMDay&gt;ROUND(((1-(OverNightDiscount_21_Up+FedExExrpessEarnedDiscount))*'1Day AM Base'!E120),2),ROUND(MinBase1AMDay*(1+ExpressFuelSurcharge),2),ROUND(((1-(OverNightDiscount_21_Up+FedExExrpessEarnedDiscount))*'1Day AM Base'!E120)*(1+ExpressFuelSurcharge),2)))*(1+FedEx_Markup),2)</f>
        <v>420.81</v>
      </c>
      <c r="F123" s="275">
        <f>ROUND((IF(MinBase1AMDay&gt;ROUND(((1-(OverNightDiscount_21_Up+FedExExrpessEarnedDiscount))*'1Day AM Base'!F120),2),ROUND(MinBase1AMDay*(1+ExpressFuelSurcharge),2),ROUND(((1-(OverNightDiscount_21_Up+FedExExrpessEarnedDiscount))*'1Day AM Base'!F120)*(1+ExpressFuelSurcharge),2)))*(1+FedEx_Markup),2)</f>
        <v>429.46</v>
      </c>
      <c r="G123" s="275">
        <f>ROUND((IF(MinBase1AMDay&gt;ROUND(((1-(OverNightDiscount_21_Up+FedExExrpessEarnedDiscount))*'1Day AM Base'!G120),2),ROUND(MinBase1AMDay*(1+ExpressFuelSurcharge),2),ROUND(((1-(OverNightDiscount_21_Up+FedExExrpessEarnedDiscount))*'1Day AM Base'!G120)*(1+ExpressFuelSurcharge),2)))*(1+FedEx_Markup),2)</f>
        <v>526.01</v>
      </c>
      <c r="H123" s="275">
        <f>ROUND((IF(MinBase1AMDay&gt;ROUND(((1-(OverNightDiscount_21_Up+FedExExrpessEarnedDiscount))*'1Day AM Base'!H120),2),ROUND(MinBase1AMDay*(1+ExpressFuelSurcharge),2),ROUND(((1-(OverNightDiscount_21_Up+FedExExrpessEarnedDiscount))*'1Day AM Base'!H120)*(1+ExpressFuelSurcharge),2)))*(1+FedEx_Markup),2)</f>
        <v>560.12</v>
      </c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274">
        <v>119.0</v>
      </c>
      <c r="B124" s="275">
        <f>ROUND((IF(MinBase1AMDay&gt;ROUND(((1-(OverNightDiscount_21_Up+FedExExrpessEarnedDiscount))*'1Day AM Base'!B121),2),ROUND(MinBase1AMDay*(1+ExpressFuelSurcharge),2),ROUND(((1-(OverNightDiscount_21_Up+FedExExrpessEarnedDiscount))*'1Day AM Base'!B121)*(1+ExpressFuelSurcharge),2)))*(1+FedEx_Markup),2)</f>
        <v>140</v>
      </c>
      <c r="C124" s="275">
        <f>ROUND((IF(MinBase1AMDay&gt;ROUND(((1-(OverNightDiscount_21_Up+FedExExrpessEarnedDiscount))*'1Day AM Base'!C121),2),ROUND(MinBase1AMDay*(1+ExpressFuelSurcharge),2),ROUND(((1-(OverNightDiscount_21_Up+FedExExrpessEarnedDiscount))*'1Day AM Base'!C121)*(1+ExpressFuelSurcharge),2)))*(1+FedEx_Markup),2)</f>
        <v>195.72</v>
      </c>
      <c r="D124" s="275">
        <f>ROUND((IF(MinBase1AMDay&gt;ROUND(((1-(OverNightDiscount_21_Up+FedExExrpessEarnedDiscount))*'1Day AM Base'!D121),2),ROUND(MinBase1AMDay*(1+ExpressFuelSurcharge),2),ROUND(((1-(OverNightDiscount_21_Up+FedExExrpessEarnedDiscount))*'1Day AM Base'!D121)*(1+ExpressFuelSurcharge),2)))*(1+FedEx_Markup),2)</f>
        <v>355.58</v>
      </c>
      <c r="E124" s="275">
        <f>ROUND((IF(MinBase1AMDay&gt;ROUND(((1-(OverNightDiscount_21_Up+FedExExrpessEarnedDiscount))*'1Day AM Base'!E121),2),ROUND(MinBase1AMDay*(1+ExpressFuelSurcharge),2),ROUND(((1-(OverNightDiscount_21_Up+FedExExrpessEarnedDiscount))*'1Day AM Base'!E121)*(1+ExpressFuelSurcharge),2)))*(1+FedEx_Markup),2)</f>
        <v>424.37</v>
      </c>
      <c r="F124" s="275">
        <f>ROUND((IF(MinBase1AMDay&gt;ROUND(((1-(OverNightDiscount_21_Up+FedExExrpessEarnedDiscount))*'1Day AM Base'!F121),2),ROUND(MinBase1AMDay*(1+ExpressFuelSurcharge),2),ROUND(((1-(OverNightDiscount_21_Up+FedExExrpessEarnedDiscount))*'1Day AM Base'!F121)*(1+ExpressFuelSurcharge),2)))*(1+FedEx_Markup),2)</f>
        <v>433.1</v>
      </c>
      <c r="G124" s="275">
        <f>ROUND((IF(MinBase1AMDay&gt;ROUND(((1-(OverNightDiscount_21_Up+FedExExrpessEarnedDiscount))*'1Day AM Base'!G121),2),ROUND(MinBase1AMDay*(1+ExpressFuelSurcharge),2),ROUND(((1-(OverNightDiscount_21_Up+FedExExrpessEarnedDiscount))*'1Day AM Base'!G121)*(1+ExpressFuelSurcharge),2)))*(1+FedEx_Markup),2)</f>
        <v>530.47</v>
      </c>
      <c r="H124" s="275">
        <f>ROUND((IF(MinBase1AMDay&gt;ROUND(((1-(OverNightDiscount_21_Up+FedExExrpessEarnedDiscount))*'1Day AM Base'!H121),2),ROUND(MinBase1AMDay*(1+ExpressFuelSurcharge),2),ROUND(((1-(OverNightDiscount_21_Up+FedExExrpessEarnedDiscount))*'1Day AM Base'!H121)*(1+ExpressFuelSurcharge),2)))*(1+FedEx_Markup),2)</f>
        <v>564.87</v>
      </c>
    </row>
    <row r="125" ht="12.75" customHeight="1">
      <c r="A125" s="274">
        <v>120.0</v>
      </c>
      <c r="B125" s="275">
        <f>ROUND((IF(MinBase1AMDay&gt;ROUND(((1-(OverNightDiscount_21_Up+FedExExrpessEarnedDiscount))*'1Day AM Base'!B122),2),ROUND(MinBase1AMDay*(1+ExpressFuelSurcharge),2),ROUND(((1-(OverNightDiscount_21_Up+FedExExrpessEarnedDiscount))*'1Day AM Base'!B122)*(1+ExpressFuelSurcharge),2)))*(1+FedEx_Markup),2)</f>
        <v>141.19</v>
      </c>
      <c r="C125" s="275">
        <f>ROUND((IF(MinBase1AMDay&gt;ROUND(((1-(OverNightDiscount_21_Up+FedExExrpessEarnedDiscount))*'1Day AM Base'!C122),2),ROUND(MinBase1AMDay*(1+ExpressFuelSurcharge),2),ROUND(((1-(OverNightDiscount_21_Up+FedExExrpessEarnedDiscount))*'1Day AM Base'!C122)*(1+ExpressFuelSurcharge),2)))*(1+FedEx_Markup),2)</f>
        <v>197.36</v>
      </c>
      <c r="D125" s="275">
        <f>ROUND((IF(MinBase1AMDay&gt;ROUND(((1-(OverNightDiscount_21_Up+FedExExrpessEarnedDiscount))*'1Day AM Base'!D122),2),ROUND(MinBase1AMDay*(1+ExpressFuelSurcharge),2),ROUND(((1-(OverNightDiscount_21_Up+FedExExrpessEarnedDiscount))*'1Day AM Base'!D122)*(1+ExpressFuelSurcharge),2)))*(1+FedEx_Markup),2)</f>
        <v>358.57</v>
      </c>
      <c r="E125" s="275">
        <f>ROUND((IF(MinBase1AMDay&gt;ROUND(((1-(OverNightDiscount_21_Up+FedExExrpessEarnedDiscount))*'1Day AM Base'!E122),2),ROUND(MinBase1AMDay*(1+ExpressFuelSurcharge),2),ROUND(((1-(OverNightDiscount_21_Up+FedExExrpessEarnedDiscount))*'1Day AM Base'!E122)*(1+ExpressFuelSurcharge),2)))*(1+FedEx_Markup),2)</f>
        <v>427.94</v>
      </c>
      <c r="F125" s="275">
        <f>ROUND((IF(MinBase1AMDay&gt;ROUND(((1-(OverNightDiscount_21_Up+FedExExrpessEarnedDiscount))*'1Day AM Base'!F122),2),ROUND(MinBase1AMDay*(1+ExpressFuelSurcharge),2),ROUND(((1-(OverNightDiscount_21_Up+FedExExrpessEarnedDiscount))*'1Day AM Base'!F122)*(1+ExpressFuelSurcharge),2)))*(1+FedEx_Markup),2)</f>
        <v>436.74</v>
      </c>
      <c r="G125" s="275">
        <f>ROUND((IF(MinBase1AMDay&gt;ROUND(((1-(OverNightDiscount_21_Up+FedExExrpessEarnedDiscount))*'1Day AM Base'!G122),2),ROUND(MinBase1AMDay*(1+ExpressFuelSurcharge),2),ROUND(((1-(OverNightDiscount_21_Up+FedExExrpessEarnedDiscount))*'1Day AM Base'!G122)*(1+ExpressFuelSurcharge),2)))*(1+FedEx_Markup),2)</f>
        <v>534.93</v>
      </c>
      <c r="H125" s="275">
        <f>ROUND((IF(MinBase1AMDay&gt;ROUND(((1-(OverNightDiscount_21_Up+FedExExrpessEarnedDiscount))*'1Day AM Base'!H122),2),ROUND(MinBase1AMDay*(1+ExpressFuelSurcharge),2),ROUND(((1-(OverNightDiscount_21_Up+FedExExrpessEarnedDiscount))*'1Day AM Base'!H122)*(1+ExpressFuelSurcharge),2)))*(1+FedEx_Markup),2)</f>
        <v>569.62</v>
      </c>
    </row>
    <row r="126" ht="12.75" customHeight="1">
      <c r="A126" s="274">
        <v>121.0</v>
      </c>
      <c r="B126" s="275">
        <f>ROUND((IF(MinBase1AMDay&gt;ROUND(((1-(OverNightDiscount_21_Up+FedExExrpessEarnedDiscount))*'1Day AM Base'!B123),2),ROUND(MinBase1AMDay*(1+ExpressFuelSurcharge),2),ROUND(((1-(OverNightDiscount_21_Up+FedExExrpessEarnedDiscount))*'1Day AM Base'!B123)*(1+ExpressFuelSurcharge),2)))*(1+FedEx_Markup),2)</f>
        <v>142.36</v>
      </c>
      <c r="C126" s="275">
        <f>ROUND((IF(MinBase1AMDay&gt;ROUND(((1-(OverNightDiscount_21_Up+FedExExrpessEarnedDiscount))*'1Day AM Base'!C123),2),ROUND(MinBase1AMDay*(1+ExpressFuelSurcharge),2),ROUND(((1-(OverNightDiscount_21_Up+FedExExrpessEarnedDiscount))*'1Day AM Base'!C123)*(1+ExpressFuelSurcharge),2)))*(1+FedEx_Markup),2)</f>
        <v>199.01</v>
      </c>
      <c r="D126" s="275">
        <f>ROUND((IF(MinBase1AMDay&gt;ROUND(((1-(OverNightDiscount_21_Up+FedExExrpessEarnedDiscount))*'1Day AM Base'!D123),2),ROUND(MinBase1AMDay*(1+ExpressFuelSurcharge),2),ROUND(((1-(OverNightDiscount_21_Up+FedExExrpessEarnedDiscount))*'1Day AM Base'!D123)*(1+ExpressFuelSurcharge),2)))*(1+FedEx_Markup),2)</f>
        <v>361.56</v>
      </c>
      <c r="E126" s="275">
        <f>ROUND((IF(MinBase1AMDay&gt;ROUND(((1-(OverNightDiscount_21_Up+FedExExrpessEarnedDiscount))*'1Day AM Base'!E123),2),ROUND(MinBase1AMDay*(1+ExpressFuelSurcharge),2),ROUND(((1-(OverNightDiscount_21_Up+FedExExrpessEarnedDiscount))*'1Day AM Base'!E123)*(1+ExpressFuelSurcharge),2)))*(1+FedEx_Markup),2)</f>
        <v>431.51</v>
      </c>
      <c r="F126" s="275">
        <f>ROUND((IF(MinBase1AMDay&gt;ROUND(((1-(OverNightDiscount_21_Up+FedExExrpessEarnedDiscount))*'1Day AM Base'!F123),2),ROUND(MinBase1AMDay*(1+ExpressFuelSurcharge),2),ROUND(((1-(OverNightDiscount_21_Up+FedExExrpessEarnedDiscount))*'1Day AM Base'!F123)*(1+ExpressFuelSurcharge),2)))*(1+FedEx_Markup),2)</f>
        <v>440.38</v>
      </c>
      <c r="G126" s="275">
        <f>ROUND((IF(MinBase1AMDay&gt;ROUND(((1-(OverNightDiscount_21_Up+FedExExrpessEarnedDiscount))*'1Day AM Base'!G123),2),ROUND(MinBase1AMDay*(1+ExpressFuelSurcharge),2),ROUND(((1-(OverNightDiscount_21_Up+FedExExrpessEarnedDiscount))*'1Day AM Base'!G123)*(1+ExpressFuelSurcharge),2)))*(1+FedEx_Markup),2)</f>
        <v>539.38</v>
      </c>
      <c r="H126" s="275">
        <f>ROUND((IF(MinBase1AMDay&gt;ROUND(((1-(OverNightDiscount_21_Up+FedExExrpessEarnedDiscount))*'1Day AM Base'!H123),2),ROUND(MinBase1AMDay*(1+ExpressFuelSurcharge),2),ROUND(((1-(OverNightDiscount_21_Up+FedExExrpessEarnedDiscount))*'1Day AM Base'!H123)*(1+ExpressFuelSurcharge),2)))*(1+FedEx_Markup),2)</f>
        <v>574.36</v>
      </c>
    </row>
    <row r="127" ht="12.75" customHeight="1">
      <c r="A127" s="274">
        <v>122.0</v>
      </c>
      <c r="B127" s="275">
        <f>ROUND((IF(MinBase1AMDay&gt;ROUND(((1-(OverNightDiscount_21_Up+FedExExrpessEarnedDiscount))*'1Day AM Base'!B124),2),ROUND(MinBase1AMDay*(1+ExpressFuelSurcharge),2),ROUND(((1-(OverNightDiscount_21_Up+FedExExrpessEarnedDiscount))*'1Day AM Base'!B124)*(1+ExpressFuelSurcharge),2)))*(1+FedEx_Markup),2)</f>
        <v>143.53</v>
      </c>
      <c r="C127" s="275">
        <f>ROUND((IF(MinBase1AMDay&gt;ROUND(((1-(OverNightDiscount_21_Up+FedExExrpessEarnedDiscount))*'1Day AM Base'!C124),2),ROUND(MinBase1AMDay*(1+ExpressFuelSurcharge),2),ROUND(((1-(OverNightDiscount_21_Up+FedExExrpessEarnedDiscount))*'1Day AM Base'!C124)*(1+ExpressFuelSurcharge),2)))*(1+FedEx_Markup),2)</f>
        <v>200.65</v>
      </c>
      <c r="D127" s="275">
        <f>ROUND((IF(MinBase1AMDay&gt;ROUND(((1-(OverNightDiscount_21_Up+FedExExrpessEarnedDiscount))*'1Day AM Base'!D124),2),ROUND(MinBase1AMDay*(1+ExpressFuelSurcharge),2),ROUND(((1-(OverNightDiscount_21_Up+FedExExrpessEarnedDiscount))*'1Day AM Base'!D124)*(1+ExpressFuelSurcharge),2)))*(1+FedEx_Markup),2)</f>
        <v>364.55</v>
      </c>
      <c r="E127" s="275">
        <f>ROUND((IF(MinBase1AMDay&gt;ROUND(((1-(OverNightDiscount_21_Up+FedExExrpessEarnedDiscount))*'1Day AM Base'!E124),2),ROUND(MinBase1AMDay*(1+ExpressFuelSurcharge),2),ROUND(((1-(OverNightDiscount_21_Up+FedExExrpessEarnedDiscount))*'1Day AM Base'!E124)*(1+ExpressFuelSurcharge),2)))*(1+FedEx_Markup),2)</f>
        <v>435.08</v>
      </c>
      <c r="F127" s="275">
        <f>ROUND((IF(MinBase1AMDay&gt;ROUND(((1-(OverNightDiscount_21_Up+FedExExrpessEarnedDiscount))*'1Day AM Base'!F124),2),ROUND(MinBase1AMDay*(1+ExpressFuelSurcharge),2),ROUND(((1-(OverNightDiscount_21_Up+FedExExrpessEarnedDiscount))*'1Day AM Base'!F124)*(1+ExpressFuelSurcharge),2)))*(1+FedEx_Markup),2)</f>
        <v>444.02</v>
      </c>
      <c r="G127" s="275">
        <f>ROUND((IF(MinBase1AMDay&gt;ROUND(((1-(OverNightDiscount_21_Up+FedExExrpessEarnedDiscount))*'1Day AM Base'!G124),2),ROUND(MinBase1AMDay*(1+ExpressFuelSurcharge),2),ROUND(((1-(OverNightDiscount_21_Up+FedExExrpessEarnedDiscount))*'1Day AM Base'!G124)*(1+ExpressFuelSurcharge),2)))*(1+FedEx_Markup),2)</f>
        <v>543.85</v>
      </c>
      <c r="H127" s="275">
        <f>ROUND((IF(MinBase1AMDay&gt;ROUND(((1-(OverNightDiscount_21_Up+FedExExrpessEarnedDiscount))*'1Day AM Base'!H124),2),ROUND(MinBase1AMDay*(1+ExpressFuelSurcharge),2),ROUND(((1-(OverNightDiscount_21_Up+FedExExrpessEarnedDiscount))*'1Day AM Base'!H124)*(1+ExpressFuelSurcharge),2)))*(1+FedEx_Markup),2)</f>
        <v>579.11</v>
      </c>
    </row>
    <row r="128" ht="12.75" customHeight="1">
      <c r="A128" s="274">
        <v>123.0</v>
      </c>
      <c r="B128" s="275">
        <f>ROUND((IF(MinBase1AMDay&gt;ROUND(((1-(OverNightDiscount_21_Up+FedExExrpessEarnedDiscount))*'1Day AM Base'!B125),2),ROUND(MinBase1AMDay*(1+ExpressFuelSurcharge),2),ROUND(((1-(OverNightDiscount_21_Up+FedExExrpessEarnedDiscount))*'1Day AM Base'!B125)*(1+ExpressFuelSurcharge),2)))*(1+FedEx_Markup),2)</f>
        <v>144.72</v>
      </c>
      <c r="C128" s="275">
        <f>ROUND((IF(MinBase1AMDay&gt;ROUND(((1-(OverNightDiscount_21_Up+FedExExrpessEarnedDiscount))*'1Day AM Base'!C125),2),ROUND(MinBase1AMDay*(1+ExpressFuelSurcharge),2),ROUND(((1-(OverNightDiscount_21_Up+FedExExrpessEarnedDiscount))*'1Day AM Base'!C125)*(1+ExpressFuelSurcharge),2)))*(1+FedEx_Markup),2)</f>
        <v>202.3</v>
      </c>
      <c r="D128" s="275">
        <f>ROUND((IF(MinBase1AMDay&gt;ROUND(((1-(OverNightDiscount_21_Up+FedExExrpessEarnedDiscount))*'1Day AM Base'!D125),2),ROUND(MinBase1AMDay*(1+ExpressFuelSurcharge),2),ROUND(((1-(OverNightDiscount_21_Up+FedExExrpessEarnedDiscount))*'1Day AM Base'!D125)*(1+ExpressFuelSurcharge),2)))*(1+FedEx_Markup),2)</f>
        <v>367.54</v>
      </c>
      <c r="E128" s="275">
        <f>ROUND((IF(MinBase1AMDay&gt;ROUND(((1-(OverNightDiscount_21_Up+FedExExrpessEarnedDiscount))*'1Day AM Base'!E125),2),ROUND(MinBase1AMDay*(1+ExpressFuelSurcharge),2),ROUND(((1-(OverNightDiscount_21_Up+FedExExrpessEarnedDiscount))*'1Day AM Base'!E125)*(1+ExpressFuelSurcharge),2)))*(1+FedEx_Markup),2)</f>
        <v>438.64</v>
      </c>
      <c r="F128" s="275">
        <f>ROUND((IF(MinBase1AMDay&gt;ROUND(((1-(OverNightDiscount_21_Up+FedExExrpessEarnedDiscount))*'1Day AM Base'!F125),2),ROUND(MinBase1AMDay*(1+ExpressFuelSurcharge),2),ROUND(((1-(OverNightDiscount_21_Up+FedExExrpessEarnedDiscount))*'1Day AM Base'!F125)*(1+ExpressFuelSurcharge),2)))*(1+FedEx_Markup),2)</f>
        <v>447.66</v>
      </c>
      <c r="G128" s="275">
        <f>ROUND((IF(MinBase1AMDay&gt;ROUND(((1-(OverNightDiscount_21_Up+FedExExrpessEarnedDiscount))*'1Day AM Base'!G125),2),ROUND(MinBase1AMDay*(1+ExpressFuelSurcharge),2),ROUND(((1-(OverNightDiscount_21_Up+FedExExrpessEarnedDiscount))*'1Day AM Base'!G125)*(1+ExpressFuelSurcharge),2)))*(1+FedEx_Markup),2)</f>
        <v>548.3</v>
      </c>
      <c r="H128" s="275">
        <f>ROUND((IF(MinBase1AMDay&gt;ROUND(((1-(OverNightDiscount_21_Up+FedExExrpessEarnedDiscount))*'1Day AM Base'!H125),2),ROUND(MinBase1AMDay*(1+ExpressFuelSurcharge),2),ROUND(((1-(OverNightDiscount_21_Up+FedExExrpessEarnedDiscount))*'1Day AM Base'!H125)*(1+ExpressFuelSurcharge),2)))*(1+FedEx_Markup),2)</f>
        <v>583.86</v>
      </c>
    </row>
    <row r="129" ht="12.75" customHeight="1">
      <c r="A129" s="274">
        <v>124.0</v>
      </c>
      <c r="B129" s="275">
        <f>ROUND((IF(MinBase1AMDay&gt;ROUND(((1-(OverNightDiscount_21_Up+FedExExrpessEarnedDiscount))*'1Day AM Base'!B126),2),ROUND(MinBase1AMDay*(1+ExpressFuelSurcharge),2),ROUND(((1-(OverNightDiscount_21_Up+FedExExrpessEarnedDiscount))*'1Day AM Base'!B126)*(1+ExpressFuelSurcharge),2)))*(1+FedEx_Markup),2)</f>
        <v>145.89</v>
      </c>
      <c r="C129" s="275">
        <f>ROUND((IF(MinBase1AMDay&gt;ROUND(((1-(OverNightDiscount_21_Up+FedExExrpessEarnedDiscount))*'1Day AM Base'!C126),2),ROUND(MinBase1AMDay*(1+ExpressFuelSurcharge),2),ROUND(((1-(OverNightDiscount_21_Up+FedExExrpessEarnedDiscount))*'1Day AM Base'!C126)*(1+ExpressFuelSurcharge),2)))*(1+FedEx_Markup),2)</f>
        <v>203.94</v>
      </c>
      <c r="D129" s="275">
        <f>ROUND((IF(MinBase1AMDay&gt;ROUND(((1-(OverNightDiscount_21_Up+FedExExrpessEarnedDiscount))*'1Day AM Base'!D126),2),ROUND(MinBase1AMDay*(1+ExpressFuelSurcharge),2),ROUND(((1-(OverNightDiscount_21_Up+FedExExrpessEarnedDiscount))*'1Day AM Base'!D126)*(1+ExpressFuelSurcharge),2)))*(1+FedEx_Markup),2)</f>
        <v>370.53</v>
      </c>
      <c r="E129" s="275">
        <f>ROUND((IF(MinBase1AMDay&gt;ROUND(((1-(OverNightDiscount_21_Up+FedExExrpessEarnedDiscount))*'1Day AM Base'!E126),2),ROUND(MinBase1AMDay*(1+ExpressFuelSurcharge),2),ROUND(((1-(OverNightDiscount_21_Up+FedExExrpessEarnedDiscount))*'1Day AM Base'!E126)*(1+ExpressFuelSurcharge),2)))*(1+FedEx_Markup),2)</f>
        <v>442.21</v>
      </c>
      <c r="F129" s="275">
        <f>ROUND((IF(MinBase1AMDay&gt;ROUND(((1-(OverNightDiscount_21_Up+FedExExrpessEarnedDiscount))*'1Day AM Base'!F126),2),ROUND(MinBase1AMDay*(1+ExpressFuelSurcharge),2),ROUND(((1-(OverNightDiscount_21_Up+FedExExrpessEarnedDiscount))*'1Day AM Base'!F126)*(1+ExpressFuelSurcharge),2)))*(1+FedEx_Markup),2)</f>
        <v>451.29</v>
      </c>
      <c r="G129" s="275">
        <f>ROUND((IF(MinBase1AMDay&gt;ROUND(((1-(OverNightDiscount_21_Up+FedExExrpessEarnedDiscount))*'1Day AM Base'!G126),2),ROUND(MinBase1AMDay*(1+ExpressFuelSurcharge),2),ROUND(((1-(OverNightDiscount_21_Up+FedExExrpessEarnedDiscount))*'1Day AM Base'!G126)*(1+ExpressFuelSurcharge),2)))*(1+FedEx_Markup),2)</f>
        <v>552.76</v>
      </c>
      <c r="H129" s="275">
        <f>ROUND((IF(MinBase1AMDay&gt;ROUND(((1-(OverNightDiscount_21_Up+FedExExrpessEarnedDiscount))*'1Day AM Base'!H126),2),ROUND(MinBase1AMDay*(1+ExpressFuelSurcharge),2),ROUND(((1-(OverNightDiscount_21_Up+FedExExrpessEarnedDiscount))*'1Day AM Base'!H126)*(1+ExpressFuelSurcharge),2)))*(1+FedEx_Markup),2)</f>
        <v>588.6</v>
      </c>
    </row>
    <row r="130" ht="12.75" customHeight="1">
      <c r="A130" s="274">
        <v>125.0</v>
      </c>
      <c r="B130" s="275">
        <f>ROUND((IF(MinBase1AMDay&gt;ROUND(((1-(OverNightDiscount_21_Up+FedExExrpessEarnedDiscount))*'1Day AM Base'!B127),2),ROUND(MinBase1AMDay*(1+ExpressFuelSurcharge),2),ROUND(((1-(OverNightDiscount_21_Up+FedExExrpessEarnedDiscount))*'1Day AM Base'!B127)*(1+ExpressFuelSurcharge),2)))*(1+FedEx_Markup),2)</f>
        <v>147.06</v>
      </c>
      <c r="C130" s="275">
        <f>ROUND((IF(MinBase1AMDay&gt;ROUND(((1-(OverNightDiscount_21_Up+FedExExrpessEarnedDiscount))*'1Day AM Base'!C127),2),ROUND(MinBase1AMDay*(1+ExpressFuelSurcharge),2),ROUND(((1-(OverNightDiscount_21_Up+FedExExrpessEarnedDiscount))*'1Day AM Base'!C127)*(1+ExpressFuelSurcharge),2)))*(1+FedEx_Markup),2)</f>
        <v>205.59</v>
      </c>
      <c r="D130" s="275">
        <f>ROUND((IF(MinBase1AMDay&gt;ROUND(((1-(OverNightDiscount_21_Up+FedExExrpessEarnedDiscount))*'1Day AM Base'!D127),2),ROUND(MinBase1AMDay*(1+ExpressFuelSurcharge),2),ROUND(((1-(OverNightDiscount_21_Up+FedExExrpessEarnedDiscount))*'1Day AM Base'!D127)*(1+ExpressFuelSurcharge),2)))*(1+FedEx_Markup),2)</f>
        <v>373.52</v>
      </c>
      <c r="E130" s="275">
        <f>ROUND((IF(MinBase1AMDay&gt;ROUND(((1-(OverNightDiscount_21_Up+FedExExrpessEarnedDiscount))*'1Day AM Base'!E127),2),ROUND(MinBase1AMDay*(1+ExpressFuelSurcharge),2),ROUND(((1-(OverNightDiscount_21_Up+FedExExrpessEarnedDiscount))*'1Day AM Base'!E127)*(1+ExpressFuelSurcharge),2)))*(1+FedEx_Markup),2)</f>
        <v>445.77</v>
      </c>
      <c r="F130" s="275">
        <f>ROUND((IF(MinBase1AMDay&gt;ROUND(((1-(OverNightDiscount_21_Up+FedExExrpessEarnedDiscount))*'1Day AM Base'!F127),2),ROUND(MinBase1AMDay*(1+ExpressFuelSurcharge),2),ROUND(((1-(OverNightDiscount_21_Up+FedExExrpessEarnedDiscount))*'1Day AM Base'!F127)*(1+ExpressFuelSurcharge),2)))*(1+FedEx_Markup),2)</f>
        <v>454.94</v>
      </c>
      <c r="G130" s="275">
        <f>ROUND((IF(MinBase1AMDay&gt;ROUND(((1-(OverNightDiscount_21_Up+FedExExrpessEarnedDiscount))*'1Day AM Base'!G127),2),ROUND(MinBase1AMDay*(1+ExpressFuelSurcharge),2),ROUND(((1-(OverNightDiscount_21_Up+FedExExrpessEarnedDiscount))*'1Day AM Base'!G127)*(1+ExpressFuelSurcharge),2)))*(1+FedEx_Markup),2)</f>
        <v>557.22</v>
      </c>
      <c r="H130" s="275">
        <f>ROUND((IF(MinBase1AMDay&gt;ROUND(((1-(OverNightDiscount_21_Up+FedExExrpessEarnedDiscount))*'1Day AM Base'!H127),2),ROUND(MinBase1AMDay*(1+ExpressFuelSurcharge),2),ROUND(((1-(OverNightDiscount_21_Up+FedExExrpessEarnedDiscount))*'1Day AM Base'!H127)*(1+ExpressFuelSurcharge),2)))*(1+FedEx_Markup),2)</f>
        <v>593.35</v>
      </c>
    </row>
    <row r="131" ht="12.75" customHeight="1">
      <c r="A131" s="274">
        <v>126.0</v>
      </c>
      <c r="B131" s="275">
        <f>ROUND((IF(MinBase1AMDay&gt;ROUND(((1-(OverNightDiscount_21_Up+FedExExrpessEarnedDiscount))*'1Day AM Base'!B128),2),ROUND(MinBase1AMDay*(1+ExpressFuelSurcharge),2),ROUND(((1-(OverNightDiscount_21_Up+FedExExrpessEarnedDiscount))*'1Day AM Base'!B128)*(1+ExpressFuelSurcharge),2)))*(1+FedEx_Markup),2)</f>
        <v>148.25</v>
      </c>
      <c r="C131" s="275">
        <f>ROUND((IF(MinBase1AMDay&gt;ROUND(((1-(OverNightDiscount_21_Up+FedExExrpessEarnedDiscount))*'1Day AM Base'!C128),2),ROUND(MinBase1AMDay*(1+ExpressFuelSurcharge),2),ROUND(((1-(OverNightDiscount_21_Up+FedExExrpessEarnedDiscount))*'1Day AM Base'!C128)*(1+ExpressFuelSurcharge),2)))*(1+FedEx_Markup),2)</f>
        <v>207.23</v>
      </c>
      <c r="D131" s="275">
        <f>ROUND((IF(MinBase1AMDay&gt;ROUND(((1-(OverNightDiscount_21_Up+FedExExrpessEarnedDiscount))*'1Day AM Base'!D128),2),ROUND(MinBase1AMDay*(1+ExpressFuelSurcharge),2),ROUND(((1-(OverNightDiscount_21_Up+FedExExrpessEarnedDiscount))*'1Day AM Base'!D128)*(1+ExpressFuelSurcharge),2)))*(1+FedEx_Markup),2)</f>
        <v>376.5</v>
      </c>
      <c r="E131" s="275">
        <f>ROUND((IF(MinBase1AMDay&gt;ROUND(((1-(OverNightDiscount_21_Up+FedExExrpessEarnedDiscount))*'1Day AM Base'!E128),2),ROUND(MinBase1AMDay*(1+ExpressFuelSurcharge),2),ROUND(((1-(OverNightDiscount_21_Up+FedExExrpessEarnedDiscount))*'1Day AM Base'!E128)*(1+ExpressFuelSurcharge),2)))*(1+FedEx_Markup),2)</f>
        <v>449.34</v>
      </c>
      <c r="F131" s="275">
        <f>ROUND((IF(MinBase1AMDay&gt;ROUND(((1-(OverNightDiscount_21_Up+FedExExrpessEarnedDiscount))*'1Day AM Base'!F128),2),ROUND(MinBase1AMDay*(1+ExpressFuelSurcharge),2),ROUND(((1-(OverNightDiscount_21_Up+FedExExrpessEarnedDiscount))*'1Day AM Base'!F128)*(1+ExpressFuelSurcharge),2)))*(1+FedEx_Markup),2)</f>
        <v>458.57</v>
      </c>
      <c r="G131" s="275">
        <f>ROUND((IF(MinBase1AMDay&gt;ROUND(((1-(OverNightDiscount_21_Up+FedExExrpessEarnedDiscount))*'1Day AM Base'!G128),2),ROUND(MinBase1AMDay*(1+ExpressFuelSurcharge),2),ROUND(((1-(OverNightDiscount_21_Up+FedExExrpessEarnedDiscount))*'1Day AM Base'!G128)*(1+ExpressFuelSurcharge),2)))*(1+FedEx_Markup),2)</f>
        <v>561.67</v>
      </c>
      <c r="H131" s="275">
        <f>ROUND((IF(MinBase1AMDay&gt;ROUND(((1-(OverNightDiscount_21_Up+FedExExrpessEarnedDiscount))*'1Day AM Base'!H128),2),ROUND(MinBase1AMDay*(1+ExpressFuelSurcharge),2),ROUND(((1-(OverNightDiscount_21_Up+FedExExrpessEarnedDiscount))*'1Day AM Base'!H128)*(1+ExpressFuelSurcharge),2)))*(1+FedEx_Markup),2)</f>
        <v>598.09</v>
      </c>
    </row>
    <row r="132" ht="12.75" customHeight="1">
      <c r="A132" s="274">
        <v>127.0</v>
      </c>
      <c r="B132" s="275">
        <f>ROUND((IF(MinBase1AMDay&gt;ROUND(((1-(OverNightDiscount_21_Up+FedExExrpessEarnedDiscount))*'1Day AM Base'!B129),2),ROUND(MinBase1AMDay*(1+ExpressFuelSurcharge),2),ROUND(((1-(OverNightDiscount_21_Up+FedExExrpessEarnedDiscount))*'1Day AM Base'!B129)*(1+ExpressFuelSurcharge),2)))*(1+FedEx_Markup),2)</f>
        <v>149.42</v>
      </c>
      <c r="C132" s="275">
        <f>ROUND((IF(MinBase1AMDay&gt;ROUND(((1-(OverNightDiscount_21_Up+FedExExrpessEarnedDiscount))*'1Day AM Base'!C129),2),ROUND(MinBase1AMDay*(1+ExpressFuelSurcharge),2),ROUND(((1-(OverNightDiscount_21_Up+FedExExrpessEarnedDiscount))*'1Day AM Base'!C129)*(1+ExpressFuelSurcharge),2)))*(1+FedEx_Markup),2)</f>
        <v>208.87</v>
      </c>
      <c r="D132" s="275">
        <f>ROUND((IF(MinBase1AMDay&gt;ROUND(((1-(OverNightDiscount_21_Up+FedExExrpessEarnedDiscount))*'1Day AM Base'!D129),2),ROUND(MinBase1AMDay*(1+ExpressFuelSurcharge),2),ROUND(((1-(OverNightDiscount_21_Up+FedExExrpessEarnedDiscount))*'1Day AM Base'!D129)*(1+ExpressFuelSurcharge),2)))*(1+FedEx_Markup),2)</f>
        <v>379.49</v>
      </c>
      <c r="E132" s="275">
        <f>ROUND((IF(MinBase1AMDay&gt;ROUND(((1-(OverNightDiscount_21_Up+FedExExrpessEarnedDiscount))*'1Day AM Base'!E129),2),ROUND(MinBase1AMDay*(1+ExpressFuelSurcharge),2),ROUND(((1-(OverNightDiscount_21_Up+FedExExrpessEarnedDiscount))*'1Day AM Base'!E129)*(1+ExpressFuelSurcharge),2)))*(1+FedEx_Markup),2)</f>
        <v>452.9</v>
      </c>
      <c r="F132" s="275">
        <f>ROUND((IF(MinBase1AMDay&gt;ROUND(((1-(OverNightDiscount_21_Up+FedExExrpessEarnedDiscount))*'1Day AM Base'!F129),2),ROUND(MinBase1AMDay*(1+ExpressFuelSurcharge),2),ROUND(((1-(OverNightDiscount_21_Up+FedExExrpessEarnedDiscount))*'1Day AM Base'!F129)*(1+ExpressFuelSurcharge),2)))*(1+FedEx_Markup),2)</f>
        <v>462.21</v>
      </c>
      <c r="G132" s="275">
        <f>ROUND((IF(MinBase1AMDay&gt;ROUND(((1-(OverNightDiscount_21_Up+FedExExrpessEarnedDiscount))*'1Day AM Base'!G129),2),ROUND(MinBase1AMDay*(1+ExpressFuelSurcharge),2),ROUND(((1-(OverNightDiscount_21_Up+FedExExrpessEarnedDiscount))*'1Day AM Base'!G129)*(1+ExpressFuelSurcharge),2)))*(1+FedEx_Markup),2)</f>
        <v>566.13</v>
      </c>
      <c r="H132" s="275">
        <f>ROUND((IF(MinBase1AMDay&gt;ROUND(((1-(OverNightDiscount_21_Up+FedExExrpessEarnedDiscount))*'1Day AM Base'!H129),2),ROUND(MinBase1AMDay*(1+ExpressFuelSurcharge),2),ROUND(((1-(OverNightDiscount_21_Up+FedExExrpessEarnedDiscount))*'1Day AM Base'!H129)*(1+ExpressFuelSurcharge),2)))*(1+FedEx_Markup),2)</f>
        <v>602.84</v>
      </c>
    </row>
    <row r="133" ht="12.75" customHeight="1">
      <c r="A133" s="274">
        <v>128.0</v>
      </c>
      <c r="B133" s="275">
        <f>ROUND((IF(MinBase1AMDay&gt;ROUND(((1-(OverNightDiscount_21_Up+FedExExrpessEarnedDiscount))*'1Day AM Base'!B130),2),ROUND(MinBase1AMDay*(1+ExpressFuelSurcharge),2),ROUND(((1-(OverNightDiscount_21_Up+FedExExrpessEarnedDiscount))*'1Day AM Base'!B130)*(1+ExpressFuelSurcharge),2)))*(1+FedEx_Markup),2)</f>
        <v>150.59</v>
      </c>
      <c r="C133" s="275">
        <f>ROUND((IF(MinBase1AMDay&gt;ROUND(((1-(OverNightDiscount_21_Up+FedExExrpessEarnedDiscount))*'1Day AM Base'!C130),2),ROUND(MinBase1AMDay*(1+ExpressFuelSurcharge),2),ROUND(((1-(OverNightDiscount_21_Up+FedExExrpessEarnedDiscount))*'1Day AM Base'!C130)*(1+ExpressFuelSurcharge),2)))*(1+FedEx_Markup),2)</f>
        <v>210.52</v>
      </c>
      <c r="D133" s="275">
        <f>ROUND((IF(MinBase1AMDay&gt;ROUND(((1-(OverNightDiscount_21_Up+FedExExrpessEarnedDiscount))*'1Day AM Base'!D130),2),ROUND(MinBase1AMDay*(1+ExpressFuelSurcharge),2),ROUND(((1-(OverNightDiscount_21_Up+FedExExrpessEarnedDiscount))*'1Day AM Base'!D130)*(1+ExpressFuelSurcharge),2)))*(1+FedEx_Markup),2)</f>
        <v>382.48</v>
      </c>
      <c r="E133" s="275">
        <f>ROUND((IF(MinBase1AMDay&gt;ROUND(((1-(OverNightDiscount_21_Up+FedExExrpessEarnedDiscount))*'1Day AM Base'!E130),2),ROUND(MinBase1AMDay*(1+ExpressFuelSurcharge),2),ROUND(((1-(OverNightDiscount_21_Up+FedExExrpessEarnedDiscount))*'1Day AM Base'!E130)*(1+ExpressFuelSurcharge),2)))*(1+FedEx_Markup),2)</f>
        <v>456.47</v>
      </c>
      <c r="F133" s="275">
        <f>ROUND((IF(MinBase1AMDay&gt;ROUND(((1-(OverNightDiscount_21_Up+FedExExrpessEarnedDiscount))*'1Day AM Base'!F130),2),ROUND(MinBase1AMDay*(1+ExpressFuelSurcharge),2),ROUND(((1-(OverNightDiscount_21_Up+FedExExrpessEarnedDiscount))*'1Day AM Base'!F130)*(1+ExpressFuelSurcharge),2)))*(1+FedEx_Markup),2)</f>
        <v>465.85</v>
      </c>
      <c r="G133" s="275">
        <f>ROUND((IF(MinBase1AMDay&gt;ROUND(((1-(OverNightDiscount_21_Up+FedExExrpessEarnedDiscount))*'1Day AM Base'!G130),2),ROUND(MinBase1AMDay*(1+ExpressFuelSurcharge),2),ROUND(((1-(OverNightDiscount_21_Up+FedExExrpessEarnedDiscount))*'1Day AM Base'!G130)*(1+ExpressFuelSurcharge),2)))*(1+FedEx_Markup),2)</f>
        <v>570.6</v>
      </c>
      <c r="H133" s="275">
        <f>ROUND((IF(MinBase1AMDay&gt;ROUND(((1-(OverNightDiscount_21_Up+FedExExrpessEarnedDiscount))*'1Day AM Base'!H130),2),ROUND(MinBase1AMDay*(1+ExpressFuelSurcharge),2),ROUND(((1-(OverNightDiscount_21_Up+FedExExrpessEarnedDiscount))*'1Day AM Base'!H130)*(1+ExpressFuelSurcharge),2)))*(1+FedEx_Markup),2)</f>
        <v>607.59</v>
      </c>
    </row>
    <row r="134" ht="12.75" customHeight="1">
      <c r="A134" s="274">
        <v>129.0</v>
      </c>
      <c r="B134" s="275">
        <f>ROUND((IF(MinBase1AMDay&gt;ROUND(((1-(OverNightDiscount_21_Up+FedExExrpessEarnedDiscount))*'1Day AM Base'!B131),2),ROUND(MinBase1AMDay*(1+ExpressFuelSurcharge),2),ROUND(((1-(OverNightDiscount_21_Up+FedExExrpessEarnedDiscount))*'1Day AM Base'!B131)*(1+ExpressFuelSurcharge),2)))*(1+FedEx_Markup),2)</f>
        <v>151.77</v>
      </c>
      <c r="C134" s="275">
        <f>ROUND((IF(MinBase1AMDay&gt;ROUND(((1-(OverNightDiscount_21_Up+FedExExrpessEarnedDiscount))*'1Day AM Base'!C131),2),ROUND(MinBase1AMDay*(1+ExpressFuelSurcharge),2),ROUND(((1-(OverNightDiscount_21_Up+FedExExrpessEarnedDiscount))*'1Day AM Base'!C131)*(1+ExpressFuelSurcharge),2)))*(1+FedEx_Markup),2)</f>
        <v>212.16</v>
      </c>
      <c r="D134" s="275">
        <f>ROUND((IF(MinBase1AMDay&gt;ROUND(((1-(OverNightDiscount_21_Up+FedExExrpessEarnedDiscount))*'1Day AM Base'!D131),2),ROUND(MinBase1AMDay*(1+ExpressFuelSurcharge),2),ROUND(((1-(OverNightDiscount_21_Up+FedExExrpessEarnedDiscount))*'1Day AM Base'!D131)*(1+ExpressFuelSurcharge),2)))*(1+FedEx_Markup),2)</f>
        <v>385.47</v>
      </c>
      <c r="E134" s="275">
        <f>ROUND((IF(MinBase1AMDay&gt;ROUND(((1-(OverNightDiscount_21_Up+FedExExrpessEarnedDiscount))*'1Day AM Base'!E131),2),ROUND(MinBase1AMDay*(1+ExpressFuelSurcharge),2),ROUND(((1-(OverNightDiscount_21_Up+FedExExrpessEarnedDiscount))*'1Day AM Base'!E131)*(1+ExpressFuelSurcharge),2)))*(1+FedEx_Markup),2)</f>
        <v>460.03</v>
      </c>
      <c r="F134" s="275">
        <f>ROUND((IF(MinBase1AMDay&gt;ROUND(((1-(OverNightDiscount_21_Up+FedExExrpessEarnedDiscount))*'1Day AM Base'!F131),2),ROUND(MinBase1AMDay*(1+ExpressFuelSurcharge),2),ROUND(((1-(OverNightDiscount_21_Up+FedExExrpessEarnedDiscount))*'1Day AM Base'!F131)*(1+ExpressFuelSurcharge),2)))*(1+FedEx_Markup),2)</f>
        <v>469.49</v>
      </c>
      <c r="G134" s="275">
        <f>ROUND((IF(MinBase1AMDay&gt;ROUND(((1-(OverNightDiscount_21_Up+FedExExrpessEarnedDiscount))*'1Day AM Base'!G131),2),ROUND(MinBase1AMDay*(1+ExpressFuelSurcharge),2),ROUND(((1-(OverNightDiscount_21_Up+FedExExrpessEarnedDiscount))*'1Day AM Base'!G131)*(1+ExpressFuelSurcharge),2)))*(1+FedEx_Markup),2)</f>
        <v>575.05</v>
      </c>
      <c r="H134" s="275">
        <f>ROUND((IF(MinBase1AMDay&gt;ROUND(((1-(OverNightDiscount_21_Up+FedExExrpessEarnedDiscount))*'1Day AM Base'!H131),2),ROUND(MinBase1AMDay*(1+ExpressFuelSurcharge),2),ROUND(((1-(OverNightDiscount_21_Up+FedExExrpessEarnedDiscount))*'1Day AM Base'!H131)*(1+ExpressFuelSurcharge),2)))*(1+FedEx_Markup),2)</f>
        <v>612.34</v>
      </c>
    </row>
    <row r="135" ht="12.75" customHeight="1">
      <c r="A135" s="274">
        <v>130.0</v>
      </c>
      <c r="B135" s="275">
        <f>ROUND((IF(MinBase1AMDay&gt;ROUND(((1-(OverNightDiscount_21_Up+FedExExrpessEarnedDiscount))*'1Day AM Base'!B132),2),ROUND(MinBase1AMDay*(1+ExpressFuelSurcharge),2),ROUND(((1-(OverNightDiscount_21_Up+FedExExrpessEarnedDiscount))*'1Day AM Base'!B132)*(1+ExpressFuelSurcharge),2)))*(1+FedEx_Markup),2)</f>
        <v>152.95</v>
      </c>
      <c r="C135" s="275">
        <f>ROUND((IF(MinBase1AMDay&gt;ROUND(((1-(OverNightDiscount_21_Up+FedExExrpessEarnedDiscount))*'1Day AM Base'!C132),2),ROUND(MinBase1AMDay*(1+ExpressFuelSurcharge),2),ROUND(((1-(OverNightDiscount_21_Up+FedExExrpessEarnedDiscount))*'1Day AM Base'!C132)*(1+ExpressFuelSurcharge),2)))*(1+FedEx_Markup),2)</f>
        <v>213.81</v>
      </c>
      <c r="D135" s="275">
        <f>ROUND((IF(MinBase1AMDay&gt;ROUND(((1-(OverNightDiscount_21_Up+FedExExrpessEarnedDiscount))*'1Day AM Base'!D132),2),ROUND(MinBase1AMDay*(1+ExpressFuelSurcharge),2),ROUND(((1-(OverNightDiscount_21_Up+FedExExrpessEarnedDiscount))*'1Day AM Base'!D132)*(1+ExpressFuelSurcharge),2)))*(1+FedEx_Markup),2)</f>
        <v>388.46</v>
      </c>
      <c r="E135" s="275">
        <f>ROUND((IF(MinBase1AMDay&gt;ROUND(((1-(OverNightDiscount_21_Up+FedExExrpessEarnedDiscount))*'1Day AM Base'!E132),2),ROUND(MinBase1AMDay*(1+ExpressFuelSurcharge),2),ROUND(((1-(OverNightDiscount_21_Up+FedExExrpessEarnedDiscount))*'1Day AM Base'!E132)*(1+ExpressFuelSurcharge),2)))*(1+FedEx_Markup),2)</f>
        <v>463.61</v>
      </c>
      <c r="F135" s="275">
        <f>ROUND((IF(MinBase1AMDay&gt;ROUND(((1-(OverNightDiscount_21_Up+FedExExrpessEarnedDiscount))*'1Day AM Base'!F132),2),ROUND(MinBase1AMDay*(1+ExpressFuelSurcharge),2),ROUND(((1-(OverNightDiscount_21_Up+FedExExrpessEarnedDiscount))*'1Day AM Base'!F132)*(1+ExpressFuelSurcharge),2)))*(1+FedEx_Markup),2)</f>
        <v>473.13</v>
      </c>
      <c r="G135" s="275">
        <f>ROUND((IF(MinBase1AMDay&gt;ROUND(((1-(OverNightDiscount_21_Up+FedExExrpessEarnedDiscount))*'1Day AM Base'!G132),2),ROUND(MinBase1AMDay*(1+ExpressFuelSurcharge),2),ROUND(((1-(OverNightDiscount_21_Up+FedExExrpessEarnedDiscount))*'1Day AM Base'!G132)*(1+ExpressFuelSurcharge),2)))*(1+FedEx_Markup),2)</f>
        <v>579.51</v>
      </c>
      <c r="H135" s="275">
        <f>ROUND((IF(MinBase1AMDay&gt;ROUND(((1-(OverNightDiscount_21_Up+FedExExrpessEarnedDiscount))*'1Day AM Base'!H132),2),ROUND(MinBase1AMDay*(1+ExpressFuelSurcharge),2),ROUND(((1-(OverNightDiscount_21_Up+FedExExrpessEarnedDiscount))*'1Day AM Base'!H132)*(1+ExpressFuelSurcharge),2)))*(1+FedEx_Markup),2)</f>
        <v>617.08</v>
      </c>
    </row>
    <row r="136" ht="12.75" customHeight="1">
      <c r="A136" s="274">
        <v>131.0</v>
      </c>
      <c r="B136" s="275">
        <f>ROUND((IF(MinBase1AMDay&gt;ROUND(((1-(OverNightDiscount_21_Up+FedExExrpessEarnedDiscount))*'1Day AM Base'!B133),2),ROUND(MinBase1AMDay*(1+ExpressFuelSurcharge),2),ROUND(((1-(OverNightDiscount_21_Up+FedExExrpessEarnedDiscount))*'1Day AM Base'!B133)*(1+ExpressFuelSurcharge),2)))*(1+FedEx_Markup),2)</f>
        <v>154.12</v>
      </c>
      <c r="C136" s="275">
        <f>ROUND((IF(MinBase1AMDay&gt;ROUND(((1-(OverNightDiscount_21_Up+FedExExrpessEarnedDiscount))*'1Day AM Base'!C133),2),ROUND(MinBase1AMDay*(1+ExpressFuelSurcharge),2),ROUND(((1-(OverNightDiscount_21_Up+FedExExrpessEarnedDiscount))*'1Day AM Base'!C133)*(1+ExpressFuelSurcharge),2)))*(1+FedEx_Markup),2)</f>
        <v>215.45</v>
      </c>
      <c r="D136" s="275">
        <f>ROUND((IF(MinBase1AMDay&gt;ROUND(((1-(OverNightDiscount_21_Up+FedExExrpessEarnedDiscount))*'1Day AM Base'!D133),2),ROUND(MinBase1AMDay*(1+ExpressFuelSurcharge),2),ROUND(((1-(OverNightDiscount_21_Up+FedExExrpessEarnedDiscount))*'1Day AM Base'!D133)*(1+ExpressFuelSurcharge),2)))*(1+FedEx_Markup),2)</f>
        <v>391.45</v>
      </c>
      <c r="E136" s="275">
        <f>ROUND((IF(MinBase1AMDay&gt;ROUND(((1-(OverNightDiscount_21_Up+FedExExrpessEarnedDiscount))*'1Day AM Base'!E133),2),ROUND(MinBase1AMDay*(1+ExpressFuelSurcharge),2),ROUND(((1-(OverNightDiscount_21_Up+FedExExrpessEarnedDiscount))*'1Day AM Base'!E133)*(1+ExpressFuelSurcharge),2)))*(1+FedEx_Markup),2)</f>
        <v>467.18</v>
      </c>
      <c r="F136" s="275">
        <f>ROUND((IF(MinBase1AMDay&gt;ROUND(((1-(OverNightDiscount_21_Up+FedExExrpessEarnedDiscount))*'1Day AM Base'!F133),2),ROUND(MinBase1AMDay*(1+ExpressFuelSurcharge),2),ROUND(((1-(OverNightDiscount_21_Up+FedExExrpessEarnedDiscount))*'1Day AM Base'!F133)*(1+ExpressFuelSurcharge),2)))*(1+FedEx_Markup),2)</f>
        <v>476.77</v>
      </c>
      <c r="G136" s="275">
        <f>ROUND((IF(MinBase1AMDay&gt;ROUND(((1-(OverNightDiscount_21_Up+FedExExrpessEarnedDiscount))*'1Day AM Base'!G133),2),ROUND(MinBase1AMDay*(1+ExpressFuelSurcharge),2),ROUND(((1-(OverNightDiscount_21_Up+FedExExrpessEarnedDiscount))*'1Day AM Base'!G133)*(1+ExpressFuelSurcharge),2)))*(1+FedEx_Markup),2)</f>
        <v>583.97</v>
      </c>
      <c r="H136" s="275">
        <f>ROUND((IF(MinBase1AMDay&gt;ROUND(((1-(OverNightDiscount_21_Up+FedExExrpessEarnedDiscount))*'1Day AM Base'!H133),2),ROUND(MinBase1AMDay*(1+ExpressFuelSurcharge),2),ROUND(((1-(OverNightDiscount_21_Up+FedExExrpessEarnedDiscount))*'1Day AM Base'!H133)*(1+ExpressFuelSurcharge),2)))*(1+FedEx_Markup),2)</f>
        <v>621.83</v>
      </c>
    </row>
    <row r="137" ht="12.75" customHeight="1">
      <c r="A137" s="274">
        <v>132.0</v>
      </c>
      <c r="B137" s="275">
        <f>ROUND((IF(MinBase1AMDay&gt;ROUND(((1-(OverNightDiscount_21_Up+FedExExrpessEarnedDiscount))*'1Day AM Base'!B134),2),ROUND(MinBase1AMDay*(1+ExpressFuelSurcharge),2),ROUND(((1-(OverNightDiscount_21_Up+FedExExrpessEarnedDiscount))*'1Day AM Base'!B134)*(1+ExpressFuelSurcharge),2)))*(1+FedEx_Markup),2)</f>
        <v>155.3</v>
      </c>
      <c r="C137" s="275">
        <f>ROUND((IF(MinBase1AMDay&gt;ROUND(((1-(OverNightDiscount_21_Up+FedExExrpessEarnedDiscount))*'1Day AM Base'!C134),2),ROUND(MinBase1AMDay*(1+ExpressFuelSurcharge),2),ROUND(((1-(OverNightDiscount_21_Up+FedExExrpessEarnedDiscount))*'1Day AM Base'!C134)*(1+ExpressFuelSurcharge),2)))*(1+FedEx_Markup),2)</f>
        <v>217.1</v>
      </c>
      <c r="D137" s="275">
        <f>ROUND((IF(MinBase1AMDay&gt;ROUND(((1-(OverNightDiscount_21_Up+FedExExrpessEarnedDiscount))*'1Day AM Base'!D134),2),ROUND(MinBase1AMDay*(1+ExpressFuelSurcharge),2),ROUND(((1-(OverNightDiscount_21_Up+FedExExrpessEarnedDiscount))*'1Day AM Base'!D134)*(1+ExpressFuelSurcharge),2)))*(1+FedEx_Markup),2)</f>
        <v>394.43</v>
      </c>
      <c r="E137" s="275">
        <f>ROUND((IF(MinBase1AMDay&gt;ROUND(((1-(OverNightDiscount_21_Up+FedExExrpessEarnedDiscount))*'1Day AM Base'!E134),2),ROUND(MinBase1AMDay*(1+ExpressFuelSurcharge),2),ROUND(((1-(OverNightDiscount_21_Up+FedExExrpessEarnedDiscount))*'1Day AM Base'!E134)*(1+ExpressFuelSurcharge),2)))*(1+FedEx_Markup),2)</f>
        <v>470.74</v>
      </c>
      <c r="F137" s="275">
        <f>ROUND((IF(MinBase1AMDay&gt;ROUND(((1-(OverNightDiscount_21_Up+FedExExrpessEarnedDiscount))*'1Day AM Base'!F134),2),ROUND(MinBase1AMDay*(1+ExpressFuelSurcharge),2),ROUND(((1-(OverNightDiscount_21_Up+FedExExrpessEarnedDiscount))*'1Day AM Base'!F134)*(1+ExpressFuelSurcharge),2)))*(1+FedEx_Markup),2)</f>
        <v>480.41</v>
      </c>
      <c r="G137" s="275">
        <f>ROUND((IF(MinBase1AMDay&gt;ROUND(((1-(OverNightDiscount_21_Up+FedExExrpessEarnedDiscount))*'1Day AM Base'!G134),2),ROUND(MinBase1AMDay*(1+ExpressFuelSurcharge),2),ROUND(((1-(OverNightDiscount_21_Up+FedExExrpessEarnedDiscount))*'1Day AM Base'!G134)*(1+ExpressFuelSurcharge),2)))*(1+FedEx_Markup),2)</f>
        <v>588.42</v>
      </c>
      <c r="H137" s="275">
        <f>ROUND((IF(MinBase1AMDay&gt;ROUND(((1-(OverNightDiscount_21_Up+FedExExrpessEarnedDiscount))*'1Day AM Base'!H134),2),ROUND(MinBase1AMDay*(1+ExpressFuelSurcharge),2),ROUND(((1-(OverNightDiscount_21_Up+FedExExrpessEarnedDiscount))*'1Day AM Base'!H134)*(1+ExpressFuelSurcharge),2)))*(1+FedEx_Markup),2)</f>
        <v>626.58</v>
      </c>
    </row>
    <row r="138" ht="12.75" customHeight="1">
      <c r="A138" s="274">
        <v>133.0</v>
      </c>
      <c r="B138" s="275">
        <f>ROUND((IF(MinBase1AMDay&gt;ROUND(((1-(OverNightDiscount_21_Up+FedExExrpessEarnedDiscount))*'1Day AM Base'!B135),2),ROUND(MinBase1AMDay*(1+ExpressFuelSurcharge),2),ROUND(((1-(OverNightDiscount_21_Up+FedExExrpessEarnedDiscount))*'1Day AM Base'!B135)*(1+ExpressFuelSurcharge),2)))*(1+FedEx_Markup),2)</f>
        <v>156.48</v>
      </c>
      <c r="C138" s="275">
        <f>ROUND((IF(MinBase1AMDay&gt;ROUND(((1-(OverNightDiscount_21_Up+FedExExrpessEarnedDiscount))*'1Day AM Base'!C135),2),ROUND(MinBase1AMDay*(1+ExpressFuelSurcharge),2),ROUND(((1-(OverNightDiscount_21_Up+FedExExrpessEarnedDiscount))*'1Day AM Base'!C135)*(1+ExpressFuelSurcharge),2)))*(1+FedEx_Markup),2)</f>
        <v>218.74</v>
      </c>
      <c r="D138" s="275">
        <f>ROUND((IF(MinBase1AMDay&gt;ROUND(((1-(OverNightDiscount_21_Up+FedExExrpessEarnedDiscount))*'1Day AM Base'!D135),2),ROUND(MinBase1AMDay*(1+ExpressFuelSurcharge),2),ROUND(((1-(OverNightDiscount_21_Up+FedExExrpessEarnedDiscount))*'1Day AM Base'!D135)*(1+ExpressFuelSurcharge),2)))*(1+FedEx_Markup),2)</f>
        <v>397.42</v>
      </c>
      <c r="E138" s="275">
        <f>ROUND((IF(MinBase1AMDay&gt;ROUND(((1-(OverNightDiscount_21_Up+FedExExrpessEarnedDiscount))*'1Day AM Base'!E135),2),ROUND(MinBase1AMDay*(1+ExpressFuelSurcharge),2),ROUND(((1-(OverNightDiscount_21_Up+FedExExrpessEarnedDiscount))*'1Day AM Base'!E135)*(1+ExpressFuelSurcharge),2)))*(1+FedEx_Markup),2)</f>
        <v>474.31</v>
      </c>
      <c r="F138" s="275">
        <f>ROUND((IF(MinBase1AMDay&gt;ROUND(((1-(OverNightDiscount_21_Up+FedExExrpessEarnedDiscount))*'1Day AM Base'!F135),2),ROUND(MinBase1AMDay*(1+ExpressFuelSurcharge),2),ROUND(((1-(OverNightDiscount_21_Up+FedExExrpessEarnedDiscount))*'1Day AM Base'!F135)*(1+ExpressFuelSurcharge),2)))*(1+FedEx_Markup),2)</f>
        <v>484.05</v>
      </c>
      <c r="G138" s="275">
        <f>ROUND((IF(MinBase1AMDay&gt;ROUND(((1-(OverNightDiscount_21_Up+FedExExrpessEarnedDiscount))*'1Day AM Base'!G135),2),ROUND(MinBase1AMDay*(1+ExpressFuelSurcharge),2),ROUND(((1-(OverNightDiscount_21_Up+FedExExrpessEarnedDiscount))*'1Day AM Base'!G135)*(1+ExpressFuelSurcharge),2)))*(1+FedEx_Markup),2)</f>
        <v>592.88</v>
      </c>
      <c r="H138" s="275">
        <f>ROUND((IF(MinBase1AMDay&gt;ROUND(((1-(OverNightDiscount_21_Up+FedExExrpessEarnedDiscount))*'1Day AM Base'!H135),2),ROUND(MinBase1AMDay*(1+ExpressFuelSurcharge),2),ROUND(((1-(OverNightDiscount_21_Up+FedExExrpessEarnedDiscount))*'1Day AM Base'!H135)*(1+ExpressFuelSurcharge),2)))*(1+FedEx_Markup),2)</f>
        <v>631.33</v>
      </c>
    </row>
    <row r="139" ht="12.75" customHeight="1">
      <c r="A139" s="274">
        <v>134.0</v>
      </c>
      <c r="B139" s="275">
        <f>ROUND((IF(MinBase1AMDay&gt;ROUND(((1-(OverNightDiscount_21_Up+FedExExrpessEarnedDiscount))*'1Day AM Base'!B136),2),ROUND(MinBase1AMDay*(1+ExpressFuelSurcharge),2),ROUND(((1-(OverNightDiscount_21_Up+FedExExrpessEarnedDiscount))*'1Day AM Base'!B136)*(1+ExpressFuelSurcharge),2)))*(1+FedEx_Markup),2)</f>
        <v>157.65</v>
      </c>
      <c r="C139" s="275">
        <f>ROUND((IF(MinBase1AMDay&gt;ROUND(((1-(OverNightDiscount_21_Up+FedExExrpessEarnedDiscount))*'1Day AM Base'!C136),2),ROUND(MinBase1AMDay*(1+ExpressFuelSurcharge),2),ROUND(((1-(OverNightDiscount_21_Up+FedExExrpessEarnedDiscount))*'1Day AM Base'!C136)*(1+ExpressFuelSurcharge),2)))*(1+FedEx_Markup),2)</f>
        <v>220.39</v>
      </c>
      <c r="D139" s="275">
        <f>ROUND((IF(MinBase1AMDay&gt;ROUND(((1-(OverNightDiscount_21_Up+FedExExrpessEarnedDiscount))*'1Day AM Base'!D136),2),ROUND(MinBase1AMDay*(1+ExpressFuelSurcharge),2),ROUND(((1-(OverNightDiscount_21_Up+FedExExrpessEarnedDiscount))*'1Day AM Base'!D136)*(1+ExpressFuelSurcharge),2)))*(1+FedEx_Markup),2)</f>
        <v>400.41</v>
      </c>
      <c r="E139" s="275">
        <f>ROUND((IF(MinBase1AMDay&gt;ROUND(((1-(OverNightDiscount_21_Up+FedExExrpessEarnedDiscount))*'1Day AM Base'!E136),2),ROUND(MinBase1AMDay*(1+ExpressFuelSurcharge),2),ROUND(((1-(OverNightDiscount_21_Up+FedExExrpessEarnedDiscount))*'1Day AM Base'!E136)*(1+ExpressFuelSurcharge),2)))*(1+FedEx_Markup),2)</f>
        <v>477.87</v>
      </c>
      <c r="F139" s="275">
        <f>ROUND((IF(MinBase1AMDay&gt;ROUND(((1-(OverNightDiscount_21_Up+FedExExrpessEarnedDiscount))*'1Day AM Base'!F136),2),ROUND(MinBase1AMDay*(1+ExpressFuelSurcharge),2),ROUND(((1-(OverNightDiscount_21_Up+FedExExrpessEarnedDiscount))*'1Day AM Base'!F136)*(1+ExpressFuelSurcharge),2)))*(1+FedEx_Markup),2)</f>
        <v>487.69</v>
      </c>
      <c r="G139" s="275">
        <f>ROUND((IF(MinBase1AMDay&gt;ROUND(((1-(OverNightDiscount_21_Up+FedExExrpessEarnedDiscount))*'1Day AM Base'!G136),2),ROUND(MinBase1AMDay*(1+ExpressFuelSurcharge),2),ROUND(((1-(OverNightDiscount_21_Up+FedExExrpessEarnedDiscount))*'1Day AM Base'!G136)*(1+ExpressFuelSurcharge),2)))*(1+FedEx_Markup),2)</f>
        <v>597.33</v>
      </c>
      <c r="H139" s="275">
        <f>ROUND((IF(MinBase1AMDay&gt;ROUND(((1-(OverNightDiscount_21_Up+FedExExrpessEarnedDiscount))*'1Day AM Base'!H136),2),ROUND(MinBase1AMDay*(1+ExpressFuelSurcharge),2),ROUND(((1-(OverNightDiscount_21_Up+FedExExrpessEarnedDiscount))*'1Day AM Base'!H136)*(1+ExpressFuelSurcharge),2)))*(1+FedEx_Markup),2)</f>
        <v>636.07</v>
      </c>
    </row>
    <row r="140" ht="12.75" customHeight="1">
      <c r="A140" s="274">
        <v>135.0</v>
      </c>
      <c r="B140" s="275">
        <f>ROUND((IF(MinBase1AMDay&gt;ROUND(((1-(OverNightDiscount_21_Up+FedExExrpessEarnedDiscount))*'1Day AM Base'!B137),2),ROUND(MinBase1AMDay*(1+ExpressFuelSurcharge),2),ROUND(((1-(OverNightDiscount_21_Up+FedExExrpessEarnedDiscount))*'1Day AM Base'!B137)*(1+ExpressFuelSurcharge),2)))*(1+FedEx_Markup),2)</f>
        <v>158.83</v>
      </c>
      <c r="C140" s="275">
        <f>ROUND((IF(MinBase1AMDay&gt;ROUND(((1-(OverNightDiscount_21_Up+FedExExrpessEarnedDiscount))*'1Day AM Base'!C137),2),ROUND(MinBase1AMDay*(1+ExpressFuelSurcharge),2),ROUND(((1-(OverNightDiscount_21_Up+FedExExrpessEarnedDiscount))*'1Day AM Base'!C137)*(1+ExpressFuelSurcharge),2)))*(1+FedEx_Markup),2)</f>
        <v>222.03</v>
      </c>
      <c r="D140" s="275">
        <f>ROUND((IF(MinBase1AMDay&gt;ROUND(((1-(OverNightDiscount_21_Up+FedExExrpessEarnedDiscount))*'1Day AM Base'!D137),2),ROUND(MinBase1AMDay*(1+ExpressFuelSurcharge),2),ROUND(((1-(OverNightDiscount_21_Up+FedExExrpessEarnedDiscount))*'1Day AM Base'!D137)*(1+ExpressFuelSurcharge),2)))*(1+FedEx_Markup),2)</f>
        <v>403.4</v>
      </c>
      <c r="E140" s="275">
        <f>ROUND((IF(MinBase1AMDay&gt;ROUND(((1-(OverNightDiscount_21_Up+FedExExrpessEarnedDiscount))*'1Day AM Base'!E137),2),ROUND(MinBase1AMDay*(1+ExpressFuelSurcharge),2),ROUND(((1-(OverNightDiscount_21_Up+FedExExrpessEarnedDiscount))*'1Day AM Base'!E137)*(1+ExpressFuelSurcharge),2)))*(1+FedEx_Markup),2)</f>
        <v>481.44</v>
      </c>
      <c r="F140" s="275">
        <f>ROUND((IF(MinBase1AMDay&gt;ROUND(((1-(OverNightDiscount_21_Up+FedExExrpessEarnedDiscount))*'1Day AM Base'!F137),2),ROUND(MinBase1AMDay*(1+ExpressFuelSurcharge),2),ROUND(((1-(OverNightDiscount_21_Up+FedExExrpessEarnedDiscount))*'1Day AM Base'!F137)*(1+ExpressFuelSurcharge),2)))*(1+FedEx_Markup),2)</f>
        <v>491.33</v>
      </c>
      <c r="G140" s="275">
        <f>ROUND((IF(MinBase1AMDay&gt;ROUND(((1-(OverNightDiscount_21_Up+FedExExrpessEarnedDiscount))*'1Day AM Base'!G137),2),ROUND(MinBase1AMDay*(1+ExpressFuelSurcharge),2),ROUND(((1-(OverNightDiscount_21_Up+FedExExrpessEarnedDiscount))*'1Day AM Base'!G137)*(1+ExpressFuelSurcharge),2)))*(1+FedEx_Markup),2)</f>
        <v>601.8</v>
      </c>
      <c r="H140" s="275">
        <f>ROUND((IF(MinBase1AMDay&gt;ROUND(((1-(OverNightDiscount_21_Up+FedExExrpessEarnedDiscount))*'1Day AM Base'!H137),2),ROUND(MinBase1AMDay*(1+ExpressFuelSurcharge),2),ROUND(((1-(OverNightDiscount_21_Up+FedExExrpessEarnedDiscount))*'1Day AM Base'!H137)*(1+ExpressFuelSurcharge),2)))*(1+FedEx_Markup),2)</f>
        <v>640.81</v>
      </c>
    </row>
    <row r="141" ht="12.75" customHeight="1">
      <c r="A141" s="274">
        <v>136.0</v>
      </c>
      <c r="B141" s="275">
        <f>ROUND((IF(MinBase1AMDay&gt;ROUND(((1-(OverNightDiscount_21_Up+FedExExrpessEarnedDiscount))*'1Day AM Base'!B138),2),ROUND(MinBase1AMDay*(1+ExpressFuelSurcharge),2),ROUND(((1-(OverNightDiscount_21_Up+FedExExrpessEarnedDiscount))*'1Day AM Base'!B138)*(1+ExpressFuelSurcharge),2)))*(1+FedEx_Markup),2)</f>
        <v>160.01</v>
      </c>
      <c r="C141" s="275">
        <f>ROUND((IF(MinBase1AMDay&gt;ROUND(((1-(OverNightDiscount_21_Up+FedExExrpessEarnedDiscount))*'1Day AM Base'!C138),2),ROUND(MinBase1AMDay*(1+ExpressFuelSurcharge),2),ROUND(((1-(OverNightDiscount_21_Up+FedExExrpessEarnedDiscount))*'1Day AM Base'!C138)*(1+ExpressFuelSurcharge),2)))*(1+FedEx_Markup),2)</f>
        <v>223.68</v>
      </c>
      <c r="D141" s="275">
        <f>ROUND((IF(MinBase1AMDay&gt;ROUND(((1-(OverNightDiscount_21_Up+FedExExrpessEarnedDiscount))*'1Day AM Base'!D138),2),ROUND(MinBase1AMDay*(1+ExpressFuelSurcharge),2),ROUND(((1-(OverNightDiscount_21_Up+FedExExrpessEarnedDiscount))*'1Day AM Base'!D138)*(1+ExpressFuelSurcharge),2)))*(1+FedEx_Markup),2)</f>
        <v>406.39</v>
      </c>
      <c r="E141" s="275">
        <f>ROUND((IF(MinBase1AMDay&gt;ROUND(((1-(OverNightDiscount_21_Up+FedExExrpessEarnedDiscount))*'1Day AM Base'!E138),2),ROUND(MinBase1AMDay*(1+ExpressFuelSurcharge),2),ROUND(((1-(OverNightDiscount_21_Up+FedExExrpessEarnedDiscount))*'1Day AM Base'!E138)*(1+ExpressFuelSurcharge),2)))*(1+FedEx_Markup),2)</f>
        <v>485</v>
      </c>
      <c r="F141" s="275">
        <f>ROUND((IF(MinBase1AMDay&gt;ROUND(((1-(OverNightDiscount_21_Up+FedExExrpessEarnedDiscount))*'1Day AM Base'!F138),2),ROUND(MinBase1AMDay*(1+ExpressFuelSurcharge),2),ROUND(((1-(OverNightDiscount_21_Up+FedExExrpessEarnedDiscount))*'1Day AM Base'!F138)*(1+ExpressFuelSurcharge),2)))*(1+FedEx_Markup),2)</f>
        <v>494.97</v>
      </c>
      <c r="G141" s="275">
        <f>ROUND((IF(MinBase1AMDay&gt;ROUND(((1-(OverNightDiscount_21_Up+FedExExrpessEarnedDiscount))*'1Day AM Base'!G138),2),ROUND(MinBase1AMDay*(1+ExpressFuelSurcharge),2),ROUND(((1-(OverNightDiscount_21_Up+FedExExrpessEarnedDiscount))*'1Day AM Base'!G138)*(1+ExpressFuelSurcharge),2)))*(1+FedEx_Markup),2)</f>
        <v>606.26</v>
      </c>
      <c r="H141" s="275">
        <f>ROUND((IF(MinBase1AMDay&gt;ROUND(((1-(OverNightDiscount_21_Up+FedExExrpessEarnedDiscount))*'1Day AM Base'!H138),2),ROUND(MinBase1AMDay*(1+ExpressFuelSurcharge),2),ROUND(((1-(OverNightDiscount_21_Up+FedExExrpessEarnedDiscount))*'1Day AM Base'!H138)*(1+ExpressFuelSurcharge),2)))*(1+FedEx_Markup),2)</f>
        <v>645.56</v>
      </c>
    </row>
    <row r="142" ht="12.75" customHeight="1">
      <c r="A142" s="274">
        <v>137.0</v>
      </c>
      <c r="B142" s="275">
        <f>ROUND((IF(MinBase1AMDay&gt;ROUND(((1-(OverNightDiscount_21_Up+FedExExrpessEarnedDiscount))*'1Day AM Base'!B139),2),ROUND(MinBase1AMDay*(1+ExpressFuelSurcharge),2),ROUND(((1-(OverNightDiscount_21_Up+FedExExrpessEarnedDiscount))*'1Day AM Base'!B139)*(1+ExpressFuelSurcharge),2)))*(1+FedEx_Markup),2)</f>
        <v>161.18</v>
      </c>
      <c r="C142" s="275">
        <f>ROUND((IF(MinBase1AMDay&gt;ROUND(((1-(OverNightDiscount_21_Up+FedExExrpessEarnedDiscount))*'1Day AM Base'!C139),2),ROUND(MinBase1AMDay*(1+ExpressFuelSurcharge),2),ROUND(((1-(OverNightDiscount_21_Up+FedExExrpessEarnedDiscount))*'1Day AM Base'!C139)*(1+ExpressFuelSurcharge),2)))*(1+FedEx_Markup),2)</f>
        <v>225.32</v>
      </c>
      <c r="D142" s="275">
        <f>ROUND((IF(MinBase1AMDay&gt;ROUND(((1-(OverNightDiscount_21_Up+FedExExrpessEarnedDiscount))*'1Day AM Base'!D139),2),ROUND(MinBase1AMDay*(1+ExpressFuelSurcharge),2),ROUND(((1-(OverNightDiscount_21_Up+FedExExrpessEarnedDiscount))*'1Day AM Base'!D139)*(1+ExpressFuelSurcharge),2)))*(1+FedEx_Markup),2)</f>
        <v>409.38</v>
      </c>
      <c r="E142" s="275">
        <f>ROUND((IF(MinBase1AMDay&gt;ROUND(((1-(OverNightDiscount_21_Up+FedExExrpessEarnedDiscount))*'1Day AM Base'!E139),2),ROUND(MinBase1AMDay*(1+ExpressFuelSurcharge),2),ROUND(((1-(OverNightDiscount_21_Up+FedExExrpessEarnedDiscount))*'1Day AM Base'!E139)*(1+ExpressFuelSurcharge),2)))*(1+FedEx_Markup),2)</f>
        <v>488.57</v>
      </c>
      <c r="F142" s="275">
        <f>ROUND((IF(MinBase1AMDay&gt;ROUND(((1-(OverNightDiscount_21_Up+FedExExrpessEarnedDiscount))*'1Day AM Base'!F139),2),ROUND(MinBase1AMDay*(1+ExpressFuelSurcharge),2),ROUND(((1-(OverNightDiscount_21_Up+FedExExrpessEarnedDiscount))*'1Day AM Base'!F139)*(1+ExpressFuelSurcharge),2)))*(1+FedEx_Markup),2)</f>
        <v>498.61</v>
      </c>
      <c r="G142" s="275">
        <f>ROUND((IF(MinBase1AMDay&gt;ROUND(((1-(OverNightDiscount_21_Up+FedExExrpessEarnedDiscount))*'1Day AM Base'!G139),2),ROUND(MinBase1AMDay*(1+ExpressFuelSurcharge),2),ROUND(((1-(OverNightDiscount_21_Up+FedExExrpessEarnedDiscount))*'1Day AM Base'!G139)*(1+ExpressFuelSurcharge),2)))*(1+FedEx_Markup),2)</f>
        <v>610.71</v>
      </c>
      <c r="H142" s="275">
        <f>ROUND((IF(MinBase1AMDay&gt;ROUND(((1-(OverNightDiscount_21_Up+FedExExrpessEarnedDiscount))*'1Day AM Base'!H139),2),ROUND(MinBase1AMDay*(1+ExpressFuelSurcharge),2),ROUND(((1-(OverNightDiscount_21_Up+FedExExrpessEarnedDiscount))*'1Day AM Base'!H139)*(1+ExpressFuelSurcharge),2)))*(1+FedEx_Markup),2)</f>
        <v>650.31</v>
      </c>
    </row>
    <row r="143" ht="12.75" customHeight="1">
      <c r="A143" s="274">
        <v>138.0</v>
      </c>
      <c r="B143" s="275">
        <f>ROUND((IF(MinBase1AMDay&gt;ROUND(((1-(OverNightDiscount_21_Up+FedExExrpessEarnedDiscount))*'1Day AM Base'!B140),2),ROUND(MinBase1AMDay*(1+ExpressFuelSurcharge),2),ROUND(((1-(OverNightDiscount_21_Up+FedExExrpessEarnedDiscount))*'1Day AM Base'!B140)*(1+ExpressFuelSurcharge),2)))*(1+FedEx_Markup),2)</f>
        <v>162.36</v>
      </c>
      <c r="C143" s="275">
        <f>ROUND((IF(MinBase1AMDay&gt;ROUND(((1-(OverNightDiscount_21_Up+FedExExrpessEarnedDiscount))*'1Day AM Base'!C140),2),ROUND(MinBase1AMDay*(1+ExpressFuelSurcharge),2),ROUND(((1-(OverNightDiscount_21_Up+FedExExrpessEarnedDiscount))*'1Day AM Base'!C140)*(1+ExpressFuelSurcharge),2)))*(1+FedEx_Markup),2)</f>
        <v>226.96</v>
      </c>
      <c r="D143" s="275">
        <f>ROUND((IF(MinBase1AMDay&gt;ROUND(((1-(OverNightDiscount_21_Up+FedExExrpessEarnedDiscount))*'1Day AM Base'!D140),2),ROUND(MinBase1AMDay*(1+ExpressFuelSurcharge),2),ROUND(((1-(OverNightDiscount_21_Up+FedExExrpessEarnedDiscount))*'1Day AM Base'!D140)*(1+ExpressFuelSurcharge),2)))*(1+FedEx_Markup),2)</f>
        <v>412.36</v>
      </c>
      <c r="E143" s="275">
        <f>ROUND((IF(MinBase1AMDay&gt;ROUND(((1-(OverNightDiscount_21_Up+FedExExrpessEarnedDiscount))*'1Day AM Base'!E140),2),ROUND(MinBase1AMDay*(1+ExpressFuelSurcharge),2),ROUND(((1-(OverNightDiscount_21_Up+FedExExrpessEarnedDiscount))*'1Day AM Base'!E140)*(1+ExpressFuelSurcharge),2)))*(1+FedEx_Markup),2)</f>
        <v>492.13</v>
      </c>
      <c r="F143" s="275">
        <f>ROUND((IF(MinBase1AMDay&gt;ROUND(((1-(OverNightDiscount_21_Up+FedExExrpessEarnedDiscount))*'1Day AM Base'!F140),2),ROUND(MinBase1AMDay*(1+ExpressFuelSurcharge),2),ROUND(((1-(OverNightDiscount_21_Up+FedExExrpessEarnedDiscount))*'1Day AM Base'!F140)*(1+ExpressFuelSurcharge),2)))*(1+FedEx_Markup),2)</f>
        <v>502.25</v>
      </c>
      <c r="G143" s="275">
        <f>ROUND((IF(MinBase1AMDay&gt;ROUND(((1-(OverNightDiscount_21_Up+FedExExrpessEarnedDiscount))*'1Day AM Base'!G140),2),ROUND(MinBase1AMDay*(1+ExpressFuelSurcharge),2),ROUND(((1-(OverNightDiscount_21_Up+FedExExrpessEarnedDiscount))*'1Day AM Base'!G140)*(1+ExpressFuelSurcharge),2)))*(1+FedEx_Markup),2)</f>
        <v>615.17</v>
      </c>
      <c r="H143" s="275">
        <f>ROUND((IF(MinBase1AMDay&gt;ROUND(((1-(OverNightDiscount_21_Up+FedExExrpessEarnedDiscount))*'1Day AM Base'!H140),2),ROUND(MinBase1AMDay*(1+ExpressFuelSurcharge),2),ROUND(((1-(OverNightDiscount_21_Up+FedExExrpessEarnedDiscount))*'1Day AM Base'!H140)*(1+ExpressFuelSurcharge),2)))*(1+FedEx_Markup),2)</f>
        <v>655.05</v>
      </c>
    </row>
    <row r="144" ht="12.75" customHeight="1">
      <c r="A144" s="274">
        <v>139.0</v>
      </c>
      <c r="B144" s="275">
        <f>ROUND((IF(MinBase1AMDay&gt;ROUND(((1-(OverNightDiscount_21_Up+FedExExrpessEarnedDiscount))*'1Day AM Base'!B141),2),ROUND(MinBase1AMDay*(1+ExpressFuelSurcharge),2),ROUND(((1-(OverNightDiscount_21_Up+FedExExrpessEarnedDiscount))*'1Day AM Base'!B141)*(1+ExpressFuelSurcharge),2)))*(1+FedEx_Markup),2)</f>
        <v>163.54</v>
      </c>
      <c r="C144" s="275">
        <f>ROUND((IF(MinBase1AMDay&gt;ROUND(((1-(OverNightDiscount_21_Up+FedExExrpessEarnedDiscount))*'1Day AM Base'!C141),2),ROUND(MinBase1AMDay*(1+ExpressFuelSurcharge),2),ROUND(((1-(OverNightDiscount_21_Up+FedExExrpessEarnedDiscount))*'1Day AM Base'!C141)*(1+ExpressFuelSurcharge),2)))*(1+FedEx_Markup),2)</f>
        <v>228.61</v>
      </c>
      <c r="D144" s="275">
        <f>ROUND((IF(MinBase1AMDay&gt;ROUND(((1-(OverNightDiscount_21_Up+FedExExrpessEarnedDiscount))*'1Day AM Base'!D141),2),ROUND(MinBase1AMDay*(1+ExpressFuelSurcharge),2),ROUND(((1-(OverNightDiscount_21_Up+FedExExrpessEarnedDiscount))*'1Day AM Base'!D141)*(1+ExpressFuelSurcharge),2)))*(1+FedEx_Markup),2)</f>
        <v>415.35</v>
      </c>
      <c r="E144" s="275">
        <f>ROUND((IF(MinBase1AMDay&gt;ROUND(((1-(OverNightDiscount_21_Up+FedExExrpessEarnedDiscount))*'1Day AM Base'!E141),2),ROUND(MinBase1AMDay*(1+ExpressFuelSurcharge),2),ROUND(((1-(OverNightDiscount_21_Up+FedExExrpessEarnedDiscount))*'1Day AM Base'!E141)*(1+ExpressFuelSurcharge),2)))*(1+FedEx_Markup),2)</f>
        <v>495.7</v>
      </c>
      <c r="F144" s="275">
        <f>ROUND((IF(MinBase1AMDay&gt;ROUND(((1-(OverNightDiscount_21_Up+FedExExrpessEarnedDiscount))*'1Day AM Base'!F141),2),ROUND(MinBase1AMDay*(1+ExpressFuelSurcharge),2),ROUND(((1-(OverNightDiscount_21_Up+FedExExrpessEarnedDiscount))*'1Day AM Base'!F141)*(1+ExpressFuelSurcharge),2)))*(1+FedEx_Markup),2)</f>
        <v>505.89</v>
      </c>
      <c r="G144" s="275">
        <f>ROUND((IF(MinBase1AMDay&gt;ROUND(((1-(OverNightDiscount_21_Up+FedExExrpessEarnedDiscount))*'1Day AM Base'!G141),2),ROUND(MinBase1AMDay*(1+ExpressFuelSurcharge),2),ROUND(((1-(OverNightDiscount_21_Up+FedExExrpessEarnedDiscount))*'1Day AM Base'!G141)*(1+ExpressFuelSurcharge),2)))*(1+FedEx_Markup),2)</f>
        <v>619.63</v>
      </c>
      <c r="H144" s="275">
        <f>ROUND((IF(MinBase1AMDay&gt;ROUND(((1-(OverNightDiscount_21_Up+FedExExrpessEarnedDiscount))*'1Day AM Base'!H141),2),ROUND(MinBase1AMDay*(1+ExpressFuelSurcharge),2),ROUND(((1-(OverNightDiscount_21_Up+FedExExrpessEarnedDiscount))*'1Day AM Base'!H141)*(1+ExpressFuelSurcharge),2)))*(1+FedEx_Markup),2)</f>
        <v>659.8</v>
      </c>
    </row>
    <row r="145" ht="12.75" customHeight="1">
      <c r="A145" s="274">
        <v>140.0</v>
      </c>
      <c r="B145" s="275">
        <f>ROUND((IF(MinBase1AMDay&gt;ROUND(((1-(OverNightDiscount_21_Up+FedExExrpessEarnedDiscount))*'1Day AM Base'!B142),2),ROUND(MinBase1AMDay*(1+ExpressFuelSurcharge),2),ROUND(((1-(OverNightDiscount_21_Up+FedExExrpessEarnedDiscount))*'1Day AM Base'!B142)*(1+ExpressFuelSurcharge),2)))*(1+FedEx_Markup),2)</f>
        <v>164.71</v>
      </c>
      <c r="C145" s="275">
        <f>ROUND((IF(MinBase1AMDay&gt;ROUND(((1-(OverNightDiscount_21_Up+FedExExrpessEarnedDiscount))*'1Day AM Base'!C142),2),ROUND(MinBase1AMDay*(1+ExpressFuelSurcharge),2),ROUND(((1-(OverNightDiscount_21_Up+FedExExrpessEarnedDiscount))*'1Day AM Base'!C142)*(1+ExpressFuelSurcharge),2)))*(1+FedEx_Markup),2)</f>
        <v>230.25</v>
      </c>
      <c r="D145" s="275">
        <f>ROUND((IF(MinBase1AMDay&gt;ROUND(((1-(OverNightDiscount_21_Up+FedExExrpessEarnedDiscount))*'1Day AM Base'!D142),2),ROUND(MinBase1AMDay*(1+ExpressFuelSurcharge),2),ROUND(((1-(OverNightDiscount_21_Up+FedExExrpessEarnedDiscount))*'1Day AM Base'!D142)*(1+ExpressFuelSurcharge),2)))*(1+FedEx_Markup),2)</f>
        <v>418.34</v>
      </c>
      <c r="E145" s="275">
        <f>ROUND((IF(MinBase1AMDay&gt;ROUND(((1-(OverNightDiscount_21_Up+FedExExrpessEarnedDiscount))*'1Day AM Base'!E142),2),ROUND(MinBase1AMDay*(1+ExpressFuelSurcharge),2),ROUND(((1-(OverNightDiscount_21_Up+FedExExrpessEarnedDiscount))*'1Day AM Base'!E142)*(1+ExpressFuelSurcharge),2)))*(1+FedEx_Markup),2)</f>
        <v>499.27</v>
      </c>
      <c r="F145" s="275">
        <f>ROUND((IF(MinBase1AMDay&gt;ROUND(((1-(OverNightDiscount_21_Up+FedExExrpessEarnedDiscount))*'1Day AM Base'!F142),2),ROUND(MinBase1AMDay*(1+ExpressFuelSurcharge),2),ROUND(((1-(OverNightDiscount_21_Up+FedExExrpessEarnedDiscount))*'1Day AM Base'!F142)*(1+ExpressFuelSurcharge),2)))*(1+FedEx_Markup),2)</f>
        <v>509.53</v>
      </c>
      <c r="G145" s="275">
        <f>ROUND((IF(MinBase1AMDay&gt;ROUND(((1-(OverNightDiscount_21_Up+FedExExrpessEarnedDiscount))*'1Day AM Base'!G142),2),ROUND(MinBase1AMDay*(1+ExpressFuelSurcharge),2),ROUND(((1-(OverNightDiscount_21_Up+FedExExrpessEarnedDiscount))*'1Day AM Base'!G142)*(1+ExpressFuelSurcharge),2)))*(1+FedEx_Markup),2)</f>
        <v>624.08</v>
      </c>
      <c r="H145" s="275">
        <f>ROUND((IF(MinBase1AMDay&gt;ROUND(((1-(OverNightDiscount_21_Up+FedExExrpessEarnedDiscount))*'1Day AM Base'!H142),2),ROUND(MinBase1AMDay*(1+ExpressFuelSurcharge),2),ROUND(((1-(OverNightDiscount_21_Up+FedExExrpessEarnedDiscount))*'1Day AM Base'!H142)*(1+ExpressFuelSurcharge),2)))*(1+FedEx_Markup),2)</f>
        <v>664.55</v>
      </c>
    </row>
    <row r="146" ht="12.75" customHeight="1">
      <c r="A146" s="274">
        <v>141.0</v>
      </c>
      <c r="B146" s="275">
        <f>ROUND((IF(MinBase1AMDay&gt;ROUND(((1-(OverNightDiscount_21_Up+FedExExrpessEarnedDiscount))*'1Day AM Base'!B143),2),ROUND(MinBase1AMDay*(1+ExpressFuelSurcharge),2),ROUND(((1-(OverNightDiscount_21_Up+FedExExrpessEarnedDiscount))*'1Day AM Base'!B143)*(1+ExpressFuelSurcharge),2)))*(1+FedEx_Markup),2)</f>
        <v>165.89</v>
      </c>
      <c r="C146" s="275">
        <f>ROUND((IF(MinBase1AMDay&gt;ROUND(((1-(OverNightDiscount_21_Up+FedExExrpessEarnedDiscount))*'1Day AM Base'!C143),2),ROUND(MinBase1AMDay*(1+ExpressFuelSurcharge),2),ROUND(((1-(OverNightDiscount_21_Up+FedExExrpessEarnedDiscount))*'1Day AM Base'!C143)*(1+ExpressFuelSurcharge),2)))*(1+FedEx_Markup),2)</f>
        <v>231.9</v>
      </c>
      <c r="D146" s="275">
        <f>ROUND((IF(MinBase1AMDay&gt;ROUND(((1-(OverNightDiscount_21_Up+FedExExrpessEarnedDiscount))*'1Day AM Base'!D143),2),ROUND(MinBase1AMDay*(1+ExpressFuelSurcharge),2),ROUND(((1-(OverNightDiscount_21_Up+FedExExrpessEarnedDiscount))*'1Day AM Base'!D143)*(1+ExpressFuelSurcharge),2)))*(1+FedEx_Markup),2)</f>
        <v>421.33</v>
      </c>
      <c r="E146" s="275">
        <f>ROUND((IF(MinBase1AMDay&gt;ROUND(((1-(OverNightDiscount_21_Up+FedExExrpessEarnedDiscount))*'1Day AM Base'!E143),2),ROUND(MinBase1AMDay*(1+ExpressFuelSurcharge),2),ROUND(((1-(OverNightDiscount_21_Up+FedExExrpessEarnedDiscount))*'1Day AM Base'!E143)*(1+ExpressFuelSurcharge),2)))*(1+FedEx_Markup),2)</f>
        <v>502.84</v>
      </c>
      <c r="F146" s="275">
        <f>ROUND((IF(MinBase1AMDay&gt;ROUND(((1-(OverNightDiscount_21_Up+FedExExrpessEarnedDiscount))*'1Day AM Base'!F143),2),ROUND(MinBase1AMDay*(1+ExpressFuelSurcharge),2),ROUND(((1-(OverNightDiscount_21_Up+FedExExrpessEarnedDiscount))*'1Day AM Base'!F143)*(1+ExpressFuelSurcharge),2)))*(1+FedEx_Markup),2)</f>
        <v>513.16</v>
      </c>
      <c r="G146" s="275">
        <f>ROUND((IF(MinBase1AMDay&gt;ROUND(((1-(OverNightDiscount_21_Up+FedExExrpessEarnedDiscount))*'1Day AM Base'!G143),2),ROUND(MinBase1AMDay*(1+ExpressFuelSurcharge),2),ROUND(((1-(OverNightDiscount_21_Up+FedExExrpessEarnedDiscount))*'1Day AM Base'!G143)*(1+ExpressFuelSurcharge),2)))*(1+FedEx_Markup),2)</f>
        <v>628.54</v>
      </c>
      <c r="H146" s="275">
        <f>ROUND((IF(MinBase1AMDay&gt;ROUND(((1-(OverNightDiscount_21_Up+FedExExrpessEarnedDiscount))*'1Day AM Base'!H143),2),ROUND(MinBase1AMDay*(1+ExpressFuelSurcharge),2),ROUND(((1-(OverNightDiscount_21_Up+FedExExrpessEarnedDiscount))*'1Day AM Base'!H143)*(1+ExpressFuelSurcharge),2)))*(1+FedEx_Markup),2)</f>
        <v>669.3</v>
      </c>
    </row>
    <row r="147" ht="12.75" customHeight="1">
      <c r="A147" s="274">
        <v>142.0</v>
      </c>
      <c r="B147" s="275">
        <f>ROUND((IF(MinBase1AMDay&gt;ROUND(((1-(OverNightDiscount_21_Up+FedExExrpessEarnedDiscount))*'1Day AM Base'!B144),2),ROUND(MinBase1AMDay*(1+ExpressFuelSurcharge),2),ROUND(((1-(OverNightDiscount_21_Up+FedExExrpessEarnedDiscount))*'1Day AM Base'!B144)*(1+ExpressFuelSurcharge),2)))*(1+FedEx_Markup),2)</f>
        <v>167.06</v>
      </c>
      <c r="C147" s="275">
        <f>ROUND((IF(MinBase1AMDay&gt;ROUND(((1-(OverNightDiscount_21_Up+FedExExrpessEarnedDiscount))*'1Day AM Base'!C144),2),ROUND(MinBase1AMDay*(1+ExpressFuelSurcharge),2),ROUND(((1-(OverNightDiscount_21_Up+FedExExrpessEarnedDiscount))*'1Day AM Base'!C144)*(1+ExpressFuelSurcharge),2)))*(1+FedEx_Markup),2)</f>
        <v>233.54</v>
      </c>
      <c r="D147" s="275">
        <f>ROUND((IF(MinBase1AMDay&gt;ROUND(((1-(OverNightDiscount_21_Up+FedExExrpessEarnedDiscount))*'1Day AM Base'!D144),2),ROUND(MinBase1AMDay*(1+ExpressFuelSurcharge),2),ROUND(((1-(OverNightDiscount_21_Up+FedExExrpessEarnedDiscount))*'1Day AM Base'!D144)*(1+ExpressFuelSurcharge),2)))*(1+FedEx_Markup),2)</f>
        <v>424.32</v>
      </c>
      <c r="E147" s="275">
        <f>ROUND((IF(MinBase1AMDay&gt;ROUND(((1-(OverNightDiscount_21_Up+FedExExrpessEarnedDiscount))*'1Day AM Base'!E144),2),ROUND(MinBase1AMDay*(1+ExpressFuelSurcharge),2),ROUND(((1-(OverNightDiscount_21_Up+FedExExrpessEarnedDiscount))*'1Day AM Base'!E144)*(1+ExpressFuelSurcharge),2)))*(1+FedEx_Markup),2)</f>
        <v>506.4</v>
      </c>
      <c r="F147" s="275">
        <f>ROUND((IF(MinBase1AMDay&gt;ROUND(((1-(OverNightDiscount_21_Up+FedExExrpessEarnedDiscount))*'1Day AM Base'!F144),2),ROUND(MinBase1AMDay*(1+ExpressFuelSurcharge),2),ROUND(((1-(OverNightDiscount_21_Up+FedExExrpessEarnedDiscount))*'1Day AM Base'!F144)*(1+ExpressFuelSurcharge),2)))*(1+FedEx_Markup),2)</f>
        <v>516.81</v>
      </c>
      <c r="G147" s="275">
        <f>ROUND((IF(MinBase1AMDay&gt;ROUND(((1-(OverNightDiscount_21_Up+FedExExrpessEarnedDiscount))*'1Day AM Base'!G144),2),ROUND(MinBase1AMDay*(1+ExpressFuelSurcharge),2),ROUND(((1-(OverNightDiscount_21_Up+FedExExrpessEarnedDiscount))*'1Day AM Base'!G144)*(1+ExpressFuelSurcharge),2)))*(1+FedEx_Markup),2)</f>
        <v>632.99</v>
      </c>
      <c r="H147" s="275">
        <f>ROUND((IF(MinBase1AMDay&gt;ROUND(((1-(OverNightDiscount_21_Up+FedExExrpessEarnedDiscount))*'1Day AM Base'!H144),2),ROUND(MinBase1AMDay*(1+ExpressFuelSurcharge),2),ROUND(((1-(OverNightDiscount_21_Up+FedExExrpessEarnedDiscount))*'1Day AM Base'!H144)*(1+ExpressFuelSurcharge),2)))*(1+FedEx_Markup),2)</f>
        <v>674.04</v>
      </c>
    </row>
    <row r="148" ht="12.75" customHeight="1">
      <c r="A148" s="274">
        <v>143.0</v>
      </c>
      <c r="B148" s="275">
        <f>ROUND((IF(MinBase1AMDay&gt;ROUND(((1-(OverNightDiscount_21_Up+FedExExrpessEarnedDiscount))*'1Day AM Base'!B145),2),ROUND(MinBase1AMDay*(1+ExpressFuelSurcharge),2),ROUND(((1-(OverNightDiscount_21_Up+FedExExrpessEarnedDiscount))*'1Day AM Base'!B145)*(1+ExpressFuelSurcharge),2)))*(1+FedEx_Markup),2)</f>
        <v>168.25</v>
      </c>
      <c r="C148" s="275">
        <f>ROUND((IF(MinBase1AMDay&gt;ROUND(((1-(OverNightDiscount_21_Up+FedExExrpessEarnedDiscount))*'1Day AM Base'!C145),2),ROUND(MinBase1AMDay*(1+ExpressFuelSurcharge),2),ROUND(((1-(OverNightDiscount_21_Up+FedExExrpessEarnedDiscount))*'1Day AM Base'!C145)*(1+ExpressFuelSurcharge),2)))*(1+FedEx_Markup),2)</f>
        <v>235.19</v>
      </c>
      <c r="D148" s="275">
        <f>ROUND((IF(MinBase1AMDay&gt;ROUND(((1-(OverNightDiscount_21_Up+FedExExrpessEarnedDiscount))*'1Day AM Base'!D145),2),ROUND(MinBase1AMDay*(1+ExpressFuelSurcharge),2),ROUND(((1-(OverNightDiscount_21_Up+FedExExrpessEarnedDiscount))*'1Day AM Base'!D145)*(1+ExpressFuelSurcharge),2)))*(1+FedEx_Markup),2)</f>
        <v>427.31</v>
      </c>
      <c r="E148" s="275">
        <f>ROUND((IF(MinBase1AMDay&gt;ROUND(((1-(OverNightDiscount_21_Up+FedExExrpessEarnedDiscount))*'1Day AM Base'!E145),2),ROUND(MinBase1AMDay*(1+ExpressFuelSurcharge),2),ROUND(((1-(OverNightDiscount_21_Up+FedExExrpessEarnedDiscount))*'1Day AM Base'!E145)*(1+ExpressFuelSurcharge),2)))*(1+FedEx_Markup),2)</f>
        <v>509.97</v>
      </c>
      <c r="F148" s="275">
        <f>ROUND((IF(MinBase1AMDay&gt;ROUND(((1-(OverNightDiscount_21_Up+FedExExrpessEarnedDiscount))*'1Day AM Base'!F145),2),ROUND(MinBase1AMDay*(1+ExpressFuelSurcharge),2),ROUND(((1-(OverNightDiscount_21_Up+FedExExrpessEarnedDiscount))*'1Day AM Base'!F145)*(1+ExpressFuelSurcharge),2)))*(1+FedEx_Markup),2)</f>
        <v>520.44</v>
      </c>
      <c r="G148" s="275">
        <f>ROUND((IF(MinBase1AMDay&gt;ROUND(((1-(OverNightDiscount_21_Up+FedExExrpessEarnedDiscount))*'1Day AM Base'!G145),2),ROUND(MinBase1AMDay*(1+ExpressFuelSurcharge),2),ROUND(((1-(OverNightDiscount_21_Up+FedExExrpessEarnedDiscount))*'1Day AM Base'!G145)*(1+ExpressFuelSurcharge),2)))*(1+FedEx_Markup),2)</f>
        <v>637.46</v>
      </c>
      <c r="H148" s="275">
        <f>ROUND((IF(MinBase1AMDay&gt;ROUND(((1-(OverNightDiscount_21_Up+FedExExrpessEarnedDiscount))*'1Day AM Base'!H145),2),ROUND(MinBase1AMDay*(1+ExpressFuelSurcharge),2),ROUND(((1-(OverNightDiscount_21_Up+FedExExrpessEarnedDiscount))*'1Day AM Base'!H145)*(1+ExpressFuelSurcharge),2)))*(1+FedEx_Markup),2)</f>
        <v>678.79</v>
      </c>
    </row>
    <row r="149" ht="12.75" customHeight="1">
      <c r="A149" s="274">
        <v>144.0</v>
      </c>
      <c r="B149" s="275">
        <f>ROUND((IF(MinBase1AMDay&gt;ROUND(((1-(OverNightDiscount_21_Up+FedExExrpessEarnedDiscount))*'1Day AM Base'!B146),2),ROUND(MinBase1AMDay*(1+ExpressFuelSurcharge),2),ROUND(((1-(OverNightDiscount_21_Up+FedExExrpessEarnedDiscount))*'1Day AM Base'!B146)*(1+ExpressFuelSurcharge),2)))*(1+FedEx_Markup),2)</f>
        <v>169.42</v>
      </c>
      <c r="C149" s="275">
        <f>ROUND((IF(MinBase1AMDay&gt;ROUND(((1-(OverNightDiscount_21_Up+FedExExrpessEarnedDiscount))*'1Day AM Base'!C146),2),ROUND(MinBase1AMDay*(1+ExpressFuelSurcharge),2),ROUND(((1-(OverNightDiscount_21_Up+FedExExrpessEarnedDiscount))*'1Day AM Base'!C146)*(1+ExpressFuelSurcharge),2)))*(1+FedEx_Markup),2)</f>
        <v>236.83</v>
      </c>
      <c r="D149" s="275">
        <f>ROUND((IF(MinBase1AMDay&gt;ROUND(((1-(OverNightDiscount_21_Up+FedExExrpessEarnedDiscount))*'1Day AM Base'!D146),2),ROUND(MinBase1AMDay*(1+ExpressFuelSurcharge),2),ROUND(((1-(OverNightDiscount_21_Up+FedExExrpessEarnedDiscount))*'1Day AM Base'!D146)*(1+ExpressFuelSurcharge),2)))*(1+FedEx_Markup),2)</f>
        <v>430.28</v>
      </c>
      <c r="E149" s="275">
        <f>ROUND((IF(MinBase1AMDay&gt;ROUND(((1-(OverNightDiscount_21_Up+FedExExrpessEarnedDiscount))*'1Day AM Base'!E146),2),ROUND(MinBase1AMDay*(1+ExpressFuelSurcharge),2),ROUND(((1-(OverNightDiscount_21_Up+FedExExrpessEarnedDiscount))*'1Day AM Base'!E146)*(1+ExpressFuelSurcharge),2)))*(1+FedEx_Markup),2)</f>
        <v>513.53</v>
      </c>
      <c r="F149" s="275">
        <f>ROUND((IF(MinBase1AMDay&gt;ROUND(((1-(OverNightDiscount_21_Up+FedExExrpessEarnedDiscount))*'1Day AM Base'!F146),2),ROUND(MinBase1AMDay*(1+ExpressFuelSurcharge),2),ROUND(((1-(OverNightDiscount_21_Up+FedExExrpessEarnedDiscount))*'1Day AM Base'!F146)*(1+ExpressFuelSurcharge),2)))*(1+FedEx_Markup),2)</f>
        <v>524.09</v>
      </c>
      <c r="G149" s="275">
        <f>ROUND((IF(MinBase1AMDay&gt;ROUND(((1-(OverNightDiscount_21_Up+FedExExrpessEarnedDiscount))*'1Day AM Base'!G146),2),ROUND(MinBase1AMDay*(1+ExpressFuelSurcharge),2),ROUND(((1-(OverNightDiscount_21_Up+FedExExrpessEarnedDiscount))*'1Day AM Base'!G146)*(1+ExpressFuelSurcharge),2)))*(1+FedEx_Markup),2)</f>
        <v>641.92</v>
      </c>
      <c r="H149" s="275">
        <f>ROUND((IF(MinBase1AMDay&gt;ROUND(((1-(OverNightDiscount_21_Up+FedExExrpessEarnedDiscount))*'1Day AM Base'!H146),2),ROUND(MinBase1AMDay*(1+ExpressFuelSurcharge),2),ROUND(((1-(OverNightDiscount_21_Up+FedExExrpessEarnedDiscount))*'1Day AM Base'!H146)*(1+ExpressFuelSurcharge),2)))*(1+FedEx_Markup),2)</f>
        <v>683.54</v>
      </c>
    </row>
    <row r="150" ht="12.75" customHeight="1">
      <c r="A150" s="274">
        <v>145.0</v>
      </c>
      <c r="B150" s="275">
        <f>ROUND((IF(MinBase1AMDay&gt;ROUND(((1-(OverNightDiscount_21_Up+FedExExrpessEarnedDiscount))*'1Day AM Base'!B147),2),ROUND(MinBase1AMDay*(1+ExpressFuelSurcharge),2),ROUND(((1-(OverNightDiscount_21_Up+FedExExrpessEarnedDiscount))*'1Day AM Base'!B147)*(1+ExpressFuelSurcharge),2)))*(1+FedEx_Markup),2)</f>
        <v>170.59</v>
      </c>
      <c r="C150" s="275">
        <f>ROUND((IF(MinBase1AMDay&gt;ROUND(((1-(OverNightDiscount_21_Up+FedExExrpessEarnedDiscount))*'1Day AM Base'!C147),2),ROUND(MinBase1AMDay*(1+ExpressFuelSurcharge),2),ROUND(((1-(OverNightDiscount_21_Up+FedExExrpessEarnedDiscount))*'1Day AM Base'!C147)*(1+ExpressFuelSurcharge),2)))*(1+FedEx_Markup),2)</f>
        <v>238.48</v>
      </c>
      <c r="D150" s="275">
        <f>ROUND((IF(MinBase1AMDay&gt;ROUND(((1-(OverNightDiscount_21_Up+FedExExrpessEarnedDiscount))*'1Day AM Base'!D147),2),ROUND(MinBase1AMDay*(1+ExpressFuelSurcharge),2),ROUND(((1-(OverNightDiscount_21_Up+FedExExrpessEarnedDiscount))*'1Day AM Base'!D147)*(1+ExpressFuelSurcharge),2)))*(1+FedEx_Markup),2)</f>
        <v>433.27</v>
      </c>
      <c r="E150" s="275">
        <f>ROUND((IF(MinBase1AMDay&gt;ROUND(((1-(OverNightDiscount_21_Up+FedExExrpessEarnedDiscount))*'1Day AM Base'!E147),2),ROUND(MinBase1AMDay*(1+ExpressFuelSurcharge),2),ROUND(((1-(OverNightDiscount_21_Up+FedExExrpessEarnedDiscount))*'1Day AM Base'!E147)*(1+ExpressFuelSurcharge),2)))*(1+FedEx_Markup),2)</f>
        <v>517.1</v>
      </c>
      <c r="F150" s="275">
        <f>ROUND((IF(MinBase1AMDay&gt;ROUND(((1-(OverNightDiscount_21_Up+FedExExrpessEarnedDiscount))*'1Day AM Base'!F147),2),ROUND(MinBase1AMDay*(1+ExpressFuelSurcharge),2),ROUND(((1-(OverNightDiscount_21_Up+FedExExrpessEarnedDiscount))*'1Day AM Base'!F147)*(1+ExpressFuelSurcharge),2)))*(1+FedEx_Markup),2)</f>
        <v>527.72</v>
      </c>
      <c r="G150" s="275">
        <f>ROUND((IF(MinBase1AMDay&gt;ROUND(((1-(OverNightDiscount_21_Up+FedExExrpessEarnedDiscount))*'1Day AM Base'!G147),2),ROUND(MinBase1AMDay*(1+ExpressFuelSurcharge),2),ROUND(((1-(OverNightDiscount_21_Up+FedExExrpessEarnedDiscount))*'1Day AM Base'!G147)*(1+ExpressFuelSurcharge),2)))*(1+FedEx_Markup),2)</f>
        <v>646.37</v>
      </c>
      <c r="H150" s="275">
        <f>ROUND((IF(MinBase1AMDay&gt;ROUND(((1-(OverNightDiscount_21_Up+FedExExrpessEarnedDiscount))*'1Day AM Base'!H147),2),ROUND(MinBase1AMDay*(1+ExpressFuelSurcharge),2),ROUND(((1-(OverNightDiscount_21_Up+FedExExrpessEarnedDiscount))*'1Day AM Base'!H147)*(1+ExpressFuelSurcharge),2)))*(1+FedEx_Markup),2)</f>
        <v>688.29</v>
      </c>
    </row>
    <row r="151" ht="12.75" customHeight="1">
      <c r="A151" s="274">
        <v>146.0</v>
      </c>
      <c r="B151" s="275">
        <f>ROUND((IF(MinBase1AMDay&gt;ROUND(((1-(OverNightDiscount_21_Up+FedExExrpessEarnedDiscount))*'1Day AM Base'!B148),2),ROUND(MinBase1AMDay*(1+ExpressFuelSurcharge),2),ROUND(((1-(OverNightDiscount_21_Up+FedExExrpessEarnedDiscount))*'1Day AM Base'!B148)*(1+ExpressFuelSurcharge),2)))*(1+FedEx_Markup),2)</f>
        <v>171.78</v>
      </c>
      <c r="C151" s="275">
        <f>ROUND((IF(MinBase1AMDay&gt;ROUND(((1-(OverNightDiscount_21_Up+FedExExrpessEarnedDiscount))*'1Day AM Base'!C148),2),ROUND(MinBase1AMDay*(1+ExpressFuelSurcharge),2),ROUND(((1-(OverNightDiscount_21_Up+FedExExrpessEarnedDiscount))*'1Day AM Base'!C148)*(1+ExpressFuelSurcharge),2)))*(1+FedEx_Markup),2)</f>
        <v>240.12</v>
      </c>
      <c r="D151" s="275">
        <f>ROUND((IF(MinBase1AMDay&gt;ROUND(((1-(OverNightDiscount_21_Up+FedExExrpessEarnedDiscount))*'1Day AM Base'!D148),2),ROUND(MinBase1AMDay*(1+ExpressFuelSurcharge),2),ROUND(((1-(OverNightDiscount_21_Up+FedExExrpessEarnedDiscount))*'1Day AM Base'!D148)*(1+ExpressFuelSurcharge),2)))*(1+FedEx_Markup),2)</f>
        <v>436.26</v>
      </c>
      <c r="E151" s="275">
        <f>ROUND((IF(MinBase1AMDay&gt;ROUND(((1-(OverNightDiscount_21_Up+FedExExrpessEarnedDiscount))*'1Day AM Base'!E148),2),ROUND(MinBase1AMDay*(1+ExpressFuelSurcharge),2),ROUND(((1-(OverNightDiscount_21_Up+FedExExrpessEarnedDiscount))*'1Day AM Base'!E148)*(1+ExpressFuelSurcharge),2)))*(1+FedEx_Markup),2)</f>
        <v>520.66</v>
      </c>
      <c r="F151" s="275">
        <f>ROUND((IF(MinBase1AMDay&gt;ROUND(((1-(OverNightDiscount_21_Up+FedExExrpessEarnedDiscount))*'1Day AM Base'!F148),2),ROUND(MinBase1AMDay*(1+ExpressFuelSurcharge),2),ROUND(((1-(OverNightDiscount_21_Up+FedExExrpessEarnedDiscount))*'1Day AM Base'!F148)*(1+ExpressFuelSurcharge),2)))*(1+FedEx_Markup),2)</f>
        <v>531.36</v>
      </c>
      <c r="G151" s="275">
        <f>ROUND((IF(MinBase1AMDay&gt;ROUND(((1-(OverNightDiscount_21_Up+FedExExrpessEarnedDiscount))*'1Day AM Base'!G148),2),ROUND(MinBase1AMDay*(1+ExpressFuelSurcharge),2),ROUND(((1-(OverNightDiscount_21_Up+FedExExrpessEarnedDiscount))*'1Day AM Base'!G148)*(1+ExpressFuelSurcharge),2)))*(1+FedEx_Markup),2)</f>
        <v>650.83</v>
      </c>
      <c r="H151" s="275">
        <f>ROUND((IF(MinBase1AMDay&gt;ROUND(((1-(OverNightDiscount_21_Up+FedExExrpessEarnedDiscount))*'1Day AM Base'!H148),2),ROUND(MinBase1AMDay*(1+ExpressFuelSurcharge),2),ROUND(((1-(OverNightDiscount_21_Up+FedExExrpessEarnedDiscount))*'1Day AM Base'!H148)*(1+ExpressFuelSurcharge),2)))*(1+FedEx_Markup),2)</f>
        <v>693.04</v>
      </c>
    </row>
    <row r="152" ht="12.75" customHeight="1">
      <c r="A152" s="274">
        <v>147.0</v>
      </c>
      <c r="B152" s="275">
        <f>ROUND((IF(MinBase1AMDay&gt;ROUND(((1-(OverNightDiscount_21_Up+FedExExrpessEarnedDiscount))*'1Day AM Base'!B149),2),ROUND(MinBase1AMDay*(1+ExpressFuelSurcharge),2),ROUND(((1-(OverNightDiscount_21_Up+FedExExrpessEarnedDiscount))*'1Day AM Base'!B149)*(1+ExpressFuelSurcharge),2)))*(1+FedEx_Markup),2)</f>
        <v>172.95</v>
      </c>
      <c r="C152" s="275">
        <f>ROUND((IF(MinBase1AMDay&gt;ROUND(((1-(OverNightDiscount_21_Up+FedExExrpessEarnedDiscount))*'1Day AM Base'!C149),2),ROUND(MinBase1AMDay*(1+ExpressFuelSurcharge),2),ROUND(((1-(OverNightDiscount_21_Up+FedExExrpessEarnedDiscount))*'1Day AM Base'!C149)*(1+ExpressFuelSurcharge),2)))*(1+FedEx_Markup),2)</f>
        <v>241.76</v>
      </c>
      <c r="D152" s="275">
        <f>ROUND((IF(MinBase1AMDay&gt;ROUND(((1-(OverNightDiscount_21_Up+FedExExrpessEarnedDiscount))*'1Day AM Base'!D149),2),ROUND(MinBase1AMDay*(1+ExpressFuelSurcharge),2),ROUND(((1-(OverNightDiscount_21_Up+FedExExrpessEarnedDiscount))*'1Day AM Base'!D149)*(1+ExpressFuelSurcharge),2)))*(1+FedEx_Markup),2)</f>
        <v>439.25</v>
      </c>
      <c r="E152" s="275">
        <f>ROUND((IF(MinBase1AMDay&gt;ROUND(((1-(OverNightDiscount_21_Up+FedExExrpessEarnedDiscount))*'1Day AM Base'!E149),2),ROUND(MinBase1AMDay*(1+ExpressFuelSurcharge),2),ROUND(((1-(OverNightDiscount_21_Up+FedExExrpessEarnedDiscount))*'1Day AM Base'!E149)*(1+ExpressFuelSurcharge),2)))*(1+FedEx_Markup),2)</f>
        <v>524.23</v>
      </c>
      <c r="F152" s="275">
        <f>ROUND((IF(MinBase1AMDay&gt;ROUND(((1-(OverNightDiscount_21_Up+FedExExrpessEarnedDiscount))*'1Day AM Base'!F149),2),ROUND(MinBase1AMDay*(1+ExpressFuelSurcharge),2),ROUND(((1-(OverNightDiscount_21_Up+FedExExrpessEarnedDiscount))*'1Day AM Base'!F149)*(1+ExpressFuelSurcharge),2)))*(1+FedEx_Markup),2)</f>
        <v>535</v>
      </c>
      <c r="G152" s="275">
        <f>ROUND((IF(MinBase1AMDay&gt;ROUND(((1-(OverNightDiscount_21_Up+FedExExrpessEarnedDiscount))*'1Day AM Base'!G149),2),ROUND(MinBase1AMDay*(1+ExpressFuelSurcharge),2),ROUND(((1-(OverNightDiscount_21_Up+FedExExrpessEarnedDiscount))*'1Day AM Base'!G149)*(1+ExpressFuelSurcharge),2)))*(1+FedEx_Markup),2)</f>
        <v>655.29</v>
      </c>
      <c r="H152" s="275">
        <f>ROUND((IF(MinBase1AMDay&gt;ROUND(((1-(OverNightDiscount_21_Up+FedExExrpessEarnedDiscount))*'1Day AM Base'!H149),2),ROUND(MinBase1AMDay*(1+ExpressFuelSurcharge),2),ROUND(((1-(OverNightDiscount_21_Up+FedExExrpessEarnedDiscount))*'1Day AM Base'!H149)*(1+ExpressFuelSurcharge),2)))*(1+FedEx_Markup),2)</f>
        <v>697.77</v>
      </c>
    </row>
    <row r="153" ht="12.75" customHeight="1">
      <c r="A153" s="274">
        <v>148.0</v>
      </c>
      <c r="B153" s="275">
        <f>ROUND((IF(MinBase1AMDay&gt;ROUND(((1-(OverNightDiscount_21_Up+FedExExrpessEarnedDiscount))*'1Day AM Base'!B150),2),ROUND(MinBase1AMDay*(1+ExpressFuelSurcharge),2),ROUND(((1-(OverNightDiscount_21_Up+FedExExrpessEarnedDiscount))*'1Day AM Base'!B150)*(1+ExpressFuelSurcharge),2)))*(1+FedEx_Markup),2)</f>
        <v>174.12</v>
      </c>
      <c r="C153" s="275">
        <f>ROUND((IF(MinBase1AMDay&gt;ROUND(((1-(OverNightDiscount_21_Up+FedExExrpessEarnedDiscount))*'1Day AM Base'!C150),2),ROUND(MinBase1AMDay*(1+ExpressFuelSurcharge),2),ROUND(((1-(OverNightDiscount_21_Up+FedExExrpessEarnedDiscount))*'1Day AM Base'!C150)*(1+ExpressFuelSurcharge),2)))*(1+FedEx_Markup),2)</f>
        <v>243.41</v>
      </c>
      <c r="D153" s="275">
        <f>ROUND((IF(MinBase1AMDay&gt;ROUND(((1-(OverNightDiscount_21_Up+FedExExrpessEarnedDiscount))*'1Day AM Base'!D150),2),ROUND(MinBase1AMDay*(1+ExpressFuelSurcharge),2),ROUND(((1-(OverNightDiscount_21_Up+FedExExrpessEarnedDiscount))*'1Day AM Base'!D150)*(1+ExpressFuelSurcharge),2)))*(1+FedEx_Markup),2)</f>
        <v>442.24</v>
      </c>
      <c r="E153" s="275">
        <f>ROUND((IF(MinBase1AMDay&gt;ROUND(((1-(OverNightDiscount_21_Up+FedExExrpessEarnedDiscount))*'1Day AM Base'!E150),2),ROUND(MinBase1AMDay*(1+ExpressFuelSurcharge),2),ROUND(((1-(OverNightDiscount_21_Up+FedExExrpessEarnedDiscount))*'1Day AM Base'!E150)*(1+ExpressFuelSurcharge),2)))*(1+FedEx_Markup),2)</f>
        <v>527.79</v>
      </c>
      <c r="F153" s="275">
        <f>ROUND((IF(MinBase1AMDay&gt;ROUND(((1-(OverNightDiscount_21_Up+FedExExrpessEarnedDiscount))*'1Day AM Base'!F150),2),ROUND(MinBase1AMDay*(1+ExpressFuelSurcharge),2),ROUND(((1-(OverNightDiscount_21_Up+FedExExrpessEarnedDiscount))*'1Day AM Base'!F150)*(1+ExpressFuelSurcharge),2)))*(1+FedEx_Markup),2)</f>
        <v>538.64</v>
      </c>
      <c r="G153" s="275">
        <f>ROUND((IF(MinBase1AMDay&gt;ROUND(((1-(OverNightDiscount_21_Up+FedExExrpessEarnedDiscount))*'1Day AM Base'!G150),2),ROUND(MinBase1AMDay*(1+ExpressFuelSurcharge),2),ROUND(((1-(OverNightDiscount_21_Up+FedExExrpessEarnedDiscount))*'1Day AM Base'!G150)*(1+ExpressFuelSurcharge),2)))*(1+FedEx_Markup),2)</f>
        <v>659.74</v>
      </c>
      <c r="H153" s="275">
        <f>ROUND((IF(MinBase1AMDay&gt;ROUND(((1-(OverNightDiscount_21_Up+FedExExrpessEarnedDiscount))*'1Day AM Base'!H150),2),ROUND(MinBase1AMDay*(1+ExpressFuelSurcharge),2),ROUND(((1-(OverNightDiscount_21_Up+FedExExrpessEarnedDiscount))*'1Day AM Base'!H150)*(1+ExpressFuelSurcharge),2)))*(1+FedEx_Markup),2)</f>
        <v>702.52</v>
      </c>
    </row>
    <row r="154" ht="12.75" customHeight="1">
      <c r="A154" s="274">
        <v>149.0</v>
      </c>
      <c r="B154" s="275">
        <f>ROUND((IF(MinBase1AMDay&gt;ROUND(((1-(OverNightDiscount_21_Up+FedExExrpessEarnedDiscount))*'1Day AM Base'!B151),2),ROUND(MinBase1AMDay*(1+ExpressFuelSurcharge),2),ROUND(((1-(OverNightDiscount_21_Up+FedExExrpessEarnedDiscount))*'1Day AM Base'!B151)*(1+ExpressFuelSurcharge),2)))*(1+FedEx_Markup),2)</f>
        <v>175.31</v>
      </c>
      <c r="C154" s="275">
        <f>ROUND((IF(MinBase1AMDay&gt;ROUND(((1-(OverNightDiscount_21_Up+FedExExrpessEarnedDiscount))*'1Day AM Base'!C151),2),ROUND(MinBase1AMDay*(1+ExpressFuelSurcharge),2),ROUND(((1-(OverNightDiscount_21_Up+FedExExrpessEarnedDiscount))*'1Day AM Base'!C151)*(1+ExpressFuelSurcharge),2)))*(1+FedEx_Markup),2)</f>
        <v>245.05</v>
      </c>
      <c r="D154" s="275">
        <f>ROUND((IF(MinBase1AMDay&gt;ROUND(((1-(OverNightDiscount_21_Up+FedExExrpessEarnedDiscount))*'1Day AM Base'!D151),2),ROUND(MinBase1AMDay*(1+ExpressFuelSurcharge),2),ROUND(((1-(OverNightDiscount_21_Up+FedExExrpessEarnedDiscount))*'1Day AM Base'!D151)*(1+ExpressFuelSurcharge),2)))*(1+FedEx_Markup),2)</f>
        <v>445.23</v>
      </c>
      <c r="E154" s="275">
        <f>ROUND((IF(MinBase1AMDay&gt;ROUND(((1-(OverNightDiscount_21_Up+FedExExrpessEarnedDiscount))*'1Day AM Base'!E151),2),ROUND(MinBase1AMDay*(1+ExpressFuelSurcharge),2),ROUND(((1-(OverNightDiscount_21_Up+FedExExrpessEarnedDiscount))*'1Day AM Base'!E151)*(1+ExpressFuelSurcharge),2)))*(1+FedEx_Markup),2)</f>
        <v>531.36</v>
      </c>
      <c r="F154" s="275">
        <f>ROUND((IF(MinBase1AMDay&gt;ROUND(((1-(OverNightDiscount_21_Up+FedExExrpessEarnedDiscount))*'1Day AM Base'!F151),2),ROUND(MinBase1AMDay*(1+ExpressFuelSurcharge),2),ROUND(((1-(OverNightDiscount_21_Up+FedExExrpessEarnedDiscount))*'1Day AM Base'!F151)*(1+ExpressFuelSurcharge),2)))*(1+FedEx_Markup),2)</f>
        <v>542.28</v>
      </c>
      <c r="G154" s="275">
        <f>ROUND((IF(MinBase1AMDay&gt;ROUND(((1-(OverNightDiscount_21_Up+FedExExrpessEarnedDiscount))*'1Day AM Base'!G151),2),ROUND(MinBase1AMDay*(1+ExpressFuelSurcharge),2),ROUND(((1-(OverNightDiscount_21_Up+FedExExrpessEarnedDiscount))*'1Day AM Base'!G151)*(1+ExpressFuelSurcharge),2)))*(1+FedEx_Markup),2)</f>
        <v>664.21</v>
      </c>
      <c r="H154" s="275">
        <f>ROUND((IF(MinBase1AMDay&gt;ROUND(((1-(OverNightDiscount_21_Up+FedExExrpessEarnedDiscount))*'1Day AM Base'!H151),2),ROUND(MinBase1AMDay*(1+ExpressFuelSurcharge),2),ROUND(((1-(OverNightDiscount_21_Up+FedExExrpessEarnedDiscount))*'1Day AM Base'!H151)*(1+ExpressFuelSurcharge),2)))*(1+FedEx_Markup),2)</f>
        <v>707.27</v>
      </c>
    </row>
    <row r="155" ht="12.75" customHeight="1">
      <c r="A155" s="274">
        <v>150.0</v>
      </c>
      <c r="B155" s="275">
        <f>ROUND((IF(MinBase1AMDay&gt;ROUND(((1-(OverNightDiscount_21_Up+FedExExrpessEarnedDiscount))*'1Day AM Base'!B152),2),ROUND(MinBase1AMDay*(1+ExpressFuelSurcharge),2),ROUND(((1-(OverNightDiscount_21_Up+FedExExrpessEarnedDiscount))*'1Day AM Base'!B152)*(1+ExpressFuelSurcharge),2)))*(1+FedEx_Markup),2)</f>
        <v>176.48</v>
      </c>
      <c r="C155" s="275">
        <f>ROUND((IF(MinBase1AMDay&gt;ROUND(((1-(OverNightDiscount_21_Up+FedExExrpessEarnedDiscount))*'1Day AM Base'!C152),2),ROUND(MinBase1AMDay*(1+ExpressFuelSurcharge),2),ROUND(((1-(OverNightDiscount_21_Up+FedExExrpessEarnedDiscount))*'1Day AM Base'!C152)*(1+ExpressFuelSurcharge),2)))*(1+FedEx_Markup),2)</f>
        <v>246.7</v>
      </c>
      <c r="D155" s="275">
        <f>ROUND((IF(MinBase1AMDay&gt;ROUND(((1-(OverNightDiscount_21_Up+FedExExrpessEarnedDiscount))*'1Day AM Base'!D152),2),ROUND(MinBase1AMDay*(1+ExpressFuelSurcharge),2),ROUND(((1-(OverNightDiscount_21_Up+FedExExrpessEarnedDiscount))*'1Day AM Base'!D152)*(1+ExpressFuelSurcharge),2)))*(1+FedEx_Markup),2)</f>
        <v>448.21</v>
      </c>
      <c r="E155" s="275">
        <f>ROUND((IF(MinBase1AMDay&gt;ROUND(((1-(OverNightDiscount_21_Up+FedExExrpessEarnedDiscount))*'1Day AM Base'!E152),2),ROUND(MinBase1AMDay*(1+ExpressFuelSurcharge),2),ROUND(((1-(OverNightDiscount_21_Up+FedExExrpessEarnedDiscount))*'1Day AM Base'!E152)*(1+ExpressFuelSurcharge),2)))*(1+FedEx_Markup),2)</f>
        <v>534.93</v>
      </c>
      <c r="F155" s="275">
        <f>ROUND((IF(MinBase1AMDay&gt;ROUND(((1-(OverNightDiscount_21_Up+FedExExrpessEarnedDiscount))*'1Day AM Base'!F152),2),ROUND(MinBase1AMDay*(1+ExpressFuelSurcharge),2),ROUND(((1-(OverNightDiscount_21_Up+FedExExrpessEarnedDiscount))*'1Day AM Base'!F152)*(1+ExpressFuelSurcharge),2)))*(1+FedEx_Markup),2)</f>
        <v>545.92</v>
      </c>
      <c r="G155" s="275">
        <f>ROUND((IF(MinBase1AMDay&gt;ROUND(((1-(OverNightDiscount_21_Up+FedExExrpessEarnedDiscount))*'1Day AM Base'!G152),2),ROUND(MinBase1AMDay*(1+ExpressFuelSurcharge),2),ROUND(((1-(OverNightDiscount_21_Up+FedExExrpessEarnedDiscount))*'1Day AM Base'!G152)*(1+ExpressFuelSurcharge),2)))*(1+FedEx_Markup),2)</f>
        <v>668.67</v>
      </c>
      <c r="H155" s="275">
        <f>ROUND((IF(MinBase1AMDay&gt;ROUND(((1-(OverNightDiscount_21_Up+FedExExrpessEarnedDiscount))*'1Day AM Base'!H152),2),ROUND(MinBase1AMDay*(1+ExpressFuelSurcharge),2),ROUND(((1-(OverNightDiscount_21_Up+FedExExrpessEarnedDiscount))*'1Day AM Base'!H152)*(1+ExpressFuelSurcharge),2)))*(1+FedEx_Markup),2)</f>
        <v>712.02</v>
      </c>
    </row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6:H155">
    <cfRule type="expression" dxfId="0" priority="1">
      <formula>MOD(ROW(),2)=0</formula>
    </cfRule>
  </conditionalFormatting>
  <printOptions/>
  <pageMargins bottom="0.57" footer="0.0" header="0.0" left="0.75" right="0.75" top="0.51"/>
  <pageSetup scale="92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BE4D5"/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12" width="8.13"/>
    <col customWidth="1" min="13" max="26" width="8.63"/>
  </cols>
  <sheetData>
    <row r="1" ht="12.75" customHeight="1">
      <c r="B1" s="288" t="s">
        <v>121</v>
      </c>
      <c r="C1" s="284"/>
      <c r="D1" s="284"/>
      <c r="E1" s="289">
        <f>ExpressResWithFS</f>
        <v>7.73</v>
      </c>
      <c r="H1" s="264" t="s">
        <v>113</v>
      </c>
    </row>
    <row r="2" ht="12.75" customHeight="1">
      <c r="B2" s="270" t="s">
        <v>115</v>
      </c>
      <c r="H2" s="264" t="s">
        <v>114</v>
      </c>
    </row>
    <row r="3" ht="12.75" customHeight="1">
      <c r="B3" s="270" t="s">
        <v>124</v>
      </c>
    </row>
    <row r="4" ht="12.75" customHeight="1">
      <c r="A4" s="290" t="s">
        <v>1</v>
      </c>
      <c r="B4" s="291" t="s">
        <v>0</v>
      </c>
      <c r="C4" s="291" t="s">
        <v>0</v>
      </c>
      <c r="D4" s="291" t="s">
        <v>0</v>
      </c>
      <c r="E4" s="291" t="s">
        <v>0</v>
      </c>
      <c r="F4" s="291" t="s">
        <v>0</v>
      </c>
      <c r="G4" s="291" t="s">
        <v>0</v>
      </c>
      <c r="H4" s="291" t="s">
        <v>0</v>
      </c>
      <c r="I4" s="291" t="s">
        <v>125</v>
      </c>
      <c r="J4" s="291" t="s">
        <v>126</v>
      </c>
      <c r="K4" s="291" t="s">
        <v>127</v>
      </c>
      <c r="L4" s="291" t="s">
        <v>128</v>
      </c>
    </row>
    <row r="5" ht="12.75" customHeight="1">
      <c r="A5" s="271" t="s">
        <v>80</v>
      </c>
      <c r="B5" s="273">
        <v>2.0</v>
      </c>
      <c r="C5" s="273">
        <v>3.0</v>
      </c>
      <c r="D5" s="273">
        <v>4.0</v>
      </c>
      <c r="E5" s="273">
        <v>5.0</v>
      </c>
      <c r="F5" s="273">
        <v>6.0</v>
      </c>
      <c r="G5" s="273">
        <v>7.0</v>
      </c>
      <c r="H5" s="273">
        <v>8.0</v>
      </c>
      <c r="I5" s="273">
        <v>9.0</v>
      </c>
      <c r="J5" s="273">
        <v>9.0</v>
      </c>
      <c r="K5" s="273">
        <v>10.0</v>
      </c>
      <c r="L5" s="273">
        <v>11.0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274" t="s">
        <v>117</v>
      </c>
      <c r="B6" s="275">
        <f>ROUND((IF(MinBase2Day&gt;ROUND(((1-(TwoDayDiscount_1_to_10+FedExExrpessEarnedDiscount))*'2Day Base'!B3),2),ROUND(MinBase2Day*(1+ExpressFuelSurcharge),2),ROUND(((1-(TwoDayDiscount_1_to_10+FedExExrpessEarnedDiscount))*'2Day Base'!B3)*(1+ExpressFuelSurcharge),2)))*(1+FedEx_Markup),2)</f>
        <v>19.54</v>
      </c>
      <c r="C6" s="275">
        <f>ROUND((IF(MinBase2Day&gt;ROUND(((1-(TwoDayDiscount_1_to_10+FedExExrpessEarnedDiscount))*'2Day Base'!C3),2),ROUND(MinBase2Day*(1+ExpressFuelSurcharge),2),ROUND(((1-(TwoDayDiscount_1_to_10+FedExExrpessEarnedDiscount))*'2Day Base'!C3)*(1+ExpressFuelSurcharge),2)))*(1+FedEx_Markup),2)</f>
        <v>19.54</v>
      </c>
      <c r="D6" s="275">
        <f>ROUND((IF(MinBase2Day&gt;ROUND(((1-(TwoDayDiscount_1_to_10+FedExExrpessEarnedDiscount))*'2Day Base'!D3),2),ROUND(MinBase2Day*(1+ExpressFuelSurcharge),2),ROUND(((1-(TwoDayDiscount_1_to_10+FedExExrpessEarnedDiscount))*'2Day Base'!D3)*(1+ExpressFuelSurcharge),2)))*(1+FedEx_Markup),2)</f>
        <v>19.54</v>
      </c>
      <c r="E6" s="275">
        <f>ROUND((IF(MinBase2Day&gt;ROUND(((1-(TwoDayDiscount_1_to_10+FedExExrpessEarnedDiscount))*'2Day Base'!E3),2),ROUND(MinBase2Day*(1+ExpressFuelSurcharge),2),ROUND(((1-(TwoDayDiscount_1_to_10+FedExExrpessEarnedDiscount))*'2Day Base'!E3)*(1+ExpressFuelSurcharge),2)))*(1+FedEx_Markup),2)</f>
        <v>19.54</v>
      </c>
      <c r="F6" s="275">
        <f>ROUND((IF(MinBase2Day&gt;ROUND(((1-(TwoDayDiscount_1_to_10+FedExExrpessEarnedDiscount))*'2Day Base'!F3),2),ROUND(MinBase2Day*(1+ExpressFuelSurcharge),2),ROUND(((1-(TwoDayDiscount_1_to_10+FedExExrpessEarnedDiscount))*'2Day Base'!F3)*(1+ExpressFuelSurcharge),2)))*(1+FedEx_Markup),2)</f>
        <v>23.35</v>
      </c>
      <c r="G6" s="275">
        <f>ROUND((IF(MinBase2Day&gt;ROUND(((1-(TwoDayDiscount_1_to_10+FedExExrpessEarnedDiscount))*'2Day Base'!G3),2),ROUND(MinBase2Day*(1+ExpressFuelSurcharge),2),ROUND(((1-(TwoDayDiscount_1_to_10+FedExExrpessEarnedDiscount))*'2Day Base'!G3)*(1+ExpressFuelSurcharge),2)))*(1+FedEx_Markup),2)</f>
        <v>24.9</v>
      </c>
      <c r="H6" s="275">
        <f>ROUND((IF(MinBase2Day&gt;ROUND(((1-(TwoDayDiscount_1_to_10+FedExExrpessEarnedDiscount))*'2Day Base'!H3),2),ROUND(MinBase2Day*(1+ExpressFuelSurcharge),2),ROUND(((1-(TwoDayDiscount_1_to_10+FedExExrpessEarnedDiscount))*'2Day Base'!H3)*(1+ExpressFuelSurcharge),2)))*(1+FedEx_Markup),2)</f>
        <v>25.4</v>
      </c>
      <c r="I6" s="275">
        <f>ROUND((IF(MinBase2Day&gt;ROUND(((1-(TwoDayDiscount_1_to_10+FedExExrpessEarnedDiscount))*'2Day Base'!I3),2),ROUND(MinBase2Day*(1+ExpressFuelSurcharge),2),ROUND(((1-(TwoDayDiscount_1_to_10+FedExExrpessEarnedDiscount))*'2Day Base'!I3)*(1+ExpressFuelSurcharge),2)))*(1+FedEx_Markup),2)</f>
        <v>36.79</v>
      </c>
      <c r="J6" s="275">
        <f>ROUND((IF(MinBase2Day&gt;ROUND(((1-(TwoDayDiscount_1_to_10+FedExExrpessEarnedDiscount))*'2Day Base'!J3),2),ROUND(MinBase2Day*(1+ExpressFuelSurcharge),2),ROUND(((1-(TwoDayDiscount_1_to_10+FedExExrpessEarnedDiscount))*'2Day Base'!J3)*(1+ExpressFuelSurcharge),2)))*(1+FedEx_Markup),2)</f>
        <v>36.79</v>
      </c>
      <c r="K6" s="275">
        <f>ROUND((IF(MinBase2Day&gt;ROUND(((1-(TwoDayDiscount_1_to_10+FedExExrpessEarnedDiscount))*'2Day Base'!K3),2),ROUND(MinBase2Day*(1+ExpressFuelSurcharge),2),ROUND(((1-(TwoDayDiscount_1_to_10+FedExExrpessEarnedDiscount))*'2Day Base'!K3)*(1+ExpressFuelSurcharge),2)))*(1+FedEx_Markup),2)</f>
        <v>47.64</v>
      </c>
      <c r="L6" s="275">
        <f>ROUND((IF(MinBase2Day&gt;ROUND(((1-(TwoDayDiscount_1_to_10+FedExExrpessEarnedDiscount))*'2Day Base'!L3),2),ROUND(MinBase2Day*(1+ExpressFuelSurcharge),2),ROUND(((1-(TwoDayDiscount_1_to_10+FedExExrpessEarnedDiscount))*'2Day Base'!L3)*(1+ExpressFuelSurcharge),2)))*(1+FedEx_Markup),2)</f>
        <v>47.64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274">
        <v>2.0</v>
      </c>
      <c r="B7" s="275">
        <f>ROUND((IF(MinBase2Day&gt;ROUND(((1-(TwoDayDiscount_1_to_10+FedExExrpessEarnedDiscount))*'2Day Base'!B4),2),ROUND(MinBase2Day*(1+ExpressFuelSurcharge),2),ROUND(((1-(TwoDayDiscount_1_to_10+FedExExrpessEarnedDiscount))*'2Day Base'!B4)*(1+ExpressFuelSurcharge),2)))*(1+FedEx_Markup),2)</f>
        <v>19.54</v>
      </c>
      <c r="C7" s="275">
        <f>ROUND((IF(MinBase2Day&gt;ROUND(((1-(TwoDayDiscount_1_to_10+FedExExrpessEarnedDiscount))*'2Day Base'!C4),2),ROUND(MinBase2Day*(1+ExpressFuelSurcharge),2),ROUND(((1-(TwoDayDiscount_1_to_10+FedExExrpessEarnedDiscount))*'2Day Base'!C4)*(1+ExpressFuelSurcharge),2)))*(1+FedEx_Markup),2)</f>
        <v>19.54</v>
      </c>
      <c r="D7" s="275">
        <f>ROUND((IF(MinBase2Day&gt;ROUND(((1-(TwoDayDiscount_1_to_10+FedExExrpessEarnedDiscount))*'2Day Base'!D4),2),ROUND(MinBase2Day*(1+ExpressFuelSurcharge),2),ROUND(((1-(TwoDayDiscount_1_to_10+FedExExrpessEarnedDiscount))*'2Day Base'!D4)*(1+ExpressFuelSurcharge),2)))*(1+FedEx_Markup),2)</f>
        <v>19.54</v>
      </c>
      <c r="E7" s="275">
        <f>ROUND((IF(MinBase2Day&gt;ROUND(((1-(TwoDayDiscount_1_to_10+FedExExrpessEarnedDiscount))*'2Day Base'!E4),2),ROUND(MinBase2Day*(1+ExpressFuelSurcharge),2),ROUND(((1-(TwoDayDiscount_1_to_10+FedExExrpessEarnedDiscount))*'2Day Base'!E4)*(1+ExpressFuelSurcharge),2)))*(1+FedEx_Markup),2)</f>
        <v>21.11</v>
      </c>
      <c r="F7" s="275">
        <f>ROUND((IF(MinBase2Day&gt;ROUND(((1-(TwoDayDiscount_1_to_10+FedExExrpessEarnedDiscount))*'2Day Base'!F4),2),ROUND(MinBase2Day*(1+ExpressFuelSurcharge),2),ROUND(((1-(TwoDayDiscount_1_to_10+FedExExrpessEarnedDiscount))*'2Day Base'!F4)*(1+ExpressFuelSurcharge),2)))*(1+FedEx_Markup),2)</f>
        <v>26.32</v>
      </c>
      <c r="G7" s="275">
        <f>ROUND((IF(MinBase2Day&gt;ROUND(((1-(TwoDayDiscount_1_to_10+FedExExrpessEarnedDiscount))*'2Day Base'!G4),2),ROUND(MinBase2Day*(1+ExpressFuelSurcharge),2),ROUND(((1-(TwoDayDiscount_1_to_10+FedExExrpessEarnedDiscount))*'2Day Base'!G4)*(1+ExpressFuelSurcharge),2)))*(1+FedEx_Markup),2)</f>
        <v>29.22</v>
      </c>
      <c r="H7" s="275">
        <f>ROUND((IF(MinBase2Day&gt;ROUND(((1-(TwoDayDiscount_1_to_10+FedExExrpessEarnedDiscount))*'2Day Base'!H4),2),ROUND(MinBase2Day*(1+ExpressFuelSurcharge),2),ROUND(((1-(TwoDayDiscount_1_to_10+FedExExrpessEarnedDiscount))*'2Day Base'!H4)*(1+ExpressFuelSurcharge),2)))*(1+FedEx_Markup),2)</f>
        <v>30.74</v>
      </c>
      <c r="I7" s="275">
        <f>ROUND((IF(MinBase2Day&gt;ROUND(((1-(TwoDayDiscount_1_to_10+FedExExrpessEarnedDiscount))*'2Day Base'!I4),2),ROUND(MinBase2Day*(1+ExpressFuelSurcharge),2),ROUND(((1-(TwoDayDiscount_1_to_10+FedExExrpessEarnedDiscount))*'2Day Base'!I4)*(1+ExpressFuelSurcharge),2)))*(1+FedEx_Markup),2)</f>
        <v>41.09</v>
      </c>
      <c r="J7" s="275">
        <f>ROUND((IF(MinBase2Day&gt;ROUND(((1-(TwoDayDiscount_1_to_10+FedExExrpessEarnedDiscount))*'2Day Base'!J4),2),ROUND(MinBase2Day*(1+ExpressFuelSurcharge),2),ROUND(((1-(TwoDayDiscount_1_to_10+FedExExrpessEarnedDiscount))*'2Day Base'!J4)*(1+ExpressFuelSurcharge),2)))*(1+FedEx_Markup),2)</f>
        <v>41.09</v>
      </c>
      <c r="K7" s="275">
        <f>ROUND((IF(MinBase2Day&gt;ROUND(((1-(TwoDayDiscount_1_to_10+FedExExrpessEarnedDiscount))*'2Day Base'!K4),2),ROUND(MinBase2Day*(1+ExpressFuelSurcharge),2),ROUND(((1-(TwoDayDiscount_1_to_10+FedExExrpessEarnedDiscount))*'2Day Base'!K4)*(1+ExpressFuelSurcharge),2)))*(1+FedEx_Markup),2)</f>
        <v>58.18</v>
      </c>
      <c r="L7" s="275">
        <f>ROUND((IF(MinBase2Day&gt;ROUND(((1-(TwoDayDiscount_1_to_10+FedExExrpessEarnedDiscount))*'2Day Base'!L4),2),ROUND(MinBase2Day*(1+ExpressFuelSurcharge),2),ROUND(((1-(TwoDayDiscount_1_to_10+FedExExrpessEarnedDiscount))*'2Day Base'!L4)*(1+ExpressFuelSurcharge),2)))*(1+FedEx_Markup),2)</f>
        <v>58.18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274">
        <v>3.0</v>
      </c>
      <c r="B8" s="275">
        <f>ROUND((IF(MinBase2Day&gt;ROUND(((1-(TwoDayDiscount_1_to_10+FedExExrpessEarnedDiscount))*'2Day Base'!B5),2),ROUND(MinBase2Day*(1+ExpressFuelSurcharge),2),ROUND(((1-(TwoDayDiscount_1_to_10+FedExExrpessEarnedDiscount))*'2Day Base'!B5)*(1+ExpressFuelSurcharge),2)))*(1+FedEx_Markup),2)</f>
        <v>19.54</v>
      </c>
      <c r="C8" s="275">
        <f>ROUND((IF(MinBase2Day&gt;ROUND(((1-(TwoDayDiscount_1_to_10+FedExExrpessEarnedDiscount))*'2Day Base'!C5),2),ROUND(MinBase2Day*(1+ExpressFuelSurcharge),2),ROUND(((1-(TwoDayDiscount_1_to_10+FedExExrpessEarnedDiscount))*'2Day Base'!C5)*(1+ExpressFuelSurcharge),2)))*(1+FedEx_Markup),2)</f>
        <v>19.54</v>
      </c>
      <c r="D8" s="275">
        <f>ROUND((IF(MinBase2Day&gt;ROUND(((1-(TwoDayDiscount_1_to_10+FedExExrpessEarnedDiscount))*'2Day Base'!D5),2),ROUND(MinBase2Day*(1+ExpressFuelSurcharge),2),ROUND(((1-(TwoDayDiscount_1_to_10+FedExExrpessEarnedDiscount))*'2Day Base'!D5)*(1+ExpressFuelSurcharge),2)))*(1+FedEx_Markup),2)</f>
        <v>19.54</v>
      </c>
      <c r="E8" s="275">
        <f>ROUND((IF(MinBase2Day&gt;ROUND(((1-(TwoDayDiscount_1_to_10+FedExExrpessEarnedDiscount))*'2Day Base'!E5),2),ROUND(MinBase2Day*(1+ExpressFuelSurcharge),2),ROUND(((1-(TwoDayDiscount_1_to_10+FedExExrpessEarnedDiscount))*'2Day Base'!E5)*(1+ExpressFuelSurcharge),2)))*(1+FedEx_Markup),2)</f>
        <v>23.25</v>
      </c>
      <c r="F8" s="275">
        <f>ROUND((IF(MinBase2Day&gt;ROUND(((1-(TwoDayDiscount_1_to_10+FedExExrpessEarnedDiscount))*'2Day Base'!F5),2),ROUND(MinBase2Day*(1+ExpressFuelSurcharge),2),ROUND(((1-(TwoDayDiscount_1_to_10+FedExExrpessEarnedDiscount))*'2Day Base'!F5)*(1+ExpressFuelSurcharge),2)))*(1+FedEx_Markup),2)</f>
        <v>30.25</v>
      </c>
      <c r="G8" s="275">
        <f>ROUND((IF(MinBase2Day&gt;ROUND(((1-(TwoDayDiscount_1_to_10+FedExExrpessEarnedDiscount))*'2Day Base'!G5),2),ROUND(MinBase2Day*(1+ExpressFuelSurcharge),2),ROUND(((1-(TwoDayDiscount_1_to_10+FedExExrpessEarnedDiscount))*'2Day Base'!G5)*(1+ExpressFuelSurcharge),2)))*(1+FedEx_Markup),2)</f>
        <v>33.84</v>
      </c>
      <c r="H8" s="275">
        <f>ROUND((IF(MinBase2Day&gt;ROUND(((1-(TwoDayDiscount_1_to_10+FedExExrpessEarnedDiscount))*'2Day Base'!H5),2),ROUND(MinBase2Day*(1+ExpressFuelSurcharge),2),ROUND(((1-(TwoDayDiscount_1_to_10+FedExExrpessEarnedDiscount))*'2Day Base'!H5)*(1+ExpressFuelSurcharge),2)))*(1+FedEx_Markup),2)</f>
        <v>35.27</v>
      </c>
      <c r="I8" s="275">
        <f>ROUND((IF(MinBase2Day&gt;ROUND(((1-(TwoDayDiscount_1_to_10+FedExExrpessEarnedDiscount))*'2Day Base'!I5),2),ROUND(MinBase2Day*(1+ExpressFuelSurcharge),2),ROUND(((1-(TwoDayDiscount_1_to_10+FedExExrpessEarnedDiscount))*'2Day Base'!I5)*(1+ExpressFuelSurcharge),2)))*(1+FedEx_Markup),2)</f>
        <v>46.9</v>
      </c>
      <c r="J8" s="275">
        <f>ROUND((IF(MinBase2Day&gt;ROUND(((1-(TwoDayDiscount_1_to_10+FedExExrpessEarnedDiscount))*'2Day Base'!J5),2),ROUND(MinBase2Day*(1+ExpressFuelSurcharge),2),ROUND(((1-(TwoDayDiscount_1_to_10+FedExExrpessEarnedDiscount))*'2Day Base'!J5)*(1+ExpressFuelSurcharge),2)))*(1+FedEx_Markup),2)</f>
        <v>46.9</v>
      </c>
      <c r="K8" s="275">
        <f>ROUND((IF(MinBase2Day&gt;ROUND(((1-(TwoDayDiscount_1_to_10+FedExExrpessEarnedDiscount))*'2Day Base'!K5),2),ROUND(MinBase2Day*(1+ExpressFuelSurcharge),2),ROUND(((1-(TwoDayDiscount_1_to_10+FedExExrpessEarnedDiscount))*'2Day Base'!K5)*(1+ExpressFuelSurcharge),2)))*(1+FedEx_Markup),2)</f>
        <v>59.24</v>
      </c>
      <c r="L8" s="275">
        <f>ROUND((IF(MinBase2Day&gt;ROUND(((1-(TwoDayDiscount_1_to_10+FedExExrpessEarnedDiscount))*'2Day Base'!L5),2),ROUND(MinBase2Day*(1+ExpressFuelSurcharge),2),ROUND(((1-(TwoDayDiscount_1_to_10+FedExExrpessEarnedDiscount))*'2Day Base'!L5)*(1+ExpressFuelSurcharge),2)))*(1+FedEx_Markup),2)</f>
        <v>59.24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74">
        <v>4.0</v>
      </c>
      <c r="B9" s="275">
        <f>ROUND((IF(MinBase2Day&gt;ROUND(((1-(TwoDayDiscount_1_to_10+FedExExrpessEarnedDiscount))*'2Day Base'!B6),2),ROUND(MinBase2Day*(1+ExpressFuelSurcharge),2),ROUND(((1-(TwoDayDiscount_1_to_10+FedExExrpessEarnedDiscount))*'2Day Base'!B6)*(1+ExpressFuelSurcharge),2)))*(1+FedEx_Markup),2)</f>
        <v>19.54</v>
      </c>
      <c r="C9" s="275">
        <f>ROUND((IF(MinBase2Day&gt;ROUND(((1-(TwoDayDiscount_1_to_10+FedExExrpessEarnedDiscount))*'2Day Base'!C6),2),ROUND(MinBase2Day*(1+ExpressFuelSurcharge),2),ROUND(((1-(TwoDayDiscount_1_to_10+FedExExrpessEarnedDiscount))*'2Day Base'!C6)*(1+ExpressFuelSurcharge),2)))*(1+FedEx_Markup),2)</f>
        <v>19.54</v>
      </c>
      <c r="D9" s="275">
        <f>ROUND((IF(MinBase2Day&gt;ROUND(((1-(TwoDayDiscount_1_to_10+FedExExrpessEarnedDiscount))*'2Day Base'!D6),2),ROUND(MinBase2Day*(1+ExpressFuelSurcharge),2),ROUND(((1-(TwoDayDiscount_1_to_10+FedExExrpessEarnedDiscount))*'2Day Base'!D6)*(1+ExpressFuelSurcharge),2)))*(1+FedEx_Markup),2)</f>
        <v>19.54</v>
      </c>
      <c r="E9" s="275">
        <f>ROUND((IF(MinBase2Day&gt;ROUND(((1-(TwoDayDiscount_1_to_10+FedExExrpessEarnedDiscount))*'2Day Base'!E6),2),ROUND(MinBase2Day*(1+ExpressFuelSurcharge),2),ROUND(((1-(TwoDayDiscount_1_to_10+FedExExrpessEarnedDiscount))*'2Day Base'!E6)*(1+ExpressFuelSurcharge),2)))*(1+FedEx_Markup),2)</f>
        <v>27.14</v>
      </c>
      <c r="F9" s="275">
        <f>ROUND((IF(MinBase2Day&gt;ROUND(((1-(TwoDayDiscount_1_to_10+FedExExrpessEarnedDiscount))*'2Day Base'!F6),2),ROUND(MinBase2Day*(1+ExpressFuelSurcharge),2),ROUND(((1-(TwoDayDiscount_1_to_10+FedExExrpessEarnedDiscount))*'2Day Base'!F6)*(1+ExpressFuelSurcharge),2)))*(1+FedEx_Markup),2)</f>
        <v>34.94</v>
      </c>
      <c r="G9" s="275">
        <f>ROUND((IF(MinBase2Day&gt;ROUND(((1-(TwoDayDiscount_1_to_10+FedExExrpessEarnedDiscount))*'2Day Base'!G6),2),ROUND(MinBase2Day*(1+ExpressFuelSurcharge),2),ROUND(((1-(TwoDayDiscount_1_to_10+FedExExrpessEarnedDiscount))*'2Day Base'!G6)*(1+ExpressFuelSurcharge),2)))*(1+FedEx_Markup),2)</f>
        <v>38.65</v>
      </c>
      <c r="H9" s="275">
        <f>ROUND((IF(MinBase2Day&gt;ROUND(((1-(TwoDayDiscount_1_to_10+FedExExrpessEarnedDiscount))*'2Day Base'!H6),2),ROUND(MinBase2Day*(1+ExpressFuelSurcharge),2),ROUND(((1-(TwoDayDiscount_1_to_10+FedExExrpessEarnedDiscount))*'2Day Base'!H6)*(1+ExpressFuelSurcharge),2)))*(1+FedEx_Markup),2)</f>
        <v>40.15</v>
      </c>
      <c r="I9" s="275">
        <f>ROUND((IF(MinBase2Day&gt;ROUND(((1-(TwoDayDiscount_1_to_10+FedExExrpessEarnedDiscount))*'2Day Base'!I6),2),ROUND(MinBase2Day*(1+ExpressFuelSurcharge),2),ROUND(((1-(TwoDayDiscount_1_to_10+FedExExrpessEarnedDiscount))*'2Day Base'!I6)*(1+ExpressFuelSurcharge),2)))*(1+FedEx_Markup),2)</f>
        <v>49.98</v>
      </c>
      <c r="J9" s="275">
        <f>ROUND((IF(MinBase2Day&gt;ROUND(((1-(TwoDayDiscount_1_to_10+FedExExrpessEarnedDiscount))*'2Day Base'!J6),2),ROUND(MinBase2Day*(1+ExpressFuelSurcharge),2),ROUND(((1-(TwoDayDiscount_1_to_10+FedExExrpessEarnedDiscount))*'2Day Base'!J6)*(1+ExpressFuelSurcharge),2)))*(1+FedEx_Markup),2)</f>
        <v>49.98</v>
      </c>
      <c r="K9" s="275">
        <f>ROUND((IF(MinBase2Day&gt;ROUND(((1-(TwoDayDiscount_1_to_10+FedExExrpessEarnedDiscount))*'2Day Base'!K6),2),ROUND(MinBase2Day*(1+ExpressFuelSurcharge),2),ROUND(((1-(TwoDayDiscount_1_to_10+FedExExrpessEarnedDiscount))*'2Day Base'!K6)*(1+ExpressFuelSurcharge),2)))*(1+FedEx_Markup),2)</f>
        <v>61.82</v>
      </c>
      <c r="L9" s="275">
        <f>ROUND((IF(MinBase2Day&gt;ROUND(((1-(TwoDayDiscount_1_to_10+FedExExrpessEarnedDiscount))*'2Day Base'!L6),2),ROUND(MinBase2Day*(1+ExpressFuelSurcharge),2),ROUND(((1-(TwoDayDiscount_1_to_10+FedExExrpessEarnedDiscount))*'2Day Base'!L6)*(1+ExpressFuelSurcharge),2)))*(1+FedEx_Markup),2)</f>
        <v>61.82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274">
        <v>5.0</v>
      </c>
      <c r="B10" s="275">
        <f>ROUND((IF(MinBase2Day&gt;ROUND(((1-(TwoDayDiscount_1_to_10+FedExExrpessEarnedDiscount))*'2Day Base'!B7),2),ROUND(MinBase2Day*(1+ExpressFuelSurcharge),2),ROUND(((1-(TwoDayDiscount_1_to_10+FedExExrpessEarnedDiscount))*'2Day Base'!B7)*(1+ExpressFuelSurcharge),2)))*(1+FedEx_Markup),2)</f>
        <v>19.54</v>
      </c>
      <c r="C10" s="275">
        <f>ROUND((IF(MinBase2Day&gt;ROUND(((1-(TwoDayDiscount_1_to_10+FedExExrpessEarnedDiscount))*'2Day Base'!C7),2),ROUND(MinBase2Day*(1+ExpressFuelSurcharge),2),ROUND(((1-(TwoDayDiscount_1_to_10+FedExExrpessEarnedDiscount))*'2Day Base'!C7)*(1+ExpressFuelSurcharge),2)))*(1+FedEx_Markup),2)</f>
        <v>19.54</v>
      </c>
      <c r="D10" s="275">
        <f>ROUND((IF(MinBase2Day&gt;ROUND(((1-(TwoDayDiscount_1_to_10+FedExExrpessEarnedDiscount))*'2Day Base'!D7),2),ROUND(MinBase2Day*(1+ExpressFuelSurcharge),2),ROUND(((1-(TwoDayDiscount_1_to_10+FedExExrpessEarnedDiscount))*'2Day Base'!D7)*(1+ExpressFuelSurcharge),2)))*(1+FedEx_Markup),2)</f>
        <v>20.71</v>
      </c>
      <c r="E10" s="275">
        <f>ROUND((IF(MinBase2Day&gt;ROUND(((1-(TwoDayDiscount_1_to_10+FedExExrpessEarnedDiscount))*'2Day Base'!E7),2),ROUND(MinBase2Day*(1+ExpressFuelSurcharge),2),ROUND(((1-(TwoDayDiscount_1_to_10+FedExExrpessEarnedDiscount))*'2Day Base'!E7)*(1+ExpressFuelSurcharge),2)))*(1+FedEx_Markup),2)</f>
        <v>30.16</v>
      </c>
      <c r="F10" s="275">
        <f>ROUND((IF(MinBase2Day&gt;ROUND(((1-(TwoDayDiscount_1_to_10+FedExExrpessEarnedDiscount))*'2Day Base'!F7),2),ROUND(MinBase2Day*(1+ExpressFuelSurcharge),2),ROUND(((1-(TwoDayDiscount_1_to_10+FedExExrpessEarnedDiscount))*'2Day Base'!F7)*(1+ExpressFuelSurcharge),2)))*(1+FedEx_Markup),2)</f>
        <v>39.03</v>
      </c>
      <c r="G10" s="275">
        <f>ROUND((IF(MinBase2Day&gt;ROUND(((1-(TwoDayDiscount_1_to_10+FedExExrpessEarnedDiscount))*'2Day Base'!G7),2),ROUND(MinBase2Day*(1+ExpressFuelSurcharge),2),ROUND(((1-(TwoDayDiscount_1_to_10+FedExExrpessEarnedDiscount))*'2Day Base'!G7)*(1+ExpressFuelSurcharge),2)))*(1+FedEx_Markup),2)</f>
        <v>43.06</v>
      </c>
      <c r="H10" s="275">
        <f>ROUND((IF(MinBase2Day&gt;ROUND(((1-(TwoDayDiscount_1_to_10+FedExExrpessEarnedDiscount))*'2Day Base'!H7),2),ROUND(MinBase2Day*(1+ExpressFuelSurcharge),2),ROUND(((1-(TwoDayDiscount_1_to_10+FedExExrpessEarnedDiscount))*'2Day Base'!H7)*(1+ExpressFuelSurcharge),2)))*(1+FedEx_Markup),2)</f>
        <v>45.68</v>
      </c>
      <c r="I10" s="275">
        <f>ROUND((IF(MinBase2Day&gt;ROUND(((1-(TwoDayDiscount_1_to_10+FedExExrpessEarnedDiscount))*'2Day Base'!I7),2),ROUND(MinBase2Day*(1+ExpressFuelSurcharge),2),ROUND(((1-(TwoDayDiscount_1_to_10+FedExExrpessEarnedDiscount))*'2Day Base'!I7)*(1+ExpressFuelSurcharge),2)))*(1+FedEx_Markup),2)</f>
        <v>54.31</v>
      </c>
      <c r="J10" s="275">
        <f>ROUND((IF(MinBase2Day&gt;ROUND(((1-(TwoDayDiscount_1_to_10+FedExExrpessEarnedDiscount))*'2Day Base'!J7),2),ROUND(MinBase2Day*(1+ExpressFuelSurcharge),2),ROUND(((1-(TwoDayDiscount_1_to_10+FedExExrpessEarnedDiscount))*'2Day Base'!J7)*(1+ExpressFuelSurcharge),2)))*(1+FedEx_Markup),2)</f>
        <v>54.31</v>
      </c>
      <c r="K10" s="275">
        <f>ROUND((IF(MinBase2Day&gt;ROUND(((1-(TwoDayDiscount_1_to_10+FedExExrpessEarnedDiscount))*'2Day Base'!K7),2),ROUND(MinBase2Day*(1+ExpressFuelSurcharge),2),ROUND(((1-(TwoDayDiscount_1_to_10+FedExExrpessEarnedDiscount))*'2Day Base'!K7)*(1+ExpressFuelSurcharge),2)))*(1+FedEx_Markup),2)</f>
        <v>63.99</v>
      </c>
      <c r="L10" s="275">
        <f>ROUND((IF(MinBase2Day&gt;ROUND(((1-(TwoDayDiscount_1_to_10+FedExExrpessEarnedDiscount))*'2Day Base'!L7),2),ROUND(MinBase2Day*(1+ExpressFuelSurcharge),2),ROUND(((1-(TwoDayDiscount_1_to_10+FedExExrpessEarnedDiscount))*'2Day Base'!L7)*(1+ExpressFuelSurcharge),2)))*(1+FedEx_Markup),2)</f>
        <v>63.99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274">
        <v>6.0</v>
      </c>
      <c r="B11" s="275">
        <f>ROUND((IF(MinBase2Day&gt;ROUND(((1-(TwoDayDiscount_1_to_10+FedExExrpessEarnedDiscount))*'2Day Base'!B8),2),ROUND(MinBase2Day*(1+ExpressFuelSurcharge),2),ROUND(((1-(TwoDayDiscount_1_to_10+FedExExrpessEarnedDiscount))*'2Day Base'!B8)*(1+ExpressFuelSurcharge),2)))*(1+FedEx_Markup),2)</f>
        <v>19.54</v>
      </c>
      <c r="C11" s="275">
        <f>ROUND((IF(MinBase2Day&gt;ROUND(((1-(TwoDayDiscount_1_to_10+FedExExrpessEarnedDiscount))*'2Day Base'!C8),2),ROUND(MinBase2Day*(1+ExpressFuelSurcharge),2),ROUND(((1-(TwoDayDiscount_1_to_10+FedExExrpessEarnedDiscount))*'2Day Base'!C8)*(1+ExpressFuelSurcharge),2)))*(1+FedEx_Markup),2)</f>
        <v>19.54</v>
      </c>
      <c r="D11" s="275">
        <f>ROUND((IF(MinBase2Day&gt;ROUND(((1-(TwoDayDiscount_1_to_10+FedExExrpessEarnedDiscount))*'2Day Base'!D8),2),ROUND(MinBase2Day*(1+ExpressFuelSurcharge),2),ROUND(((1-(TwoDayDiscount_1_to_10+FedExExrpessEarnedDiscount))*'2Day Base'!D8)*(1+ExpressFuelSurcharge),2)))*(1+FedEx_Markup),2)</f>
        <v>22.57</v>
      </c>
      <c r="E11" s="275">
        <f>ROUND((IF(MinBase2Day&gt;ROUND(((1-(TwoDayDiscount_1_to_10+FedExExrpessEarnedDiscount))*'2Day Base'!E8),2),ROUND(MinBase2Day*(1+ExpressFuelSurcharge),2),ROUND(((1-(TwoDayDiscount_1_to_10+FedExExrpessEarnedDiscount))*'2Day Base'!E8)*(1+ExpressFuelSurcharge),2)))*(1+FedEx_Markup),2)</f>
        <v>32.94</v>
      </c>
      <c r="F11" s="275">
        <f>ROUND((IF(MinBase2Day&gt;ROUND(((1-(TwoDayDiscount_1_to_10+FedExExrpessEarnedDiscount))*'2Day Base'!F8),2),ROUND(MinBase2Day*(1+ExpressFuelSurcharge),2),ROUND(((1-(TwoDayDiscount_1_to_10+FedExExrpessEarnedDiscount))*'2Day Base'!F8)*(1+ExpressFuelSurcharge),2)))*(1+FedEx_Markup),2)</f>
        <v>43.39</v>
      </c>
      <c r="G11" s="275">
        <f>ROUND((IF(MinBase2Day&gt;ROUND(((1-(TwoDayDiscount_1_to_10+FedExExrpessEarnedDiscount))*'2Day Base'!G8),2),ROUND(MinBase2Day*(1+ExpressFuelSurcharge),2),ROUND(((1-(TwoDayDiscount_1_to_10+FedExExrpessEarnedDiscount))*'2Day Base'!G8)*(1+ExpressFuelSurcharge),2)))*(1+FedEx_Markup),2)</f>
        <v>47.85</v>
      </c>
      <c r="H11" s="275">
        <f>ROUND((IF(MinBase2Day&gt;ROUND(((1-(TwoDayDiscount_1_to_10+FedExExrpessEarnedDiscount))*'2Day Base'!H8),2),ROUND(MinBase2Day*(1+ExpressFuelSurcharge),2),ROUND(((1-(TwoDayDiscount_1_to_10+FedExExrpessEarnedDiscount))*'2Day Base'!H8)*(1+ExpressFuelSurcharge),2)))*(1+FedEx_Markup),2)</f>
        <v>48.82</v>
      </c>
      <c r="I11" s="275">
        <f>ROUND((IF(MinBase2Day&gt;ROUND(((1-(TwoDayDiscount_1_to_10+FedExExrpessEarnedDiscount))*'2Day Base'!I8),2),ROUND(MinBase2Day*(1+ExpressFuelSurcharge),2),ROUND(((1-(TwoDayDiscount_1_to_10+FedExExrpessEarnedDiscount))*'2Day Base'!I8)*(1+ExpressFuelSurcharge),2)))*(1+FedEx_Markup),2)</f>
        <v>61.53</v>
      </c>
      <c r="J11" s="275">
        <f>ROUND((IF(MinBase2Day&gt;ROUND(((1-(TwoDayDiscount_1_to_10+FedExExrpessEarnedDiscount))*'2Day Base'!J8),2),ROUND(MinBase2Day*(1+ExpressFuelSurcharge),2),ROUND(((1-(TwoDayDiscount_1_to_10+FedExExrpessEarnedDiscount))*'2Day Base'!J8)*(1+ExpressFuelSurcharge),2)))*(1+FedEx_Markup),2)</f>
        <v>61.53</v>
      </c>
      <c r="K11" s="275">
        <f>ROUND((IF(MinBase2Day&gt;ROUND(((1-(TwoDayDiscount_1_to_10+FedExExrpessEarnedDiscount))*'2Day Base'!K8),2),ROUND(MinBase2Day*(1+ExpressFuelSurcharge),2),ROUND(((1-(TwoDayDiscount_1_to_10+FedExExrpessEarnedDiscount))*'2Day Base'!K8)*(1+ExpressFuelSurcharge),2)))*(1+FedEx_Markup),2)</f>
        <v>69.87</v>
      </c>
      <c r="L11" s="275">
        <f>ROUND((IF(MinBase2Day&gt;ROUND(((1-(TwoDayDiscount_1_to_10+FedExExrpessEarnedDiscount))*'2Day Base'!L8),2),ROUND(MinBase2Day*(1+ExpressFuelSurcharge),2),ROUND(((1-(TwoDayDiscount_1_to_10+FedExExrpessEarnedDiscount))*'2Day Base'!L8)*(1+ExpressFuelSurcharge),2)))*(1+FedEx_Markup),2)</f>
        <v>69.87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4">
        <v>7.0</v>
      </c>
      <c r="B12" s="275">
        <f>ROUND((IF(MinBase2Day&gt;ROUND(((1-(TwoDayDiscount_1_to_10+FedExExrpessEarnedDiscount))*'2Day Base'!B9),2),ROUND(MinBase2Day*(1+ExpressFuelSurcharge),2),ROUND(((1-(TwoDayDiscount_1_to_10+FedExExrpessEarnedDiscount))*'2Day Base'!B9)*(1+ExpressFuelSurcharge),2)))*(1+FedEx_Markup),2)</f>
        <v>19.54</v>
      </c>
      <c r="C12" s="275">
        <f>ROUND((IF(MinBase2Day&gt;ROUND(((1-(TwoDayDiscount_1_to_10+FedExExrpessEarnedDiscount))*'2Day Base'!C9),2),ROUND(MinBase2Day*(1+ExpressFuelSurcharge),2),ROUND(((1-(TwoDayDiscount_1_to_10+FedExExrpessEarnedDiscount))*'2Day Base'!C9)*(1+ExpressFuelSurcharge),2)))*(1+FedEx_Markup),2)</f>
        <v>20.22</v>
      </c>
      <c r="D12" s="275">
        <f>ROUND((IF(MinBase2Day&gt;ROUND(((1-(TwoDayDiscount_1_to_10+FedExExrpessEarnedDiscount))*'2Day Base'!D9),2),ROUND(MinBase2Day*(1+ExpressFuelSurcharge),2),ROUND(((1-(TwoDayDiscount_1_to_10+FedExExrpessEarnedDiscount))*'2Day Base'!D9)*(1+ExpressFuelSurcharge),2)))*(1+FedEx_Markup),2)</f>
        <v>24.48</v>
      </c>
      <c r="E12" s="275">
        <f>ROUND((IF(MinBase2Day&gt;ROUND(((1-(TwoDayDiscount_1_to_10+FedExExrpessEarnedDiscount))*'2Day Base'!E9),2),ROUND(MinBase2Day*(1+ExpressFuelSurcharge),2),ROUND(((1-(TwoDayDiscount_1_to_10+FedExExrpessEarnedDiscount))*'2Day Base'!E9)*(1+ExpressFuelSurcharge),2)))*(1+FedEx_Markup),2)</f>
        <v>36</v>
      </c>
      <c r="F12" s="275">
        <f>ROUND((IF(MinBase2Day&gt;ROUND(((1-(TwoDayDiscount_1_to_10+FedExExrpessEarnedDiscount))*'2Day Base'!F9),2),ROUND(MinBase2Day*(1+ExpressFuelSurcharge),2),ROUND(((1-(TwoDayDiscount_1_to_10+FedExExrpessEarnedDiscount))*'2Day Base'!F9)*(1+ExpressFuelSurcharge),2)))*(1+FedEx_Markup),2)</f>
        <v>48.81</v>
      </c>
      <c r="G12" s="275">
        <f>ROUND((IF(MinBase2Day&gt;ROUND(((1-(TwoDayDiscount_1_to_10+FedExExrpessEarnedDiscount))*'2Day Base'!G9),2),ROUND(MinBase2Day*(1+ExpressFuelSurcharge),2),ROUND(((1-(TwoDayDiscount_1_to_10+FedExExrpessEarnedDiscount))*'2Day Base'!G9)*(1+ExpressFuelSurcharge),2)))*(1+FedEx_Markup),2)</f>
        <v>51.73</v>
      </c>
      <c r="H12" s="275">
        <f>ROUND((IF(MinBase2Day&gt;ROUND(((1-(TwoDayDiscount_1_to_10+FedExExrpessEarnedDiscount))*'2Day Base'!H9),2),ROUND(MinBase2Day*(1+ExpressFuelSurcharge),2),ROUND(((1-(TwoDayDiscount_1_to_10+FedExExrpessEarnedDiscount))*'2Day Base'!H9)*(1+ExpressFuelSurcharge),2)))*(1+FedEx_Markup),2)</f>
        <v>52.77</v>
      </c>
      <c r="I12" s="275">
        <f>ROUND((IF(MinBase2Day&gt;ROUND(((1-(TwoDayDiscount_1_to_10+FedExExrpessEarnedDiscount))*'2Day Base'!I9),2),ROUND(MinBase2Day*(1+ExpressFuelSurcharge),2),ROUND(((1-(TwoDayDiscount_1_to_10+FedExExrpessEarnedDiscount))*'2Day Base'!I9)*(1+ExpressFuelSurcharge),2)))*(1+FedEx_Markup),2)</f>
        <v>62.25</v>
      </c>
      <c r="J12" s="275">
        <f>ROUND((IF(MinBase2Day&gt;ROUND(((1-(TwoDayDiscount_1_to_10+FedExExrpessEarnedDiscount))*'2Day Base'!J9),2),ROUND(MinBase2Day*(1+ExpressFuelSurcharge),2),ROUND(((1-(TwoDayDiscount_1_to_10+FedExExrpessEarnedDiscount))*'2Day Base'!J9)*(1+ExpressFuelSurcharge),2)))*(1+FedEx_Markup),2)</f>
        <v>62.25</v>
      </c>
      <c r="K12" s="275">
        <f>ROUND((IF(MinBase2Day&gt;ROUND(((1-(TwoDayDiscount_1_to_10+FedExExrpessEarnedDiscount))*'2Day Base'!K9),2),ROUND(MinBase2Day*(1+ExpressFuelSurcharge),2),ROUND(((1-(TwoDayDiscount_1_to_10+FedExExrpessEarnedDiscount))*'2Day Base'!K9)*(1+ExpressFuelSurcharge),2)))*(1+FedEx_Markup),2)</f>
        <v>70.46</v>
      </c>
      <c r="L12" s="275">
        <f>ROUND((IF(MinBase2Day&gt;ROUND(((1-(TwoDayDiscount_1_to_10+FedExExrpessEarnedDiscount))*'2Day Base'!L9),2),ROUND(MinBase2Day*(1+ExpressFuelSurcharge),2),ROUND(((1-(TwoDayDiscount_1_to_10+FedExExrpessEarnedDiscount))*'2Day Base'!L9)*(1+ExpressFuelSurcharge),2)))*(1+FedEx_Markup),2)</f>
        <v>70.46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274">
        <v>8.0</v>
      </c>
      <c r="B13" s="275">
        <f>ROUND((IF(MinBase2Day&gt;ROUND(((1-(TwoDayDiscount_1_to_10+FedExExrpessEarnedDiscount))*'2Day Base'!B10),2),ROUND(MinBase2Day*(1+ExpressFuelSurcharge),2),ROUND(((1-(TwoDayDiscount_1_to_10+FedExExrpessEarnedDiscount))*'2Day Base'!B10)*(1+ExpressFuelSurcharge),2)))*(1+FedEx_Markup),2)</f>
        <v>19.54</v>
      </c>
      <c r="C13" s="275">
        <f>ROUND((IF(MinBase2Day&gt;ROUND(((1-(TwoDayDiscount_1_to_10+FedExExrpessEarnedDiscount))*'2Day Base'!C10),2),ROUND(MinBase2Day*(1+ExpressFuelSurcharge),2),ROUND(((1-(TwoDayDiscount_1_to_10+FedExExrpessEarnedDiscount))*'2Day Base'!C10)*(1+ExpressFuelSurcharge),2)))*(1+FedEx_Markup),2)</f>
        <v>22.06</v>
      </c>
      <c r="D13" s="275">
        <f>ROUND((IF(MinBase2Day&gt;ROUND(((1-(TwoDayDiscount_1_to_10+FedExExrpessEarnedDiscount))*'2Day Base'!D10),2),ROUND(MinBase2Day*(1+ExpressFuelSurcharge),2),ROUND(((1-(TwoDayDiscount_1_to_10+FedExExrpessEarnedDiscount))*'2Day Base'!D10)*(1+ExpressFuelSurcharge),2)))*(1+FedEx_Markup),2)</f>
        <v>26.2</v>
      </c>
      <c r="E13" s="275">
        <f>ROUND((IF(MinBase2Day&gt;ROUND(((1-(TwoDayDiscount_1_to_10+FedExExrpessEarnedDiscount))*'2Day Base'!E10),2),ROUND(MinBase2Day*(1+ExpressFuelSurcharge),2),ROUND(((1-(TwoDayDiscount_1_to_10+FedExExrpessEarnedDiscount))*'2Day Base'!E10)*(1+ExpressFuelSurcharge),2)))*(1+FedEx_Markup),2)</f>
        <v>39.27</v>
      </c>
      <c r="F13" s="275">
        <f>ROUND((IF(MinBase2Day&gt;ROUND(((1-(TwoDayDiscount_1_to_10+FedExExrpessEarnedDiscount))*'2Day Base'!F10),2),ROUND(MinBase2Day*(1+ExpressFuelSurcharge),2),ROUND(((1-(TwoDayDiscount_1_to_10+FedExExrpessEarnedDiscount))*'2Day Base'!F10)*(1+ExpressFuelSurcharge),2)))*(1+FedEx_Markup),2)</f>
        <v>54</v>
      </c>
      <c r="G13" s="275">
        <f>ROUND((IF(MinBase2Day&gt;ROUND(((1-(TwoDayDiscount_1_to_10+FedExExrpessEarnedDiscount))*'2Day Base'!G10),2),ROUND(MinBase2Day*(1+ExpressFuelSurcharge),2),ROUND(((1-(TwoDayDiscount_1_to_10+FedExExrpessEarnedDiscount))*'2Day Base'!G10)*(1+ExpressFuelSurcharge),2)))*(1+FedEx_Markup),2)</f>
        <v>58.52</v>
      </c>
      <c r="H13" s="275">
        <f>ROUND((IF(MinBase2Day&gt;ROUND(((1-(TwoDayDiscount_1_to_10+FedExExrpessEarnedDiscount))*'2Day Base'!H10),2),ROUND(MinBase2Day*(1+ExpressFuelSurcharge),2),ROUND(((1-(TwoDayDiscount_1_to_10+FedExExrpessEarnedDiscount))*'2Day Base'!H10)*(1+ExpressFuelSurcharge),2)))*(1+FedEx_Markup),2)</f>
        <v>60.64</v>
      </c>
      <c r="I13" s="275">
        <f>ROUND((IF(MinBase2Day&gt;ROUND(((1-(TwoDayDiscount_1_to_10+FedExExrpessEarnedDiscount))*'2Day Base'!I10),2),ROUND(MinBase2Day*(1+ExpressFuelSurcharge),2),ROUND(((1-(TwoDayDiscount_1_to_10+FedExExrpessEarnedDiscount))*'2Day Base'!I10)*(1+ExpressFuelSurcharge),2)))*(1+FedEx_Markup),2)</f>
        <v>69.76</v>
      </c>
      <c r="J13" s="275">
        <f>ROUND((IF(MinBase2Day&gt;ROUND(((1-(TwoDayDiscount_1_to_10+FedExExrpessEarnedDiscount))*'2Day Base'!J10),2),ROUND(MinBase2Day*(1+ExpressFuelSurcharge),2),ROUND(((1-(TwoDayDiscount_1_to_10+FedExExrpessEarnedDiscount))*'2Day Base'!J10)*(1+ExpressFuelSurcharge),2)))*(1+FedEx_Markup),2)</f>
        <v>69.76</v>
      </c>
      <c r="K13" s="275">
        <f>ROUND((IF(MinBase2Day&gt;ROUND(((1-(TwoDayDiscount_1_to_10+FedExExrpessEarnedDiscount))*'2Day Base'!K10),2),ROUND(MinBase2Day*(1+ExpressFuelSurcharge),2),ROUND(((1-(TwoDayDiscount_1_to_10+FedExExrpessEarnedDiscount))*'2Day Base'!K10)*(1+ExpressFuelSurcharge),2)))*(1+FedEx_Markup),2)</f>
        <v>78.86</v>
      </c>
      <c r="L13" s="275">
        <f>ROUND((IF(MinBase2Day&gt;ROUND(((1-(TwoDayDiscount_1_to_10+FedExExrpessEarnedDiscount))*'2Day Base'!L10),2),ROUND(MinBase2Day*(1+ExpressFuelSurcharge),2),ROUND(((1-(TwoDayDiscount_1_to_10+FedExExrpessEarnedDiscount))*'2Day Base'!L10)*(1+ExpressFuelSurcharge),2)))*(1+FedEx_Markup),2)</f>
        <v>78.86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274">
        <v>9.0</v>
      </c>
      <c r="B14" s="275">
        <f>ROUND((IF(MinBase2Day&gt;ROUND(((1-(TwoDayDiscount_1_to_10+FedExExrpessEarnedDiscount))*'2Day Base'!B11),2),ROUND(MinBase2Day*(1+ExpressFuelSurcharge),2),ROUND(((1-(TwoDayDiscount_1_to_10+FedExExrpessEarnedDiscount))*'2Day Base'!B11)*(1+ExpressFuelSurcharge),2)))*(1+FedEx_Markup),2)</f>
        <v>19.64</v>
      </c>
      <c r="C14" s="275">
        <f>ROUND((IF(MinBase2Day&gt;ROUND(((1-(TwoDayDiscount_1_to_10+FedExExrpessEarnedDiscount))*'2Day Base'!C11),2),ROUND(MinBase2Day*(1+ExpressFuelSurcharge),2),ROUND(((1-(TwoDayDiscount_1_to_10+FedExExrpessEarnedDiscount))*'2Day Base'!C11)*(1+ExpressFuelSurcharge),2)))*(1+FedEx_Markup),2)</f>
        <v>23.03</v>
      </c>
      <c r="D14" s="275">
        <f>ROUND((IF(MinBase2Day&gt;ROUND(((1-(TwoDayDiscount_1_to_10+FedExExrpessEarnedDiscount))*'2Day Base'!D11),2),ROUND(MinBase2Day*(1+ExpressFuelSurcharge),2),ROUND(((1-(TwoDayDiscount_1_to_10+FedExExrpessEarnedDiscount))*'2Day Base'!D11)*(1+ExpressFuelSurcharge),2)))*(1+FedEx_Markup),2)</f>
        <v>28.3</v>
      </c>
      <c r="E14" s="275">
        <f>ROUND((IF(MinBase2Day&gt;ROUND(((1-(TwoDayDiscount_1_to_10+FedExExrpessEarnedDiscount))*'2Day Base'!E11),2),ROUND(MinBase2Day*(1+ExpressFuelSurcharge),2),ROUND(((1-(TwoDayDiscount_1_to_10+FedExExrpessEarnedDiscount))*'2Day Base'!E11)*(1+ExpressFuelSurcharge),2)))*(1+FedEx_Markup),2)</f>
        <v>42.16</v>
      </c>
      <c r="F14" s="275">
        <f>ROUND((IF(MinBase2Day&gt;ROUND(((1-(TwoDayDiscount_1_to_10+FedExExrpessEarnedDiscount))*'2Day Base'!F11),2),ROUND(MinBase2Day*(1+ExpressFuelSurcharge),2),ROUND(((1-(TwoDayDiscount_1_to_10+FedExExrpessEarnedDiscount))*'2Day Base'!F11)*(1+ExpressFuelSurcharge),2)))*(1+FedEx_Markup),2)</f>
        <v>56.26</v>
      </c>
      <c r="G14" s="275">
        <f>ROUND((IF(MinBase2Day&gt;ROUND(((1-(TwoDayDiscount_1_to_10+FedExExrpessEarnedDiscount))*'2Day Base'!G11),2),ROUND(MinBase2Day*(1+ExpressFuelSurcharge),2),ROUND(((1-(TwoDayDiscount_1_to_10+FedExExrpessEarnedDiscount))*'2Day Base'!G11)*(1+ExpressFuelSurcharge),2)))*(1+FedEx_Markup),2)</f>
        <v>64.17</v>
      </c>
      <c r="H14" s="275">
        <f>ROUND((IF(MinBase2Day&gt;ROUND(((1-(TwoDayDiscount_1_to_10+FedExExrpessEarnedDiscount))*'2Day Base'!H11),2),ROUND(MinBase2Day*(1+ExpressFuelSurcharge),2),ROUND(((1-(TwoDayDiscount_1_to_10+FedExExrpessEarnedDiscount))*'2Day Base'!H11)*(1+ExpressFuelSurcharge),2)))*(1+FedEx_Markup),2)</f>
        <v>66.56</v>
      </c>
      <c r="I14" s="275">
        <f>ROUND((IF(MinBase2Day&gt;ROUND(((1-(TwoDayDiscount_1_to_10+FedExExrpessEarnedDiscount))*'2Day Base'!I11),2),ROUND(MinBase2Day*(1+ExpressFuelSurcharge),2),ROUND(((1-(TwoDayDiscount_1_to_10+FedExExrpessEarnedDiscount))*'2Day Base'!I11)*(1+ExpressFuelSurcharge),2)))*(1+FedEx_Markup),2)</f>
        <v>70.51</v>
      </c>
      <c r="J14" s="275">
        <f>ROUND((IF(MinBase2Day&gt;ROUND(((1-(TwoDayDiscount_1_to_10+FedExExrpessEarnedDiscount))*'2Day Base'!J11),2),ROUND(MinBase2Day*(1+ExpressFuelSurcharge),2),ROUND(((1-(TwoDayDiscount_1_to_10+FedExExrpessEarnedDiscount))*'2Day Base'!J11)*(1+ExpressFuelSurcharge),2)))*(1+FedEx_Markup),2)</f>
        <v>70.51</v>
      </c>
      <c r="K14" s="275">
        <f>ROUND((IF(MinBase2Day&gt;ROUND(((1-(TwoDayDiscount_1_to_10+FedExExrpessEarnedDiscount))*'2Day Base'!K11),2),ROUND(MinBase2Day*(1+ExpressFuelSurcharge),2),ROUND(((1-(TwoDayDiscount_1_to_10+FedExExrpessEarnedDiscount))*'2Day Base'!K11)*(1+ExpressFuelSurcharge),2)))*(1+FedEx_Markup),2)</f>
        <v>83.03</v>
      </c>
      <c r="L14" s="275">
        <f>ROUND((IF(MinBase2Day&gt;ROUND(((1-(TwoDayDiscount_1_to_10+FedExExrpessEarnedDiscount))*'2Day Base'!L11),2),ROUND(MinBase2Day*(1+ExpressFuelSurcharge),2),ROUND(((1-(TwoDayDiscount_1_to_10+FedExExrpessEarnedDiscount))*'2Day Base'!L11)*(1+ExpressFuelSurcharge),2)))*(1+FedEx_Markup),2)</f>
        <v>83.03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274">
        <v>10.0</v>
      </c>
      <c r="B15" s="275">
        <f>ROUND((IF(MinBase2Day&gt;ROUND(((1-(TwoDayDiscount_1_to_10+FedExExrpessEarnedDiscount))*'2Day Base'!B12),2),ROUND(MinBase2Day*(1+ExpressFuelSurcharge),2),ROUND(((1-(TwoDayDiscount_1_to_10+FedExExrpessEarnedDiscount))*'2Day Base'!B12)*(1+ExpressFuelSurcharge),2)))*(1+FedEx_Markup),2)</f>
        <v>19.81</v>
      </c>
      <c r="C15" s="275">
        <f>ROUND((IF(MinBase2Day&gt;ROUND(((1-(TwoDayDiscount_1_to_10+FedExExrpessEarnedDiscount))*'2Day Base'!C12),2),ROUND(MinBase2Day*(1+ExpressFuelSurcharge),2),ROUND(((1-(TwoDayDiscount_1_to_10+FedExExrpessEarnedDiscount))*'2Day Base'!C12)*(1+ExpressFuelSurcharge),2)))*(1+FedEx_Markup),2)</f>
        <v>24.56</v>
      </c>
      <c r="D15" s="275">
        <f>ROUND((IF(MinBase2Day&gt;ROUND(((1-(TwoDayDiscount_1_to_10+FedExExrpessEarnedDiscount))*'2Day Base'!D12),2),ROUND(MinBase2Day*(1+ExpressFuelSurcharge),2),ROUND(((1-(TwoDayDiscount_1_to_10+FedExExrpessEarnedDiscount))*'2Day Base'!D12)*(1+ExpressFuelSurcharge),2)))*(1+FedEx_Markup),2)</f>
        <v>30.49</v>
      </c>
      <c r="E15" s="275">
        <f>ROUND((IF(MinBase2Day&gt;ROUND(((1-(TwoDayDiscount_1_to_10+FedExExrpessEarnedDiscount))*'2Day Base'!E12),2),ROUND(MinBase2Day*(1+ExpressFuelSurcharge),2),ROUND(((1-(TwoDayDiscount_1_to_10+FedExExrpessEarnedDiscount))*'2Day Base'!E12)*(1+ExpressFuelSurcharge),2)))*(1+FedEx_Markup),2)</f>
        <v>45.03</v>
      </c>
      <c r="F15" s="275">
        <f>ROUND((IF(MinBase2Day&gt;ROUND(((1-(TwoDayDiscount_1_to_10+FedExExrpessEarnedDiscount))*'2Day Base'!F12),2),ROUND(MinBase2Day*(1+ExpressFuelSurcharge),2),ROUND(((1-(TwoDayDiscount_1_to_10+FedExExrpessEarnedDiscount))*'2Day Base'!F12)*(1+ExpressFuelSurcharge),2)))*(1+FedEx_Markup),2)</f>
        <v>62.73</v>
      </c>
      <c r="G15" s="275">
        <f>ROUND((IF(MinBase2Day&gt;ROUND(((1-(TwoDayDiscount_1_to_10+FedExExrpessEarnedDiscount))*'2Day Base'!G12),2),ROUND(MinBase2Day*(1+ExpressFuelSurcharge),2),ROUND(((1-(TwoDayDiscount_1_to_10+FedExExrpessEarnedDiscount))*'2Day Base'!G12)*(1+ExpressFuelSurcharge),2)))*(1+FedEx_Markup),2)</f>
        <v>69.81</v>
      </c>
      <c r="H15" s="275">
        <f>ROUND((IF(MinBase2Day&gt;ROUND(((1-(TwoDayDiscount_1_to_10+FedExExrpessEarnedDiscount))*'2Day Base'!H12),2),ROUND(MinBase2Day*(1+ExpressFuelSurcharge),2),ROUND(((1-(TwoDayDiscount_1_to_10+FedExExrpessEarnedDiscount))*'2Day Base'!H12)*(1+ExpressFuelSurcharge),2)))*(1+FedEx_Markup),2)</f>
        <v>72.01</v>
      </c>
      <c r="I15" s="275">
        <f>ROUND((IF(MinBase2Day&gt;ROUND(((1-(TwoDayDiscount_1_to_10+FedExExrpessEarnedDiscount))*'2Day Base'!I12),2),ROUND(MinBase2Day*(1+ExpressFuelSurcharge),2),ROUND(((1-(TwoDayDiscount_1_to_10+FedExExrpessEarnedDiscount))*'2Day Base'!I12)*(1+ExpressFuelSurcharge),2)))*(1+FedEx_Markup),2)</f>
        <v>80.98</v>
      </c>
      <c r="J15" s="275">
        <f>ROUND((IF(MinBase2Day&gt;ROUND(((1-(TwoDayDiscount_1_to_10+FedExExrpessEarnedDiscount))*'2Day Base'!J12),2),ROUND(MinBase2Day*(1+ExpressFuelSurcharge),2),ROUND(((1-(TwoDayDiscount_1_to_10+FedExExrpessEarnedDiscount))*'2Day Base'!J12)*(1+ExpressFuelSurcharge),2)))*(1+FedEx_Markup),2)</f>
        <v>80.98</v>
      </c>
      <c r="K15" s="275">
        <f>ROUND((IF(MinBase2Day&gt;ROUND(((1-(TwoDayDiscount_1_to_10+FedExExrpessEarnedDiscount))*'2Day Base'!K12),2),ROUND(MinBase2Day*(1+ExpressFuelSurcharge),2),ROUND(((1-(TwoDayDiscount_1_to_10+FedExExrpessEarnedDiscount))*'2Day Base'!K12)*(1+ExpressFuelSurcharge),2)))*(1+FedEx_Markup),2)</f>
        <v>86.55</v>
      </c>
      <c r="L15" s="275">
        <f>ROUND((IF(MinBase2Day&gt;ROUND(((1-(TwoDayDiscount_1_to_10+FedExExrpessEarnedDiscount))*'2Day Base'!L12),2),ROUND(MinBase2Day*(1+ExpressFuelSurcharge),2),ROUND(((1-(TwoDayDiscount_1_to_10+FedExExrpessEarnedDiscount))*'2Day Base'!L12)*(1+ExpressFuelSurcharge),2)))*(1+FedEx_Markup),2)</f>
        <v>86.55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274">
        <v>11.0</v>
      </c>
      <c r="B16" s="275">
        <f>ROUND((IF(MinBase2Day&gt;ROUND(((1-(TwoDayDiscount_11_20+FedExExrpessEarnedDiscount))*'2Day Base'!B13),2),ROUND(MinBase2Day*(1+ExpressFuelSurcharge),2),ROUND(((1-(TwoDayDiscount_11_20+FedExExrpessEarnedDiscount))*'2Day Base'!B13)*(1+ExpressFuelSurcharge),2)))*(1+FedEx_Markup),2)</f>
        <v>20.04</v>
      </c>
      <c r="C16" s="275">
        <f>ROUND((IF(MinBase2Day&gt;ROUND(((1-(TwoDayDiscount_11_20+FedExExrpessEarnedDiscount))*'2Day Base'!C13),2),ROUND(MinBase2Day*(1+ExpressFuelSurcharge),2),ROUND(((1-(TwoDayDiscount_11_20+FedExExrpessEarnedDiscount))*'2Day Base'!C13)*(1+ExpressFuelSurcharge),2)))*(1+FedEx_Markup),2)</f>
        <v>24.06</v>
      </c>
      <c r="D16" s="275">
        <f>ROUND((IF(MinBase2Day&gt;ROUND(((1-(TwoDayDiscount_11_20+FedExExrpessEarnedDiscount))*'2Day Base'!D13),2),ROUND(MinBase2Day*(1+ExpressFuelSurcharge),2),ROUND(((1-(TwoDayDiscount_11_20+FedExExrpessEarnedDiscount))*'2Day Base'!D13)*(1+ExpressFuelSurcharge),2)))*(1+FedEx_Markup),2)</f>
        <v>29.66</v>
      </c>
      <c r="E16" s="275">
        <f>ROUND((IF(MinBase2Day&gt;ROUND(((1-(TwoDayDiscount_11_20+FedExExrpessEarnedDiscount))*'2Day Base'!E13),2),ROUND(MinBase2Day*(1+ExpressFuelSurcharge),2),ROUND(((1-(TwoDayDiscount_11_20+FedExExrpessEarnedDiscount))*'2Day Base'!E13)*(1+ExpressFuelSurcharge),2)))*(1+FedEx_Markup),2)</f>
        <v>44.79</v>
      </c>
      <c r="F16" s="275">
        <f>ROUND((IF(MinBase2Day&gt;ROUND(((1-(TwoDayDiscount_11_20+FedExExrpessEarnedDiscount))*'2Day Base'!F13),2),ROUND(MinBase2Day*(1+ExpressFuelSurcharge),2),ROUND(((1-(TwoDayDiscount_11_20+FedExExrpessEarnedDiscount))*'2Day Base'!F13)*(1+ExpressFuelSurcharge),2)))*(1+FedEx_Markup),2)</f>
        <v>63</v>
      </c>
      <c r="G16" s="275">
        <f>ROUND((IF(MinBase2Day&gt;ROUND(((1-(TwoDayDiscount_11_20+FedExExrpessEarnedDiscount))*'2Day Base'!G13),2),ROUND(MinBase2Day*(1+ExpressFuelSurcharge),2),ROUND(((1-(TwoDayDiscount_11_20+FedExExrpessEarnedDiscount))*'2Day Base'!G13)*(1+ExpressFuelSurcharge),2)))*(1+FedEx_Markup),2)</f>
        <v>69.6</v>
      </c>
      <c r="H16" s="275">
        <f>ROUND((IF(MinBase2Day&gt;ROUND(((1-(TwoDayDiscount_11_20+FedExExrpessEarnedDiscount))*'2Day Base'!H13),2),ROUND(MinBase2Day*(1+ExpressFuelSurcharge),2),ROUND(((1-(TwoDayDiscount_11_20+FedExExrpessEarnedDiscount))*'2Day Base'!H13)*(1+ExpressFuelSurcharge),2)))*(1+FedEx_Markup),2)</f>
        <v>72.58</v>
      </c>
      <c r="I16" s="275">
        <f>ROUND((IF(MinBase2Day&gt;ROUND(((1-(TwoDayDiscount_11_20+FedExExrpessEarnedDiscount))*'2Day Base'!I13),2),ROUND(MinBase2Day*(1+ExpressFuelSurcharge),2),ROUND(((1-(TwoDayDiscount_11_20+FedExExrpessEarnedDiscount))*'2Day Base'!I13)*(1+ExpressFuelSurcharge),2)))*(1+FedEx_Markup),2)</f>
        <v>76.31</v>
      </c>
      <c r="J16" s="275">
        <f>ROUND((IF(MinBase2Day&gt;ROUND(((1-(TwoDayDiscount_11_20+FedExExrpessEarnedDiscount))*'2Day Base'!J13),2),ROUND(MinBase2Day*(1+ExpressFuelSurcharge),2),ROUND(((1-(TwoDayDiscount_11_20+FedExExrpessEarnedDiscount))*'2Day Base'!J13)*(1+ExpressFuelSurcharge),2)))*(1+FedEx_Markup),2)</f>
        <v>76.31</v>
      </c>
      <c r="K16" s="275">
        <f>ROUND((IF(MinBase2Day&gt;ROUND(((1-(TwoDayDiscount_11_20+FedExExrpessEarnedDiscount))*'2Day Base'!K13),2),ROUND(MinBase2Day*(1+ExpressFuelSurcharge),2),ROUND(((1-(TwoDayDiscount_11_20+FedExExrpessEarnedDiscount))*'2Day Base'!K13)*(1+ExpressFuelSurcharge),2)))*(1+FedEx_Markup),2)</f>
        <v>80.85</v>
      </c>
      <c r="L16" s="275">
        <f>ROUND((IF(MinBase2Day&gt;ROUND(((1-(TwoDayDiscount_11_20+FedExExrpessEarnedDiscount))*'2Day Base'!L13),2),ROUND(MinBase2Day*(1+ExpressFuelSurcharge),2),ROUND(((1-(TwoDayDiscount_11_20+FedExExrpessEarnedDiscount))*'2Day Base'!L13)*(1+ExpressFuelSurcharge),2)))*(1+FedEx_Markup),2)</f>
        <v>80.85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274">
        <v>12.0</v>
      </c>
      <c r="B17" s="275">
        <f>ROUND((IF(MinBase2Day&gt;ROUND(((1-(TwoDayDiscount_11_20+FedExExrpessEarnedDiscount))*'2Day Base'!B14),2),ROUND(MinBase2Day*(1+ExpressFuelSurcharge),2),ROUND(((1-(TwoDayDiscount_11_20+FedExExrpessEarnedDiscount))*'2Day Base'!B14)*(1+ExpressFuelSurcharge),2)))*(1+FedEx_Markup),2)</f>
        <v>21.1</v>
      </c>
      <c r="C17" s="275">
        <f>ROUND((IF(MinBase2Day&gt;ROUND(((1-(TwoDayDiscount_11_20+FedExExrpessEarnedDiscount))*'2Day Base'!C14),2),ROUND(MinBase2Day*(1+ExpressFuelSurcharge),2),ROUND(((1-(TwoDayDiscount_11_20+FedExExrpessEarnedDiscount))*'2Day Base'!C14)*(1+ExpressFuelSurcharge),2)))*(1+FedEx_Markup),2)</f>
        <v>25.47</v>
      </c>
      <c r="D17" s="275">
        <f>ROUND((IF(MinBase2Day&gt;ROUND(((1-(TwoDayDiscount_11_20+FedExExrpessEarnedDiscount))*'2Day Base'!D14),2),ROUND(MinBase2Day*(1+ExpressFuelSurcharge),2),ROUND(((1-(TwoDayDiscount_11_20+FedExExrpessEarnedDiscount))*'2Day Base'!D14)*(1+ExpressFuelSurcharge),2)))*(1+FedEx_Markup),2)</f>
        <v>31.29</v>
      </c>
      <c r="E17" s="275">
        <f>ROUND((IF(MinBase2Day&gt;ROUND(((1-(TwoDayDiscount_11_20+FedExExrpessEarnedDiscount))*'2Day Base'!E14),2),ROUND(MinBase2Day*(1+ExpressFuelSurcharge),2),ROUND(((1-(TwoDayDiscount_11_20+FedExExrpessEarnedDiscount))*'2Day Base'!E14)*(1+ExpressFuelSurcharge),2)))*(1+FedEx_Markup),2)</f>
        <v>47.32</v>
      </c>
      <c r="F17" s="275">
        <f>ROUND((IF(MinBase2Day&gt;ROUND(((1-(TwoDayDiscount_11_20+FedExExrpessEarnedDiscount))*'2Day Base'!F14),2),ROUND(MinBase2Day*(1+ExpressFuelSurcharge),2),ROUND(((1-(TwoDayDiscount_11_20+FedExExrpessEarnedDiscount))*'2Day Base'!F14)*(1+ExpressFuelSurcharge),2)))*(1+FedEx_Markup),2)</f>
        <v>64.96</v>
      </c>
      <c r="G17" s="275">
        <f>ROUND((IF(MinBase2Day&gt;ROUND(((1-(TwoDayDiscount_11_20+FedExExrpessEarnedDiscount))*'2Day Base'!G14),2),ROUND(MinBase2Day*(1+ExpressFuelSurcharge),2),ROUND(((1-(TwoDayDiscount_11_20+FedExExrpessEarnedDiscount))*'2Day Base'!G14)*(1+ExpressFuelSurcharge),2)))*(1+FedEx_Markup),2)</f>
        <v>71.7</v>
      </c>
      <c r="H17" s="275">
        <f>ROUND((IF(MinBase2Day&gt;ROUND(((1-(TwoDayDiscount_11_20+FedExExrpessEarnedDiscount))*'2Day Base'!H14),2),ROUND(MinBase2Day*(1+ExpressFuelSurcharge),2),ROUND(((1-(TwoDayDiscount_11_20+FedExExrpessEarnedDiscount))*'2Day Base'!H14)*(1+ExpressFuelSurcharge),2)))*(1+FedEx_Markup),2)</f>
        <v>73.14</v>
      </c>
      <c r="I17" s="275">
        <f>ROUND((IF(MinBase2Day&gt;ROUND(((1-(TwoDayDiscount_11_20+FedExExrpessEarnedDiscount))*'2Day Base'!I14),2),ROUND(MinBase2Day*(1+ExpressFuelSurcharge),2),ROUND(((1-(TwoDayDiscount_11_20+FedExExrpessEarnedDiscount))*'2Day Base'!I14)*(1+ExpressFuelSurcharge),2)))*(1+FedEx_Markup),2)</f>
        <v>77.59</v>
      </c>
      <c r="J17" s="275">
        <f>ROUND((IF(MinBase2Day&gt;ROUND(((1-(TwoDayDiscount_11_20+FedExExrpessEarnedDiscount))*'2Day Base'!J14),2),ROUND(MinBase2Day*(1+ExpressFuelSurcharge),2),ROUND(((1-(TwoDayDiscount_11_20+FedExExrpessEarnedDiscount))*'2Day Base'!J14)*(1+ExpressFuelSurcharge),2)))*(1+FedEx_Markup),2)</f>
        <v>77.59</v>
      </c>
      <c r="K17" s="275">
        <f>ROUND((IF(MinBase2Day&gt;ROUND(((1-(TwoDayDiscount_11_20+FedExExrpessEarnedDiscount))*'2Day Base'!K14),2),ROUND(MinBase2Day*(1+ExpressFuelSurcharge),2),ROUND(((1-(TwoDayDiscount_11_20+FedExExrpessEarnedDiscount))*'2Day Base'!K14)*(1+ExpressFuelSurcharge),2)))*(1+FedEx_Markup),2)</f>
        <v>81.22</v>
      </c>
      <c r="L17" s="275">
        <f>ROUND((IF(MinBase2Day&gt;ROUND(((1-(TwoDayDiscount_11_20+FedExExrpessEarnedDiscount))*'2Day Base'!L14),2),ROUND(MinBase2Day*(1+ExpressFuelSurcharge),2),ROUND(((1-(TwoDayDiscount_11_20+FedExExrpessEarnedDiscount))*'2Day Base'!L14)*(1+ExpressFuelSurcharge),2)))*(1+FedEx_Markup),2)</f>
        <v>81.22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274">
        <v>13.0</v>
      </c>
      <c r="B18" s="275">
        <f>ROUND((IF(MinBase2Day&gt;ROUND(((1-(TwoDayDiscount_11_20+FedExExrpessEarnedDiscount))*'2Day Base'!B15),2),ROUND(MinBase2Day*(1+ExpressFuelSurcharge),2),ROUND(((1-(TwoDayDiscount_11_20+FedExExrpessEarnedDiscount))*'2Day Base'!B15)*(1+ExpressFuelSurcharge),2)))*(1+FedEx_Markup),2)</f>
        <v>22.59</v>
      </c>
      <c r="C18" s="275">
        <f>ROUND((IF(MinBase2Day&gt;ROUND(((1-(TwoDayDiscount_11_20+FedExExrpessEarnedDiscount))*'2Day Base'!C15),2),ROUND(MinBase2Day*(1+ExpressFuelSurcharge),2),ROUND(((1-(TwoDayDiscount_11_20+FedExExrpessEarnedDiscount))*'2Day Base'!C15)*(1+ExpressFuelSurcharge),2)))*(1+FedEx_Markup),2)</f>
        <v>26.8</v>
      </c>
      <c r="D18" s="275">
        <f>ROUND((IF(MinBase2Day&gt;ROUND(((1-(TwoDayDiscount_11_20+FedExExrpessEarnedDiscount))*'2Day Base'!D15),2),ROUND(MinBase2Day*(1+ExpressFuelSurcharge),2),ROUND(((1-(TwoDayDiscount_11_20+FedExExrpessEarnedDiscount))*'2Day Base'!D15)*(1+ExpressFuelSurcharge),2)))*(1+FedEx_Markup),2)</f>
        <v>32.49</v>
      </c>
      <c r="E18" s="275">
        <f>ROUND((IF(MinBase2Day&gt;ROUND(((1-(TwoDayDiscount_11_20+FedExExrpessEarnedDiscount))*'2Day Base'!E15),2),ROUND(MinBase2Day*(1+ExpressFuelSurcharge),2),ROUND(((1-(TwoDayDiscount_11_20+FedExExrpessEarnedDiscount))*'2Day Base'!E15)*(1+ExpressFuelSurcharge),2)))*(1+FedEx_Markup),2)</f>
        <v>50.16</v>
      </c>
      <c r="F18" s="275">
        <f>ROUND((IF(MinBase2Day&gt;ROUND(((1-(TwoDayDiscount_11_20+FedExExrpessEarnedDiscount))*'2Day Base'!F15),2),ROUND(MinBase2Day*(1+ExpressFuelSurcharge),2),ROUND(((1-(TwoDayDiscount_11_20+FedExExrpessEarnedDiscount))*'2Day Base'!F15)*(1+ExpressFuelSurcharge),2)))*(1+FedEx_Markup),2)</f>
        <v>72.29</v>
      </c>
      <c r="G18" s="275">
        <f>ROUND((IF(MinBase2Day&gt;ROUND(((1-(TwoDayDiscount_11_20+FedExExrpessEarnedDiscount))*'2Day Base'!G15),2),ROUND(MinBase2Day*(1+ExpressFuelSurcharge),2),ROUND(((1-(TwoDayDiscount_11_20+FedExExrpessEarnedDiscount))*'2Day Base'!G15)*(1+ExpressFuelSurcharge),2)))*(1+FedEx_Markup),2)</f>
        <v>78.29</v>
      </c>
      <c r="H18" s="275">
        <f>ROUND((IF(MinBase2Day&gt;ROUND(((1-(TwoDayDiscount_11_20+FedExExrpessEarnedDiscount))*'2Day Base'!H15),2),ROUND(MinBase2Day*(1+ExpressFuelSurcharge),2),ROUND(((1-(TwoDayDiscount_11_20+FedExExrpessEarnedDiscount))*'2Day Base'!H15)*(1+ExpressFuelSurcharge),2)))*(1+FedEx_Markup),2)</f>
        <v>82.1</v>
      </c>
      <c r="I18" s="275">
        <f>ROUND((IF(MinBase2Day&gt;ROUND(((1-(TwoDayDiscount_11_20+FedExExrpessEarnedDiscount))*'2Day Base'!I15),2),ROUND(MinBase2Day*(1+ExpressFuelSurcharge),2),ROUND(((1-(TwoDayDiscount_11_20+FedExExrpessEarnedDiscount))*'2Day Base'!I15)*(1+ExpressFuelSurcharge),2)))*(1+FedEx_Markup),2)</f>
        <v>85.69</v>
      </c>
      <c r="J18" s="275">
        <f>ROUND((IF(MinBase2Day&gt;ROUND(((1-(TwoDayDiscount_11_20+FedExExrpessEarnedDiscount))*'2Day Base'!J15),2),ROUND(MinBase2Day*(1+ExpressFuelSurcharge),2),ROUND(((1-(TwoDayDiscount_11_20+FedExExrpessEarnedDiscount))*'2Day Base'!J15)*(1+ExpressFuelSurcharge),2)))*(1+FedEx_Markup),2)</f>
        <v>85.69</v>
      </c>
      <c r="K18" s="275">
        <f>ROUND((IF(MinBase2Day&gt;ROUND(((1-(TwoDayDiscount_11_20+FedExExrpessEarnedDiscount))*'2Day Base'!K15),2),ROUND(MinBase2Day*(1+ExpressFuelSurcharge),2),ROUND(((1-(TwoDayDiscount_11_20+FedExExrpessEarnedDiscount))*'2Day Base'!K15)*(1+ExpressFuelSurcharge),2)))*(1+FedEx_Markup),2)</f>
        <v>88.44</v>
      </c>
      <c r="L18" s="275">
        <f>ROUND((IF(MinBase2Day&gt;ROUND(((1-(TwoDayDiscount_11_20+FedExExrpessEarnedDiscount))*'2Day Base'!L15),2),ROUND(MinBase2Day*(1+ExpressFuelSurcharge),2),ROUND(((1-(TwoDayDiscount_11_20+FedExExrpessEarnedDiscount))*'2Day Base'!L15)*(1+ExpressFuelSurcharge),2)))*(1+FedEx_Markup),2)</f>
        <v>88.44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274">
        <v>14.0</v>
      </c>
      <c r="B19" s="275">
        <f>ROUND((IF(MinBase2Day&gt;ROUND(((1-(TwoDayDiscount_11_20+FedExExrpessEarnedDiscount))*'2Day Base'!B16),2),ROUND(MinBase2Day*(1+ExpressFuelSurcharge),2),ROUND(((1-(TwoDayDiscount_11_20+FedExExrpessEarnedDiscount))*'2Day Base'!B16)*(1+ExpressFuelSurcharge),2)))*(1+FedEx_Markup),2)</f>
        <v>23.72</v>
      </c>
      <c r="C19" s="275">
        <f>ROUND((IF(MinBase2Day&gt;ROUND(((1-(TwoDayDiscount_11_20+FedExExrpessEarnedDiscount))*'2Day Base'!C16),2),ROUND(MinBase2Day*(1+ExpressFuelSurcharge),2),ROUND(((1-(TwoDayDiscount_11_20+FedExExrpessEarnedDiscount))*'2Day Base'!C16)*(1+ExpressFuelSurcharge),2)))*(1+FedEx_Markup),2)</f>
        <v>28.19</v>
      </c>
      <c r="D19" s="275">
        <f>ROUND((IF(MinBase2Day&gt;ROUND(((1-(TwoDayDiscount_11_20+FedExExrpessEarnedDiscount))*'2Day Base'!D16),2),ROUND(MinBase2Day*(1+ExpressFuelSurcharge),2),ROUND(((1-(TwoDayDiscount_11_20+FedExExrpessEarnedDiscount))*'2Day Base'!D16)*(1+ExpressFuelSurcharge),2)))*(1+FedEx_Markup),2)</f>
        <v>34.62</v>
      </c>
      <c r="E19" s="275">
        <f>ROUND((IF(MinBase2Day&gt;ROUND(((1-(TwoDayDiscount_11_20+FedExExrpessEarnedDiscount))*'2Day Base'!E16),2),ROUND(MinBase2Day*(1+ExpressFuelSurcharge),2),ROUND(((1-(TwoDayDiscount_11_20+FedExExrpessEarnedDiscount))*'2Day Base'!E16)*(1+ExpressFuelSurcharge),2)))*(1+FedEx_Markup),2)</f>
        <v>53.05</v>
      </c>
      <c r="F19" s="275">
        <f>ROUND((IF(MinBase2Day&gt;ROUND(((1-(TwoDayDiscount_11_20+FedExExrpessEarnedDiscount))*'2Day Base'!F16),2),ROUND(MinBase2Day*(1+ExpressFuelSurcharge),2),ROUND(((1-(TwoDayDiscount_11_20+FedExExrpessEarnedDiscount))*'2Day Base'!F16)*(1+ExpressFuelSurcharge),2)))*(1+FedEx_Markup),2)</f>
        <v>73.44</v>
      </c>
      <c r="G19" s="275">
        <f>ROUND((IF(MinBase2Day&gt;ROUND(((1-(TwoDayDiscount_11_20+FedExExrpessEarnedDiscount))*'2Day Base'!G16),2),ROUND(MinBase2Day*(1+ExpressFuelSurcharge),2),ROUND(((1-(TwoDayDiscount_11_20+FedExExrpessEarnedDiscount))*'2Day Base'!G16)*(1+ExpressFuelSurcharge),2)))*(1+FedEx_Markup),2)</f>
        <v>81.37</v>
      </c>
      <c r="H19" s="275">
        <f>ROUND((IF(MinBase2Day&gt;ROUND(((1-(TwoDayDiscount_11_20+FedExExrpessEarnedDiscount))*'2Day Base'!H16),2),ROUND(MinBase2Day*(1+ExpressFuelSurcharge),2),ROUND(((1-(TwoDayDiscount_11_20+FedExExrpessEarnedDiscount))*'2Day Base'!H16)*(1+ExpressFuelSurcharge),2)))*(1+FedEx_Markup),2)</f>
        <v>83.01</v>
      </c>
      <c r="I19" s="275">
        <f>ROUND((IF(MinBase2Day&gt;ROUND(((1-(TwoDayDiscount_11_20+FedExExrpessEarnedDiscount))*'2Day Base'!I16),2),ROUND(MinBase2Day*(1+ExpressFuelSurcharge),2),ROUND(((1-(TwoDayDiscount_11_20+FedExExrpessEarnedDiscount))*'2Day Base'!I16)*(1+ExpressFuelSurcharge),2)))*(1+FedEx_Markup),2)</f>
        <v>89.04</v>
      </c>
      <c r="J19" s="275">
        <f>ROUND((IF(MinBase2Day&gt;ROUND(((1-(TwoDayDiscount_11_20+FedExExrpessEarnedDiscount))*'2Day Base'!J16),2),ROUND(MinBase2Day*(1+ExpressFuelSurcharge),2),ROUND(((1-(TwoDayDiscount_11_20+FedExExrpessEarnedDiscount))*'2Day Base'!J16)*(1+ExpressFuelSurcharge),2)))*(1+FedEx_Markup),2)</f>
        <v>89.04</v>
      </c>
      <c r="K19" s="275">
        <f>ROUND((IF(MinBase2Day&gt;ROUND(((1-(TwoDayDiscount_11_20+FedExExrpessEarnedDiscount))*'2Day Base'!K16),2),ROUND(MinBase2Day*(1+ExpressFuelSurcharge),2),ROUND(((1-(TwoDayDiscount_11_20+FedExExrpessEarnedDiscount))*'2Day Base'!K16)*(1+ExpressFuelSurcharge),2)))*(1+FedEx_Markup),2)</f>
        <v>91.92</v>
      </c>
      <c r="L19" s="275">
        <f>ROUND((IF(MinBase2Day&gt;ROUND(((1-(TwoDayDiscount_11_20+FedExExrpessEarnedDiscount))*'2Day Base'!L16),2),ROUND(MinBase2Day*(1+ExpressFuelSurcharge),2),ROUND(((1-(TwoDayDiscount_11_20+FedExExrpessEarnedDiscount))*'2Day Base'!L16)*(1+ExpressFuelSurcharge),2)))*(1+FedEx_Markup),2)</f>
        <v>91.92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274">
        <v>15.0</v>
      </c>
      <c r="B20" s="275">
        <f>ROUND((IF(MinBase2Day&gt;ROUND(((1-(TwoDayDiscount_11_20+FedExExrpessEarnedDiscount))*'2Day Base'!B17),2),ROUND(MinBase2Day*(1+ExpressFuelSurcharge),2),ROUND(((1-(TwoDayDiscount_11_20+FedExExrpessEarnedDiscount))*'2Day Base'!B17)*(1+ExpressFuelSurcharge),2)))*(1+FedEx_Markup),2)</f>
        <v>24.62</v>
      </c>
      <c r="C20" s="275">
        <f>ROUND((IF(MinBase2Day&gt;ROUND(((1-(TwoDayDiscount_11_20+FedExExrpessEarnedDiscount))*'2Day Base'!C17),2),ROUND(MinBase2Day*(1+ExpressFuelSurcharge),2),ROUND(((1-(TwoDayDiscount_11_20+FedExExrpessEarnedDiscount))*'2Day Base'!C17)*(1+ExpressFuelSurcharge),2)))*(1+FedEx_Markup),2)</f>
        <v>28.88</v>
      </c>
      <c r="D20" s="275">
        <f>ROUND((IF(MinBase2Day&gt;ROUND(((1-(TwoDayDiscount_11_20+FedExExrpessEarnedDiscount))*'2Day Base'!D17),2),ROUND(MinBase2Day*(1+ExpressFuelSurcharge),2),ROUND(((1-(TwoDayDiscount_11_20+FedExExrpessEarnedDiscount))*'2Day Base'!D17)*(1+ExpressFuelSurcharge),2)))*(1+FedEx_Markup),2)</f>
        <v>36.31</v>
      </c>
      <c r="E20" s="275">
        <f>ROUND((IF(MinBase2Day&gt;ROUND(((1-(TwoDayDiscount_11_20+FedExExrpessEarnedDiscount))*'2Day Base'!E17),2),ROUND(MinBase2Day*(1+ExpressFuelSurcharge),2),ROUND(((1-(TwoDayDiscount_11_20+FedExExrpessEarnedDiscount))*'2Day Base'!E17)*(1+ExpressFuelSurcharge),2)))*(1+FedEx_Markup),2)</f>
        <v>55.1</v>
      </c>
      <c r="F20" s="275">
        <f>ROUND((IF(MinBase2Day&gt;ROUND(((1-(TwoDayDiscount_11_20+FedExExrpessEarnedDiscount))*'2Day Base'!F17),2),ROUND(MinBase2Day*(1+ExpressFuelSurcharge),2),ROUND(((1-(TwoDayDiscount_11_20+FedExExrpessEarnedDiscount))*'2Day Base'!F17)*(1+ExpressFuelSurcharge),2)))*(1+FedEx_Markup),2)</f>
        <v>80.78</v>
      </c>
      <c r="G20" s="275">
        <f>ROUND((IF(MinBase2Day&gt;ROUND(((1-(TwoDayDiscount_11_20+FedExExrpessEarnedDiscount))*'2Day Base'!G17),2),ROUND(MinBase2Day*(1+ExpressFuelSurcharge),2),ROUND(((1-(TwoDayDiscount_11_20+FedExExrpessEarnedDiscount))*'2Day Base'!G17)*(1+ExpressFuelSurcharge),2)))*(1+FedEx_Markup),2)</f>
        <v>86.03</v>
      </c>
      <c r="H20" s="275">
        <f>ROUND((IF(MinBase2Day&gt;ROUND(((1-(TwoDayDiscount_11_20+FedExExrpessEarnedDiscount))*'2Day Base'!H17),2),ROUND(MinBase2Day*(1+ExpressFuelSurcharge),2),ROUND(((1-(TwoDayDiscount_11_20+FedExExrpessEarnedDiscount))*'2Day Base'!H17)*(1+ExpressFuelSurcharge),2)))*(1+FedEx_Markup),2)</f>
        <v>89.69</v>
      </c>
      <c r="I20" s="275">
        <f>ROUND((IF(MinBase2Day&gt;ROUND(((1-(TwoDayDiscount_11_20+FedExExrpessEarnedDiscount))*'2Day Base'!I17),2),ROUND(MinBase2Day*(1+ExpressFuelSurcharge),2),ROUND(((1-(TwoDayDiscount_11_20+FedExExrpessEarnedDiscount))*'2Day Base'!I17)*(1+ExpressFuelSurcharge),2)))*(1+FedEx_Markup),2)</f>
        <v>93.15</v>
      </c>
      <c r="J20" s="275">
        <f>ROUND((IF(MinBase2Day&gt;ROUND(((1-(TwoDayDiscount_11_20+FedExExrpessEarnedDiscount))*'2Day Base'!J17),2),ROUND(MinBase2Day*(1+ExpressFuelSurcharge),2),ROUND(((1-(TwoDayDiscount_11_20+FedExExrpessEarnedDiscount))*'2Day Base'!J17)*(1+ExpressFuelSurcharge),2)))*(1+FedEx_Markup),2)</f>
        <v>93.15</v>
      </c>
      <c r="K20" s="275">
        <f>ROUND((IF(MinBase2Day&gt;ROUND(((1-(TwoDayDiscount_11_20+FedExExrpessEarnedDiscount))*'2Day Base'!K17),2),ROUND(MinBase2Day*(1+ExpressFuelSurcharge),2),ROUND(((1-(TwoDayDiscount_11_20+FedExExrpessEarnedDiscount))*'2Day Base'!K17)*(1+ExpressFuelSurcharge),2)))*(1+FedEx_Markup),2)</f>
        <v>96.92</v>
      </c>
      <c r="L20" s="275">
        <f>ROUND((IF(MinBase2Day&gt;ROUND(((1-(TwoDayDiscount_11_20+FedExExrpessEarnedDiscount))*'2Day Base'!L17),2),ROUND(MinBase2Day*(1+ExpressFuelSurcharge),2),ROUND(((1-(TwoDayDiscount_11_20+FedExExrpessEarnedDiscount))*'2Day Base'!L17)*(1+ExpressFuelSurcharge),2)))*(1+FedEx_Markup),2)</f>
        <v>96.92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274">
        <v>16.0</v>
      </c>
      <c r="B21" s="275">
        <f>ROUND((IF(MinBase2Day&gt;ROUND(((1-(TwoDayDiscount_11_20+FedExExrpessEarnedDiscount))*'2Day Base'!B18),2),ROUND(MinBase2Day*(1+ExpressFuelSurcharge),2),ROUND(((1-(TwoDayDiscount_11_20+FedExExrpessEarnedDiscount))*'2Day Base'!B18)*(1+ExpressFuelSurcharge),2)))*(1+FedEx_Markup),2)</f>
        <v>25.2</v>
      </c>
      <c r="C21" s="275">
        <f>ROUND((IF(MinBase2Day&gt;ROUND(((1-(TwoDayDiscount_11_20+FedExExrpessEarnedDiscount))*'2Day Base'!C18),2),ROUND(MinBase2Day*(1+ExpressFuelSurcharge),2),ROUND(((1-(TwoDayDiscount_11_20+FedExExrpessEarnedDiscount))*'2Day Base'!C18)*(1+ExpressFuelSurcharge),2)))*(1+FedEx_Markup),2)</f>
        <v>29.83</v>
      </c>
      <c r="D21" s="275">
        <f>ROUND((IF(MinBase2Day&gt;ROUND(((1-(TwoDayDiscount_11_20+FedExExrpessEarnedDiscount))*'2Day Base'!D18),2),ROUND(MinBase2Day*(1+ExpressFuelSurcharge),2),ROUND(((1-(TwoDayDiscount_11_20+FedExExrpessEarnedDiscount))*'2Day Base'!D18)*(1+ExpressFuelSurcharge),2)))*(1+FedEx_Markup),2)</f>
        <v>37.88</v>
      </c>
      <c r="E21" s="275">
        <f>ROUND((IF(MinBase2Day&gt;ROUND(((1-(TwoDayDiscount_11_20+FedExExrpessEarnedDiscount))*'2Day Base'!E18),2),ROUND(MinBase2Day*(1+ExpressFuelSurcharge),2),ROUND(((1-(TwoDayDiscount_11_20+FedExExrpessEarnedDiscount))*'2Day Base'!E18)*(1+ExpressFuelSurcharge),2)))*(1+FedEx_Markup),2)</f>
        <v>56.89</v>
      </c>
      <c r="F21" s="275">
        <f>ROUND((IF(MinBase2Day&gt;ROUND(((1-(TwoDayDiscount_11_20+FedExExrpessEarnedDiscount))*'2Day Base'!F18),2),ROUND(MinBase2Day*(1+ExpressFuelSurcharge),2),ROUND(((1-(TwoDayDiscount_11_20+FedExExrpessEarnedDiscount))*'2Day Base'!F18)*(1+ExpressFuelSurcharge),2)))*(1+FedEx_Markup),2)</f>
        <v>84.32</v>
      </c>
      <c r="G21" s="275">
        <f>ROUND((IF(MinBase2Day&gt;ROUND(((1-(TwoDayDiscount_11_20+FedExExrpessEarnedDiscount))*'2Day Base'!G18),2),ROUND(MinBase2Day*(1+ExpressFuelSurcharge),2),ROUND(((1-(TwoDayDiscount_11_20+FedExExrpessEarnedDiscount))*'2Day Base'!G18)*(1+ExpressFuelSurcharge),2)))*(1+FedEx_Markup),2)</f>
        <v>90.44</v>
      </c>
      <c r="H21" s="275">
        <f>ROUND((IF(MinBase2Day&gt;ROUND(((1-(TwoDayDiscount_11_20+FedExExrpessEarnedDiscount))*'2Day Base'!H18),2),ROUND(MinBase2Day*(1+ExpressFuelSurcharge),2),ROUND(((1-(TwoDayDiscount_11_20+FedExExrpessEarnedDiscount))*'2Day Base'!H18)*(1+ExpressFuelSurcharge),2)))*(1+FedEx_Markup),2)</f>
        <v>93.5</v>
      </c>
      <c r="I21" s="275">
        <f>ROUND((IF(MinBase2Day&gt;ROUND(((1-(TwoDayDiscount_11_20+FedExExrpessEarnedDiscount))*'2Day Base'!I18),2),ROUND(MinBase2Day*(1+ExpressFuelSurcharge),2),ROUND(((1-(TwoDayDiscount_11_20+FedExExrpessEarnedDiscount))*'2Day Base'!I18)*(1+ExpressFuelSurcharge),2)))*(1+FedEx_Markup),2)</f>
        <v>96.97</v>
      </c>
      <c r="J21" s="275">
        <f>ROUND((IF(MinBase2Day&gt;ROUND(((1-(TwoDayDiscount_11_20+FedExExrpessEarnedDiscount))*'2Day Base'!J18),2),ROUND(MinBase2Day*(1+ExpressFuelSurcharge),2),ROUND(((1-(TwoDayDiscount_11_20+FedExExrpessEarnedDiscount))*'2Day Base'!J18)*(1+ExpressFuelSurcharge),2)))*(1+FedEx_Markup),2)</f>
        <v>96.97</v>
      </c>
      <c r="K21" s="275">
        <f>ROUND((IF(MinBase2Day&gt;ROUND(((1-(TwoDayDiscount_11_20+FedExExrpessEarnedDiscount))*'2Day Base'!K18),2),ROUND(MinBase2Day*(1+ExpressFuelSurcharge),2),ROUND(((1-(TwoDayDiscount_11_20+FedExExrpessEarnedDiscount))*'2Day Base'!K18)*(1+ExpressFuelSurcharge),2)))*(1+FedEx_Markup),2)</f>
        <v>102.37</v>
      </c>
      <c r="L21" s="275">
        <f>ROUND((IF(MinBase2Day&gt;ROUND(((1-(TwoDayDiscount_11_20+FedExExrpessEarnedDiscount))*'2Day Base'!L18),2),ROUND(MinBase2Day*(1+ExpressFuelSurcharge),2),ROUND(((1-(TwoDayDiscount_11_20+FedExExrpessEarnedDiscount))*'2Day Base'!L18)*(1+ExpressFuelSurcharge),2)))*(1+FedEx_Markup),2)</f>
        <v>102.37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274">
        <v>17.0</v>
      </c>
      <c r="B22" s="275">
        <f>ROUND((IF(MinBase2Day&gt;ROUND(((1-(TwoDayDiscount_11_20+FedExExrpessEarnedDiscount))*'2Day Base'!B19),2),ROUND(MinBase2Day*(1+ExpressFuelSurcharge),2),ROUND(((1-(TwoDayDiscount_11_20+FedExExrpessEarnedDiscount))*'2Day Base'!B19)*(1+ExpressFuelSurcharge),2)))*(1+FedEx_Markup),2)</f>
        <v>25.98</v>
      </c>
      <c r="C22" s="275">
        <f>ROUND((IF(MinBase2Day&gt;ROUND(((1-(TwoDayDiscount_11_20+FedExExrpessEarnedDiscount))*'2Day Base'!C19),2),ROUND(MinBase2Day*(1+ExpressFuelSurcharge),2),ROUND(((1-(TwoDayDiscount_11_20+FedExExrpessEarnedDiscount))*'2Day Base'!C19)*(1+ExpressFuelSurcharge),2)))*(1+FedEx_Markup),2)</f>
        <v>30.73</v>
      </c>
      <c r="D22" s="275">
        <f>ROUND((IF(MinBase2Day&gt;ROUND(((1-(TwoDayDiscount_11_20+FedExExrpessEarnedDiscount))*'2Day Base'!D19),2),ROUND(MinBase2Day*(1+ExpressFuelSurcharge),2),ROUND(((1-(TwoDayDiscount_11_20+FedExExrpessEarnedDiscount))*'2Day Base'!D19)*(1+ExpressFuelSurcharge),2)))*(1+FedEx_Markup),2)</f>
        <v>39.53</v>
      </c>
      <c r="E22" s="275">
        <f>ROUND((IF(MinBase2Day&gt;ROUND(((1-(TwoDayDiscount_11_20+FedExExrpessEarnedDiscount))*'2Day Base'!E19),2),ROUND(MinBase2Day*(1+ExpressFuelSurcharge),2),ROUND(((1-(TwoDayDiscount_11_20+FedExExrpessEarnedDiscount))*'2Day Base'!E19)*(1+ExpressFuelSurcharge),2)))*(1+FedEx_Markup),2)</f>
        <v>59.63</v>
      </c>
      <c r="F22" s="275">
        <f>ROUND((IF(MinBase2Day&gt;ROUND(((1-(TwoDayDiscount_11_20+FedExExrpessEarnedDiscount))*'2Day Base'!F19),2),ROUND(MinBase2Day*(1+ExpressFuelSurcharge),2),ROUND(((1-(TwoDayDiscount_11_20+FedExExrpessEarnedDiscount))*'2Day Base'!F19)*(1+ExpressFuelSurcharge),2)))*(1+FedEx_Markup),2)</f>
        <v>88.11</v>
      </c>
      <c r="G22" s="275">
        <f>ROUND((IF(MinBase2Day&gt;ROUND(((1-(TwoDayDiscount_11_20+FedExExrpessEarnedDiscount))*'2Day Base'!G19),2),ROUND(MinBase2Day*(1+ExpressFuelSurcharge),2),ROUND(((1-(TwoDayDiscount_11_20+FedExExrpessEarnedDiscount))*'2Day Base'!G19)*(1+ExpressFuelSurcharge),2)))*(1+FedEx_Markup),2)</f>
        <v>94.78</v>
      </c>
      <c r="H22" s="275">
        <f>ROUND((IF(MinBase2Day&gt;ROUND(((1-(TwoDayDiscount_11_20+FedExExrpessEarnedDiscount))*'2Day Base'!H19),2),ROUND(MinBase2Day*(1+ExpressFuelSurcharge),2),ROUND(((1-(TwoDayDiscount_11_20+FedExExrpessEarnedDiscount))*'2Day Base'!H19)*(1+ExpressFuelSurcharge),2)))*(1+FedEx_Markup),2)</f>
        <v>97.83</v>
      </c>
      <c r="I22" s="275">
        <f>ROUND((IF(MinBase2Day&gt;ROUND(((1-(TwoDayDiscount_11_20+FedExExrpessEarnedDiscount))*'2Day Base'!I19),2),ROUND(MinBase2Day*(1+ExpressFuelSurcharge),2),ROUND(((1-(TwoDayDiscount_11_20+FedExExrpessEarnedDiscount))*'2Day Base'!I19)*(1+ExpressFuelSurcharge),2)))*(1+FedEx_Markup),2)</f>
        <v>101.59</v>
      </c>
      <c r="J22" s="275">
        <f>ROUND((IF(MinBase2Day&gt;ROUND(((1-(TwoDayDiscount_11_20+FedExExrpessEarnedDiscount))*'2Day Base'!J19),2),ROUND(MinBase2Day*(1+ExpressFuelSurcharge),2),ROUND(((1-(TwoDayDiscount_11_20+FedExExrpessEarnedDiscount))*'2Day Base'!J19)*(1+ExpressFuelSurcharge),2)))*(1+FedEx_Markup),2)</f>
        <v>101.59</v>
      </c>
      <c r="K22" s="275">
        <f>ROUND((IF(MinBase2Day&gt;ROUND(((1-(TwoDayDiscount_11_20+FedExExrpessEarnedDiscount))*'2Day Base'!K19),2),ROUND(MinBase2Day*(1+ExpressFuelSurcharge),2),ROUND(((1-(TwoDayDiscount_11_20+FedExExrpessEarnedDiscount))*'2Day Base'!K19)*(1+ExpressFuelSurcharge),2)))*(1+FedEx_Markup),2)</f>
        <v>106.58</v>
      </c>
      <c r="L22" s="275">
        <f>ROUND((IF(MinBase2Day&gt;ROUND(((1-(TwoDayDiscount_11_20+FedExExrpessEarnedDiscount))*'2Day Base'!L19),2),ROUND(MinBase2Day*(1+ExpressFuelSurcharge),2),ROUND(((1-(TwoDayDiscount_11_20+FedExExrpessEarnedDiscount))*'2Day Base'!L19)*(1+ExpressFuelSurcharge),2)))*(1+FedEx_Markup),2)</f>
        <v>106.58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274">
        <v>18.0</v>
      </c>
      <c r="B23" s="275">
        <f>ROUND((IF(MinBase2Day&gt;ROUND(((1-(TwoDayDiscount_11_20+FedExExrpessEarnedDiscount))*'2Day Base'!B20),2),ROUND(MinBase2Day*(1+ExpressFuelSurcharge),2),ROUND(((1-(TwoDayDiscount_11_20+FedExExrpessEarnedDiscount))*'2Day Base'!B20)*(1+ExpressFuelSurcharge),2)))*(1+FedEx_Markup),2)</f>
        <v>26.84</v>
      </c>
      <c r="C23" s="275">
        <f>ROUND((IF(MinBase2Day&gt;ROUND(((1-(TwoDayDiscount_11_20+FedExExrpessEarnedDiscount))*'2Day Base'!C20),2),ROUND(MinBase2Day*(1+ExpressFuelSurcharge),2),ROUND(((1-(TwoDayDiscount_11_20+FedExExrpessEarnedDiscount))*'2Day Base'!C20)*(1+ExpressFuelSurcharge),2)))*(1+FedEx_Markup),2)</f>
        <v>31.73</v>
      </c>
      <c r="D23" s="275">
        <f>ROUND((IF(MinBase2Day&gt;ROUND(((1-(TwoDayDiscount_11_20+FedExExrpessEarnedDiscount))*'2Day Base'!D20),2),ROUND(MinBase2Day*(1+ExpressFuelSurcharge),2),ROUND(((1-(TwoDayDiscount_11_20+FedExExrpessEarnedDiscount))*'2Day Base'!D20)*(1+ExpressFuelSurcharge),2)))*(1+FedEx_Markup),2)</f>
        <v>40.96</v>
      </c>
      <c r="E23" s="275">
        <f>ROUND((IF(MinBase2Day&gt;ROUND(((1-(TwoDayDiscount_11_20+FedExExrpessEarnedDiscount))*'2Day Base'!E20),2),ROUND(MinBase2Day*(1+ExpressFuelSurcharge),2),ROUND(((1-(TwoDayDiscount_11_20+FedExExrpessEarnedDiscount))*'2Day Base'!E20)*(1+ExpressFuelSurcharge),2)))*(1+FedEx_Markup),2)</f>
        <v>61.69</v>
      </c>
      <c r="F23" s="275">
        <f>ROUND((IF(MinBase2Day&gt;ROUND(((1-(TwoDayDiscount_11_20+FedExExrpessEarnedDiscount))*'2Day Base'!F20),2),ROUND(MinBase2Day*(1+ExpressFuelSurcharge),2),ROUND(((1-(TwoDayDiscount_11_20+FedExExrpessEarnedDiscount))*'2Day Base'!F20)*(1+ExpressFuelSurcharge),2)))*(1+FedEx_Markup),2)</f>
        <v>91.77</v>
      </c>
      <c r="G23" s="275">
        <f>ROUND((IF(MinBase2Day&gt;ROUND(((1-(TwoDayDiscount_11_20+FedExExrpessEarnedDiscount))*'2Day Base'!G20),2),ROUND(MinBase2Day*(1+ExpressFuelSurcharge),2),ROUND(((1-(TwoDayDiscount_11_20+FedExExrpessEarnedDiscount))*'2Day Base'!G20)*(1+ExpressFuelSurcharge),2)))*(1+FedEx_Markup),2)</f>
        <v>95.22</v>
      </c>
      <c r="H23" s="275">
        <f>ROUND((IF(MinBase2Day&gt;ROUND(((1-(TwoDayDiscount_11_20+FedExExrpessEarnedDiscount))*'2Day Base'!H20),2),ROUND(MinBase2Day*(1+ExpressFuelSurcharge),2),ROUND(((1-(TwoDayDiscount_11_20+FedExExrpessEarnedDiscount))*'2Day Base'!H20)*(1+ExpressFuelSurcharge),2)))*(1+FedEx_Markup),2)</f>
        <v>98.28</v>
      </c>
      <c r="I23" s="275">
        <f>ROUND((IF(MinBase2Day&gt;ROUND(((1-(TwoDayDiscount_11_20+FedExExrpessEarnedDiscount))*'2Day Base'!I20),2),ROUND(MinBase2Day*(1+ExpressFuelSurcharge),2),ROUND(((1-(TwoDayDiscount_11_20+FedExExrpessEarnedDiscount))*'2Day Base'!I20)*(1+ExpressFuelSurcharge),2)))*(1+FedEx_Markup),2)</f>
        <v>103.58</v>
      </c>
      <c r="J23" s="275">
        <f>ROUND((IF(MinBase2Day&gt;ROUND(((1-(TwoDayDiscount_11_20+FedExExrpessEarnedDiscount))*'2Day Base'!J20),2),ROUND(MinBase2Day*(1+ExpressFuelSurcharge),2),ROUND(((1-(TwoDayDiscount_11_20+FedExExrpessEarnedDiscount))*'2Day Base'!J20)*(1+ExpressFuelSurcharge),2)))*(1+FedEx_Markup),2)</f>
        <v>103.58</v>
      </c>
      <c r="K23" s="275">
        <f>ROUND((IF(MinBase2Day&gt;ROUND(((1-(TwoDayDiscount_11_20+FedExExrpessEarnedDiscount))*'2Day Base'!K20),2),ROUND(MinBase2Day*(1+ExpressFuelSurcharge),2),ROUND(((1-(TwoDayDiscount_11_20+FedExExrpessEarnedDiscount))*'2Day Base'!K20)*(1+ExpressFuelSurcharge),2)))*(1+FedEx_Markup),2)</f>
        <v>107.07</v>
      </c>
      <c r="L23" s="275">
        <f>ROUND((IF(MinBase2Day&gt;ROUND(((1-(TwoDayDiscount_11_20+FedExExrpessEarnedDiscount))*'2Day Base'!L20),2),ROUND(MinBase2Day*(1+ExpressFuelSurcharge),2),ROUND(((1-(TwoDayDiscount_11_20+FedExExrpessEarnedDiscount))*'2Day Base'!L20)*(1+ExpressFuelSurcharge),2)))*(1+FedEx_Markup),2)</f>
        <v>107.07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74">
        <v>19.0</v>
      </c>
      <c r="B24" s="275">
        <f>ROUND((IF(MinBase2Day&gt;ROUND(((1-(TwoDayDiscount_11_20+FedExExrpessEarnedDiscount))*'2Day Base'!B21),2),ROUND(MinBase2Day*(1+ExpressFuelSurcharge),2),ROUND(((1-(TwoDayDiscount_11_20+FedExExrpessEarnedDiscount))*'2Day Base'!B21)*(1+ExpressFuelSurcharge),2)))*(1+FedEx_Markup),2)</f>
        <v>27.91</v>
      </c>
      <c r="C24" s="275">
        <f>ROUND((IF(MinBase2Day&gt;ROUND(((1-(TwoDayDiscount_11_20+FedExExrpessEarnedDiscount))*'2Day Base'!C21),2),ROUND(MinBase2Day*(1+ExpressFuelSurcharge),2),ROUND(((1-(TwoDayDiscount_11_20+FedExExrpessEarnedDiscount))*'2Day Base'!C21)*(1+ExpressFuelSurcharge),2)))*(1+FedEx_Markup),2)</f>
        <v>32.6</v>
      </c>
      <c r="D24" s="275">
        <f>ROUND((IF(MinBase2Day&gt;ROUND(((1-(TwoDayDiscount_11_20+FedExExrpessEarnedDiscount))*'2Day Base'!D21),2),ROUND(MinBase2Day*(1+ExpressFuelSurcharge),2),ROUND(((1-(TwoDayDiscount_11_20+FedExExrpessEarnedDiscount))*'2Day Base'!D21)*(1+ExpressFuelSurcharge),2)))*(1+FedEx_Markup),2)</f>
        <v>42.17</v>
      </c>
      <c r="E24" s="275">
        <f>ROUND((IF(MinBase2Day&gt;ROUND(((1-(TwoDayDiscount_11_20+FedExExrpessEarnedDiscount))*'2Day Base'!E21),2),ROUND(MinBase2Day*(1+ExpressFuelSurcharge),2),ROUND(((1-(TwoDayDiscount_11_20+FedExExrpessEarnedDiscount))*'2Day Base'!E21)*(1+ExpressFuelSurcharge),2)))*(1+FedEx_Markup),2)</f>
        <v>64.2</v>
      </c>
      <c r="F24" s="275">
        <f>ROUND((IF(MinBase2Day&gt;ROUND(((1-(TwoDayDiscount_11_20+FedExExrpessEarnedDiscount))*'2Day Base'!F21),2),ROUND(MinBase2Day*(1+ExpressFuelSurcharge),2),ROUND(((1-(TwoDayDiscount_11_20+FedExExrpessEarnedDiscount))*'2Day Base'!F21)*(1+ExpressFuelSurcharge),2)))*(1+FedEx_Markup),2)</f>
        <v>95.12</v>
      </c>
      <c r="G24" s="275">
        <f>ROUND((IF(MinBase2Day&gt;ROUND(((1-(TwoDayDiscount_11_20+FedExExrpessEarnedDiscount))*'2Day Base'!G21),2),ROUND(MinBase2Day*(1+ExpressFuelSurcharge),2),ROUND(((1-(TwoDayDiscount_11_20+FedExExrpessEarnedDiscount))*'2Day Base'!G21)*(1+ExpressFuelSurcharge),2)))*(1+FedEx_Markup),2)</f>
        <v>104.05</v>
      </c>
      <c r="H24" s="275">
        <f>ROUND((IF(MinBase2Day&gt;ROUND(((1-(TwoDayDiscount_11_20+FedExExrpessEarnedDiscount))*'2Day Base'!H21),2),ROUND(MinBase2Day*(1+ExpressFuelSurcharge),2),ROUND(((1-(TwoDayDiscount_11_20+FedExExrpessEarnedDiscount))*'2Day Base'!H21)*(1+ExpressFuelSurcharge),2)))*(1+FedEx_Markup),2)</f>
        <v>107.01</v>
      </c>
      <c r="I24" s="275">
        <f>ROUND((IF(MinBase2Day&gt;ROUND(((1-(TwoDayDiscount_11_20+FedExExrpessEarnedDiscount))*'2Day Base'!I21),2),ROUND(MinBase2Day*(1+ExpressFuelSurcharge),2),ROUND(((1-(TwoDayDiscount_11_20+FedExExrpessEarnedDiscount))*'2Day Base'!I21)*(1+ExpressFuelSurcharge),2)))*(1+FedEx_Markup),2)</f>
        <v>111.17</v>
      </c>
      <c r="J24" s="275">
        <f>ROUND((IF(MinBase2Day&gt;ROUND(((1-(TwoDayDiscount_11_20+FedExExrpessEarnedDiscount))*'2Day Base'!J21),2),ROUND(MinBase2Day*(1+ExpressFuelSurcharge),2),ROUND(((1-(TwoDayDiscount_11_20+FedExExrpessEarnedDiscount))*'2Day Base'!J21)*(1+ExpressFuelSurcharge),2)))*(1+FedEx_Markup),2)</f>
        <v>111.17</v>
      </c>
      <c r="K24" s="275">
        <f>ROUND((IF(MinBase2Day&gt;ROUND(((1-(TwoDayDiscount_11_20+FedExExrpessEarnedDiscount))*'2Day Base'!K21),2),ROUND(MinBase2Day*(1+ExpressFuelSurcharge),2),ROUND(((1-(TwoDayDiscount_11_20+FedExExrpessEarnedDiscount))*'2Day Base'!K21)*(1+ExpressFuelSurcharge),2)))*(1+FedEx_Markup),2)</f>
        <v>116.58</v>
      </c>
      <c r="L24" s="275">
        <f>ROUND((IF(MinBase2Day&gt;ROUND(((1-(TwoDayDiscount_11_20+FedExExrpessEarnedDiscount))*'2Day Base'!L21),2),ROUND(MinBase2Day*(1+ExpressFuelSurcharge),2),ROUND(((1-(TwoDayDiscount_11_20+FedExExrpessEarnedDiscount))*'2Day Base'!L21)*(1+ExpressFuelSurcharge),2)))*(1+FedEx_Markup),2)</f>
        <v>116.58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74">
        <v>20.0</v>
      </c>
      <c r="B25" s="275">
        <f>ROUND((IF(MinBase2Day&gt;ROUND(((1-(TwoDayDiscount_11_20+FedExExrpessEarnedDiscount))*'2Day Base'!B22),2),ROUND(MinBase2Day*(1+ExpressFuelSurcharge),2),ROUND(((1-(TwoDayDiscount_11_20+FedExExrpessEarnedDiscount))*'2Day Base'!B22)*(1+ExpressFuelSurcharge),2)))*(1+FedEx_Markup),2)</f>
        <v>28.88</v>
      </c>
      <c r="C25" s="275">
        <f>ROUND((IF(MinBase2Day&gt;ROUND(((1-(TwoDayDiscount_11_20+FedExExrpessEarnedDiscount))*'2Day Base'!C22),2),ROUND(MinBase2Day*(1+ExpressFuelSurcharge),2),ROUND(((1-(TwoDayDiscount_11_20+FedExExrpessEarnedDiscount))*'2Day Base'!C22)*(1+ExpressFuelSurcharge),2)))*(1+FedEx_Markup),2)</f>
        <v>34.02</v>
      </c>
      <c r="D25" s="275">
        <f>ROUND((IF(MinBase2Day&gt;ROUND(((1-(TwoDayDiscount_11_20+FedExExrpessEarnedDiscount))*'2Day Base'!D22),2),ROUND(MinBase2Day*(1+ExpressFuelSurcharge),2),ROUND(((1-(TwoDayDiscount_11_20+FedExExrpessEarnedDiscount))*'2Day Base'!D22)*(1+ExpressFuelSurcharge),2)))*(1+FedEx_Markup),2)</f>
        <v>43.8</v>
      </c>
      <c r="E25" s="275">
        <f>ROUND((IF(MinBase2Day&gt;ROUND(((1-(TwoDayDiscount_11_20+FedExExrpessEarnedDiscount))*'2Day Base'!E22),2),ROUND(MinBase2Day*(1+ExpressFuelSurcharge),2),ROUND(((1-(TwoDayDiscount_11_20+FedExExrpessEarnedDiscount))*'2Day Base'!E22)*(1+ExpressFuelSurcharge),2)))*(1+FedEx_Markup),2)</f>
        <v>67.19</v>
      </c>
      <c r="F25" s="275">
        <f>ROUND((IF(MinBase2Day&gt;ROUND(((1-(TwoDayDiscount_11_20+FedExExrpessEarnedDiscount))*'2Day Base'!F22),2),ROUND(MinBase2Day*(1+ExpressFuelSurcharge),2),ROUND(((1-(TwoDayDiscount_11_20+FedExExrpessEarnedDiscount))*'2Day Base'!F22)*(1+ExpressFuelSurcharge),2)))*(1+FedEx_Markup),2)</f>
        <v>98.51</v>
      </c>
      <c r="G25" s="275">
        <f>ROUND((IF(MinBase2Day&gt;ROUND(((1-(TwoDayDiscount_11_20+FedExExrpessEarnedDiscount))*'2Day Base'!G22),2),ROUND(MinBase2Day*(1+ExpressFuelSurcharge),2),ROUND(((1-(TwoDayDiscount_11_20+FedExExrpessEarnedDiscount))*'2Day Base'!G22)*(1+ExpressFuelSurcharge),2)))*(1+FedEx_Markup),2)</f>
        <v>107.62</v>
      </c>
      <c r="H25" s="275">
        <f>ROUND((IF(MinBase2Day&gt;ROUND(((1-(TwoDayDiscount_11_20+FedExExrpessEarnedDiscount))*'2Day Base'!H22),2),ROUND(MinBase2Day*(1+ExpressFuelSurcharge),2),ROUND(((1-(TwoDayDiscount_11_20+FedExExrpessEarnedDiscount))*'2Day Base'!H22)*(1+ExpressFuelSurcharge),2)))*(1+FedEx_Markup),2)</f>
        <v>110.99</v>
      </c>
      <c r="I25" s="275">
        <f>ROUND((IF(MinBase2Day&gt;ROUND(((1-(TwoDayDiscount_11_20+FedExExrpessEarnedDiscount))*'2Day Base'!I22),2),ROUND(MinBase2Day*(1+ExpressFuelSurcharge),2),ROUND(((1-(TwoDayDiscount_11_20+FedExExrpessEarnedDiscount))*'2Day Base'!I22)*(1+ExpressFuelSurcharge),2)))*(1+FedEx_Markup),2)</f>
        <v>115.1</v>
      </c>
      <c r="J25" s="275">
        <f>ROUND((IF(MinBase2Day&gt;ROUND(((1-(TwoDayDiscount_11_20+FedExExrpessEarnedDiscount))*'2Day Base'!J22),2),ROUND(MinBase2Day*(1+ExpressFuelSurcharge),2),ROUND(((1-(TwoDayDiscount_11_20+FedExExrpessEarnedDiscount))*'2Day Base'!J22)*(1+ExpressFuelSurcharge),2)))*(1+FedEx_Markup),2)</f>
        <v>115.1</v>
      </c>
      <c r="K25" s="275">
        <f>ROUND((IF(MinBase2Day&gt;ROUND(((1-(TwoDayDiscount_11_20+FedExExrpessEarnedDiscount))*'2Day Base'!K22),2),ROUND(MinBase2Day*(1+ExpressFuelSurcharge),2),ROUND(((1-(TwoDayDiscount_11_20+FedExExrpessEarnedDiscount))*'2Day Base'!K22)*(1+ExpressFuelSurcharge),2)))*(1+FedEx_Markup),2)</f>
        <v>117.85</v>
      </c>
      <c r="L25" s="275">
        <f>ROUND((IF(MinBase2Day&gt;ROUND(((1-(TwoDayDiscount_11_20+FedExExrpessEarnedDiscount))*'2Day Base'!L22),2),ROUND(MinBase2Day*(1+ExpressFuelSurcharge),2),ROUND(((1-(TwoDayDiscount_11_20+FedExExrpessEarnedDiscount))*'2Day Base'!L22)*(1+ExpressFuelSurcharge),2)))*(1+FedEx_Markup),2)</f>
        <v>117.85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74">
        <v>21.0</v>
      </c>
      <c r="B26" s="275">
        <f>ROUND((IF(MinBase2Day&gt;ROUND(((1-(TwoDayDiscount_21_Up+FedExExrpessEarnedDiscount))*'2Day Base'!B23),2),ROUND(MinBase2Day*(1+ExpressFuelSurcharge),2),ROUND(((1-(TwoDayDiscount_21_Up+FedExExrpessEarnedDiscount))*'2Day Base'!B23)*(1+ExpressFuelSurcharge),2)))*(1+FedEx_Markup),2)</f>
        <v>26.44</v>
      </c>
      <c r="C26" s="275">
        <f>ROUND((IF(MinBase2Day&gt;ROUND(((1-(TwoDayDiscount_21_Up+FedExExrpessEarnedDiscount))*'2Day Base'!C23),2),ROUND(MinBase2Day*(1+ExpressFuelSurcharge),2),ROUND(((1-(TwoDayDiscount_21_Up+FedExExrpessEarnedDiscount))*'2Day Base'!C23)*(1+ExpressFuelSurcharge),2)))*(1+FedEx_Markup),2)</f>
        <v>30.92</v>
      </c>
      <c r="D26" s="275">
        <f>ROUND((IF(MinBase2Day&gt;ROUND(((1-(TwoDayDiscount_21_Up+FedExExrpessEarnedDiscount))*'2Day Base'!D23),2),ROUND(MinBase2Day*(1+ExpressFuelSurcharge),2),ROUND(((1-(TwoDayDiscount_21_Up+FedExExrpessEarnedDiscount))*'2Day Base'!D23)*(1+ExpressFuelSurcharge),2)))*(1+FedEx_Markup),2)</f>
        <v>39.77</v>
      </c>
      <c r="E26" s="275">
        <f>ROUND((IF(MinBase2Day&gt;ROUND(((1-(TwoDayDiscount_21_Up+FedExExrpessEarnedDiscount))*'2Day Base'!E23),2),ROUND(MinBase2Day*(1+ExpressFuelSurcharge),2),ROUND(((1-(TwoDayDiscount_21_Up+FedExExrpessEarnedDiscount))*'2Day Base'!E23)*(1+ExpressFuelSurcharge),2)))*(1+FedEx_Markup),2)</f>
        <v>60.78</v>
      </c>
      <c r="F26" s="275">
        <f>ROUND((IF(MinBase2Day&gt;ROUND(((1-(TwoDayDiscount_21_Up+FedExExrpessEarnedDiscount))*'2Day Base'!F23),2),ROUND(MinBase2Day*(1+ExpressFuelSurcharge),2),ROUND(((1-(TwoDayDiscount_21_Up+FedExExrpessEarnedDiscount))*'2Day Base'!F23)*(1+ExpressFuelSurcharge),2)))*(1+FedEx_Markup),2)</f>
        <v>86.49</v>
      </c>
      <c r="G26" s="275">
        <f>ROUND((IF(MinBase2Day&gt;ROUND(((1-(TwoDayDiscount_21_Up+FedExExrpessEarnedDiscount))*'2Day Base'!G23),2),ROUND(MinBase2Day*(1+ExpressFuelSurcharge),2),ROUND(((1-(TwoDayDiscount_21_Up+FedExExrpessEarnedDiscount))*'2Day Base'!G23)*(1+ExpressFuelSurcharge),2)))*(1+FedEx_Markup),2)</f>
        <v>97.41</v>
      </c>
      <c r="H26" s="275">
        <f>ROUND((IF(MinBase2Day&gt;ROUND(((1-(TwoDayDiscount_21_Up+FedExExrpessEarnedDiscount))*'2Day Base'!H23),2),ROUND(MinBase2Day*(1+ExpressFuelSurcharge),2),ROUND(((1-(TwoDayDiscount_21_Up+FedExExrpessEarnedDiscount))*'2Day Base'!H23)*(1+ExpressFuelSurcharge),2)))*(1+FedEx_Markup),2)</f>
        <v>99.46</v>
      </c>
      <c r="I26" s="275">
        <f>ROUND((IF(MinBase2Day&gt;ROUND(((1-(TwoDayDiscount_21_Up+FedExExrpessEarnedDiscount))*'2Day Base'!I23),2),ROUND(MinBase2Day*(1+ExpressFuelSurcharge),2),ROUND(((1-(TwoDayDiscount_21_Up+FedExExrpessEarnedDiscount))*'2Day Base'!I23)*(1+ExpressFuelSurcharge),2)))*(1+FedEx_Markup),2)</f>
        <v>101.45</v>
      </c>
      <c r="J26" s="275">
        <f>ROUND((IF(MinBase2Day&gt;ROUND(((1-(TwoDayDiscount_21_Up+FedExExrpessEarnedDiscount))*'2Day Base'!J23),2),ROUND(MinBase2Day*(1+ExpressFuelSurcharge),2),ROUND(((1-(TwoDayDiscount_21_Up+FedExExrpessEarnedDiscount))*'2Day Base'!J23)*(1+ExpressFuelSurcharge),2)))*(1+FedEx_Markup),2)</f>
        <v>101.45</v>
      </c>
      <c r="K26" s="275">
        <f>ROUND((IF(MinBase2Day&gt;ROUND(((1-(TwoDayDiscount_21_Up+FedExExrpessEarnedDiscount))*'2Day Base'!K23),2),ROUND(MinBase2Day*(1+ExpressFuelSurcharge),2),ROUND(((1-(TwoDayDiscount_21_Up+FedExExrpessEarnedDiscount))*'2Day Base'!K23)*(1+ExpressFuelSurcharge),2)))*(1+FedEx_Markup),2)</f>
        <v>103.49</v>
      </c>
      <c r="L26" s="275">
        <f>ROUND((IF(MinBase2Day&gt;ROUND(((1-(TwoDayDiscount_21_Up+FedExExrpessEarnedDiscount))*'2Day Base'!L23),2),ROUND(MinBase2Day*(1+ExpressFuelSurcharge),2),ROUND(((1-(TwoDayDiscount_21_Up+FedExExrpessEarnedDiscount))*'2Day Base'!L23)*(1+ExpressFuelSurcharge),2)))*(1+FedEx_Markup),2)</f>
        <v>103.49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74">
        <v>22.0</v>
      </c>
      <c r="B27" s="275">
        <f>ROUND((IF(MinBase2Day&gt;ROUND(((1-(TwoDayDiscount_21_Up+FedExExrpessEarnedDiscount))*'2Day Base'!B24),2),ROUND(MinBase2Day*(1+ExpressFuelSurcharge),2),ROUND(((1-(TwoDayDiscount_21_Up+FedExExrpessEarnedDiscount))*'2Day Base'!B24)*(1+ExpressFuelSurcharge),2)))*(1+FedEx_Markup),2)</f>
        <v>27.26</v>
      </c>
      <c r="C27" s="275">
        <f>ROUND((IF(MinBase2Day&gt;ROUND(((1-(TwoDayDiscount_21_Up+FedExExrpessEarnedDiscount))*'2Day Base'!C24),2),ROUND(MinBase2Day*(1+ExpressFuelSurcharge),2),ROUND(((1-(TwoDayDiscount_21_Up+FedExExrpessEarnedDiscount))*'2Day Base'!C24)*(1+ExpressFuelSurcharge),2)))*(1+FedEx_Markup),2)</f>
        <v>32.41</v>
      </c>
      <c r="D27" s="275">
        <f>ROUND((IF(MinBase2Day&gt;ROUND(((1-(TwoDayDiscount_21_Up+FedExExrpessEarnedDiscount))*'2Day Base'!D24),2),ROUND(MinBase2Day*(1+ExpressFuelSurcharge),2),ROUND(((1-(TwoDayDiscount_21_Up+FedExExrpessEarnedDiscount))*'2Day Base'!D24)*(1+ExpressFuelSurcharge),2)))*(1+FedEx_Markup),2)</f>
        <v>40.86</v>
      </c>
      <c r="E27" s="275">
        <f>ROUND((IF(MinBase2Day&gt;ROUND(((1-(TwoDayDiscount_21_Up+FedExExrpessEarnedDiscount))*'2Day Base'!E24),2),ROUND(MinBase2Day*(1+ExpressFuelSurcharge),2),ROUND(((1-(TwoDayDiscount_21_Up+FedExExrpessEarnedDiscount))*'2Day Base'!E24)*(1+ExpressFuelSurcharge),2)))*(1+FedEx_Markup),2)</f>
        <v>62.49</v>
      </c>
      <c r="F27" s="275">
        <f>ROUND((IF(MinBase2Day&gt;ROUND(((1-(TwoDayDiscount_21_Up+FedExExrpessEarnedDiscount))*'2Day Base'!F24),2),ROUND(MinBase2Day*(1+ExpressFuelSurcharge),2),ROUND(((1-(TwoDayDiscount_21_Up+FedExExrpessEarnedDiscount))*'2Day Base'!F24)*(1+ExpressFuelSurcharge),2)))*(1+FedEx_Markup),2)</f>
        <v>92.16</v>
      </c>
      <c r="G27" s="275">
        <f>ROUND((IF(MinBase2Day&gt;ROUND(((1-(TwoDayDiscount_21_Up+FedExExrpessEarnedDiscount))*'2Day Base'!G24),2),ROUND(MinBase2Day*(1+ExpressFuelSurcharge),2),ROUND(((1-(TwoDayDiscount_21_Up+FedExExrpessEarnedDiscount))*'2Day Base'!G24)*(1+ExpressFuelSurcharge),2)))*(1+FedEx_Markup),2)</f>
        <v>101.13</v>
      </c>
      <c r="H27" s="275">
        <f>ROUND((IF(MinBase2Day&gt;ROUND(((1-(TwoDayDiscount_21_Up+FedExExrpessEarnedDiscount))*'2Day Base'!H24),2),ROUND(MinBase2Day*(1+ExpressFuelSurcharge),2),ROUND(((1-(TwoDayDiscount_21_Up+FedExExrpessEarnedDiscount))*'2Day Base'!H24)*(1+ExpressFuelSurcharge),2)))*(1+FedEx_Markup),2)</f>
        <v>103.32</v>
      </c>
      <c r="I27" s="275">
        <f>ROUND((IF(MinBase2Day&gt;ROUND(((1-(TwoDayDiscount_21_Up+FedExExrpessEarnedDiscount))*'2Day Base'!I24),2),ROUND(MinBase2Day*(1+ExpressFuelSurcharge),2),ROUND(((1-(TwoDayDiscount_21_Up+FedExExrpessEarnedDiscount))*'2Day Base'!I24)*(1+ExpressFuelSurcharge),2)))*(1+FedEx_Markup),2)</f>
        <v>105.4</v>
      </c>
      <c r="J27" s="275">
        <f>ROUND((IF(MinBase2Day&gt;ROUND(((1-(TwoDayDiscount_21_Up+FedExExrpessEarnedDiscount))*'2Day Base'!J24),2),ROUND(MinBase2Day*(1+ExpressFuelSurcharge),2),ROUND(((1-(TwoDayDiscount_21_Up+FedExExrpessEarnedDiscount))*'2Day Base'!J24)*(1+ExpressFuelSurcharge),2)))*(1+FedEx_Markup),2)</f>
        <v>105.4</v>
      </c>
      <c r="K27" s="275">
        <f>ROUND((IF(MinBase2Day&gt;ROUND(((1-(TwoDayDiscount_21_Up+FedExExrpessEarnedDiscount))*'2Day Base'!K24),2),ROUND(MinBase2Day*(1+ExpressFuelSurcharge),2),ROUND(((1-(TwoDayDiscount_21_Up+FedExExrpessEarnedDiscount))*'2Day Base'!K24)*(1+ExpressFuelSurcharge),2)))*(1+FedEx_Markup),2)</f>
        <v>110.47</v>
      </c>
      <c r="L27" s="275">
        <f>ROUND((IF(MinBase2Day&gt;ROUND(((1-(TwoDayDiscount_21_Up+FedExExrpessEarnedDiscount))*'2Day Base'!L24),2),ROUND(MinBase2Day*(1+ExpressFuelSurcharge),2),ROUND(((1-(TwoDayDiscount_21_Up+FedExExrpessEarnedDiscount))*'2Day Base'!L24)*(1+ExpressFuelSurcharge),2)))*(1+FedEx_Markup),2)</f>
        <v>110.47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74">
        <v>23.0</v>
      </c>
      <c r="B28" s="275">
        <f>ROUND((IF(MinBase2Day&gt;ROUND(((1-(TwoDayDiscount_21_Up+FedExExrpessEarnedDiscount))*'2Day Base'!B25),2),ROUND(MinBase2Day*(1+ExpressFuelSurcharge),2),ROUND(((1-(TwoDayDiscount_21_Up+FedExExrpessEarnedDiscount))*'2Day Base'!B25)*(1+ExpressFuelSurcharge),2)))*(1+FedEx_Markup),2)</f>
        <v>27.92</v>
      </c>
      <c r="C28" s="275">
        <f>ROUND((IF(MinBase2Day&gt;ROUND(((1-(TwoDayDiscount_21_Up+FedExExrpessEarnedDiscount))*'2Day Base'!C25),2),ROUND(MinBase2Day*(1+ExpressFuelSurcharge),2),ROUND(((1-(TwoDayDiscount_21_Up+FedExExrpessEarnedDiscount))*'2Day Base'!C25)*(1+ExpressFuelSurcharge),2)))*(1+FedEx_Markup),2)</f>
        <v>33.12</v>
      </c>
      <c r="D28" s="275">
        <f>ROUND((IF(MinBase2Day&gt;ROUND(((1-(TwoDayDiscount_21_Up+FedExExrpessEarnedDiscount))*'2Day Base'!D25),2),ROUND(MinBase2Day*(1+ExpressFuelSurcharge),2),ROUND(((1-(TwoDayDiscount_21_Up+FedExExrpessEarnedDiscount))*'2Day Base'!D25)*(1+ExpressFuelSurcharge),2)))*(1+FedEx_Markup),2)</f>
        <v>42.33</v>
      </c>
      <c r="E28" s="275">
        <f>ROUND((IF(MinBase2Day&gt;ROUND(((1-(TwoDayDiscount_21_Up+FedExExrpessEarnedDiscount))*'2Day Base'!E25),2),ROUND(MinBase2Day*(1+ExpressFuelSurcharge),2),ROUND(((1-(TwoDayDiscount_21_Up+FedExExrpessEarnedDiscount))*'2Day Base'!E25)*(1+ExpressFuelSurcharge),2)))*(1+FedEx_Markup),2)</f>
        <v>64.27</v>
      </c>
      <c r="F28" s="275">
        <f>ROUND((IF(MinBase2Day&gt;ROUND(((1-(TwoDayDiscount_21_Up+FedExExrpessEarnedDiscount))*'2Day Base'!F25),2),ROUND(MinBase2Day*(1+ExpressFuelSurcharge),2),ROUND(((1-(TwoDayDiscount_21_Up+FedExExrpessEarnedDiscount))*'2Day Base'!F25)*(1+ExpressFuelSurcharge),2)))*(1+FedEx_Markup),2)</f>
        <v>95.5</v>
      </c>
      <c r="G28" s="275">
        <f>ROUND((IF(MinBase2Day&gt;ROUND(((1-(TwoDayDiscount_21_Up+FedExExrpessEarnedDiscount))*'2Day Base'!G25),2),ROUND(MinBase2Day*(1+ExpressFuelSurcharge),2),ROUND(((1-(TwoDayDiscount_21_Up+FedExExrpessEarnedDiscount))*'2Day Base'!G25)*(1+ExpressFuelSurcharge),2)))*(1+FedEx_Markup),2)</f>
        <v>104.44</v>
      </c>
      <c r="H28" s="275">
        <f>ROUND((IF(MinBase2Day&gt;ROUND(((1-(TwoDayDiscount_21_Up+FedExExrpessEarnedDiscount))*'2Day Base'!H25),2),ROUND(MinBase2Day*(1+ExpressFuelSurcharge),2),ROUND(((1-(TwoDayDiscount_21_Up+FedExExrpessEarnedDiscount))*'2Day Base'!H25)*(1+ExpressFuelSurcharge),2)))*(1+FedEx_Markup),2)</f>
        <v>106.86</v>
      </c>
      <c r="I28" s="275">
        <f>ROUND((IF(MinBase2Day&gt;ROUND(((1-(TwoDayDiscount_21_Up+FedExExrpessEarnedDiscount))*'2Day Base'!I25),2),ROUND(MinBase2Day*(1+ExpressFuelSurcharge),2),ROUND(((1-(TwoDayDiscount_21_Up+FedExExrpessEarnedDiscount))*'2Day Base'!I25)*(1+ExpressFuelSurcharge),2)))*(1+FedEx_Markup),2)</f>
        <v>109</v>
      </c>
      <c r="J28" s="275">
        <f>ROUND((IF(MinBase2Day&gt;ROUND(((1-(TwoDayDiscount_21_Up+FedExExrpessEarnedDiscount))*'2Day Base'!J25),2),ROUND(MinBase2Day*(1+ExpressFuelSurcharge),2),ROUND(((1-(TwoDayDiscount_21_Up+FedExExrpessEarnedDiscount))*'2Day Base'!J25)*(1+ExpressFuelSurcharge),2)))*(1+FedEx_Markup),2)</f>
        <v>109</v>
      </c>
      <c r="K28" s="275">
        <f>ROUND((IF(MinBase2Day&gt;ROUND(((1-(TwoDayDiscount_21_Up+FedExExrpessEarnedDiscount))*'2Day Base'!K25),2),ROUND(MinBase2Day*(1+ExpressFuelSurcharge),2),ROUND(((1-(TwoDayDiscount_21_Up+FedExExrpessEarnedDiscount))*'2Day Base'!K25)*(1+ExpressFuelSurcharge),2)))*(1+FedEx_Markup),2)</f>
        <v>111.18</v>
      </c>
      <c r="L28" s="275">
        <f>ROUND((IF(MinBase2Day&gt;ROUND(((1-(TwoDayDiscount_21_Up+FedExExrpessEarnedDiscount))*'2Day Base'!L25),2),ROUND(MinBase2Day*(1+ExpressFuelSurcharge),2),ROUND(((1-(TwoDayDiscount_21_Up+FedExExrpessEarnedDiscount))*'2Day Base'!L25)*(1+ExpressFuelSurcharge),2)))*(1+FedEx_Markup),2)</f>
        <v>111.18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74">
        <v>24.0</v>
      </c>
      <c r="B29" s="275">
        <f>ROUND((IF(MinBase2Day&gt;ROUND(((1-(TwoDayDiscount_21_Up+FedExExrpessEarnedDiscount))*'2Day Base'!B26),2),ROUND(MinBase2Day*(1+ExpressFuelSurcharge),2),ROUND(((1-(TwoDayDiscount_21_Up+FedExExrpessEarnedDiscount))*'2Day Base'!B26)*(1+ExpressFuelSurcharge),2)))*(1+FedEx_Markup),2)</f>
        <v>28.57</v>
      </c>
      <c r="C29" s="275">
        <f>ROUND((IF(MinBase2Day&gt;ROUND(((1-(TwoDayDiscount_21_Up+FedExExrpessEarnedDiscount))*'2Day Base'!C26),2),ROUND(MinBase2Day*(1+ExpressFuelSurcharge),2),ROUND(((1-(TwoDayDiscount_21_Up+FedExExrpessEarnedDiscount))*'2Day Base'!C26)*(1+ExpressFuelSurcharge),2)))*(1+FedEx_Markup),2)</f>
        <v>34.44</v>
      </c>
      <c r="D29" s="275">
        <f>ROUND((IF(MinBase2Day&gt;ROUND(((1-(TwoDayDiscount_21_Up+FedExExrpessEarnedDiscount))*'2Day Base'!D26),2),ROUND(MinBase2Day*(1+ExpressFuelSurcharge),2),ROUND(((1-(TwoDayDiscount_21_Up+FedExExrpessEarnedDiscount))*'2Day Base'!D26)*(1+ExpressFuelSurcharge),2)))*(1+FedEx_Markup),2)</f>
        <v>43.69</v>
      </c>
      <c r="E29" s="275">
        <f>ROUND((IF(MinBase2Day&gt;ROUND(((1-(TwoDayDiscount_21_Up+FedExExrpessEarnedDiscount))*'2Day Base'!E26),2),ROUND(MinBase2Day*(1+ExpressFuelSurcharge),2),ROUND(((1-(TwoDayDiscount_21_Up+FedExExrpessEarnedDiscount))*'2Day Base'!E26)*(1+ExpressFuelSurcharge),2)))*(1+FedEx_Markup),2)</f>
        <v>66.77</v>
      </c>
      <c r="F29" s="275">
        <f>ROUND((IF(MinBase2Day&gt;ROUND(((1-(TwoDayDiscount_21_Up+FedExExrpessEarnedDiscount))*'2Day Base'!F26),2),ROUND(MinBase2Day*(1+ExpressFuelSurcharge),2),ROUND(((1-(TwoDayDiscount_21_Up+FedExExrpessEarnedDiscount))*'2Day Base'!F26)*(1+ExpressFuelSurcharge),2)))*(1+FedEx_Markup),2)</f>
        <v>98.98</v>
      </c>
      <c r="G29" s="275">
        <f>ROUND((IF(MinBase2Day&gt;ROUND(((1-(TwoDayDiscount_21_Up+FedExExrpessEarnedDiscount))*'2Day Base'!G26),2),ROUND(MinBase2Day*(1+ExpressFuelSurcharge),2),ROUND(((1-(TwoDayDiscount_21_Up+FedExExrpessEarnedDiscount))*'2Day Base'!G26)*(1+ExpressFuelSurcharge),2)))*(1+FedEx_Markup),2)</f>
        <v>105.87</v>
      </c>
      <c r="H29" s="275">
        <f>ROUND((IF(MinBase2Day&gt;ROUND(((1-(TwoDayDiscount_21_Up+FedExExrpessEarnedDiscount))*'2Day Base'!H26),2),ROUND(MinBase2Day*(1+ExpressFuelSurcharge),2),ROUND(((1-(TwoDayDiscount_21_Up+FedExExrpessEarnedDiscount))*'2Day Base'!H26)*(1+ExpressFuelSurcharge),2)))*(1+FedEx_Markup),2)</f>
        <v>107.99</v>
      </c>
      <c r="I29" s="275">
        <f>ROUND((IF(MinBase2Day&gt;ROUND(((1-(TwoDayDiscount_21_Up+FedExExrpessEarnedDiscount))*'2Day Base'!I26),2),ROUND(MinBase2Day*(1+ExpressFuelSurcharge),2),ROUND(((1-(TwoDayDiscount_21_Up+FedExExrpessEarnedDiscount))*'2Day Base'!I26)*(1+ExpressFuelSurcharge),2)))*(1+FedEx_Markup),2)</f>
        <v>110.15</v>
      </c>
      <c r="J29" s="275">
        <f>ROUND((IF(MinBase2Day&gt;ROUND(((1-(TwoDayDiscount_21_Up+FedExExrpessEarnedDiscount))*'2Day Base'!J26),2),ROUND(MinBase2Day*(1+ExpressFuelSurcharge),2),ROUND(((1-(TwoDayDiscount_21_Up+FedExExrpessEarnedDiscount))*'2Day Base'!J26)*(1+ExpressFuelSurcharge),2)))*(1+FedEx_Markup),2)</f>
        <v>110.15</v>
      </c>
      <c r="K29" s="275">
        <f>ROUND((IF(MinBase2Day&gt;ROUND(((1-(TwoDayDiscount_21_Up+FedExExrpessEarnedDiscount))*'2Day Base'!K26),2),ROUND(MinBase2Day*(1+ExpressFuelSurcharge),2),ROUND(((1-(TwoDayDiscount_21_Up+FedExExrpessEarnedDiscount))*'2Day Base'!K26)*(1+ExpressFuelSurcharge),2)))*(1+FedEx_Markup),2)</f>
        <v>115.1</v>
      </c>
      <c r="L29" s="275">
        <f>ROUND((IF(MinBase2Day&gt;ROUND(((1-(TwoDayDiscount_21_Up+FedExExrpessEarnedDiscount))*'2Day Base'!L26),2),ROUND(MinBase2Day*(1+ExpressFuelSurcharge),2),ROUND(((1-(TwoDayDiscount_21_Up+FedExExrpessEarnedDiscount))*'2Day Base'!L26)*(1+ExpressFuelSurcharge),2)))*(1+FedEx_Markup),2)</f>
        <v>115.1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74">
        <v>25.0</v>
      </c>
      <c r="B30" s="275">
        <f>ROUND((IF(MinBase2Day&gt;ROUND(((1-(TwoDayDiscount_21_Up+FedExExrpessEarnedDiscount))*'2Day Base'!B27),2),ROUND(MinBase2Day*(1+ExpressFuelSurcharge),2),ROUND(((1-(TwoDayDiscount_21_Up+FedExExrpessEarnedDiscount))*'2Day Base'!B27)*(1+ExpressFuelSurcharge),2)))*(1+FedEx_Markup),2)</f>
        <v>29.49</v>
      </c>
      <c r="C30" s="275">
        <f>ROUND((IF(MinBase2Day&gt;ROUND(((1-(TwoDayDiscount_21_Up+FedExExrpessEarnedDiscount))*'2Day Base'!C27),2),ROUND(MinBase2Day*(1+ExpressFuelSurcharge),2),ROUND(((1-(TwoDayDiscount_21_Up+FedExExrpessEarnedDiscount))*'2Day Base'!C27)*(1+ExpressFuelSurcharge),2)))*(1+FedEx_Markup),2)</f>
        <v>35.42</v>
      </c>
      <c r="D30" s="275">
        <f>ROUND((IF(MinBase2Day&gt;ROUND(((1-(TwoDayDiscount_21_Up+FedExExrpessEarnedDiscount))*'2Day Base'!D27),2),ROUND(MinBase2Day*(1+ExpressFuelSurcharge),2),ROUND(((1-(TwoDayDiscount_21_Up+FedExExrpessEarnedDiscount))*'2Day Base'!D27)*(1+ExpressFuelSurcharge),2)))*(1+FedEx_Markup),2)</f>
        <v>44.52</v>
      </c>
      <c r="E30" s="275">
        <f>ROUND((IF(MinBase2Day&gt;ROUND(((1-(TwoDayDiscount_21_Up+FedExExrpessEarnedDiscount))*'2Day Base'!E27),2),ROUND(MinBase2Day*(1+ExpressFuelSurcharge),2),ROUND(((1-(TwoDayDiscount_21_Up+FedExExrpessEarnedDiscount))*'2Day Base'!E27)*(1+ExpressFuelSurcharge),2)))*(1+FedEx_Markup),2)</f>
        <v>69.06</v>
      </c>
      <c r="F30" s="275">
        <f>ROUND((IF(MinBase2Day&gt;ROUND(((1-(TwoDayDiscount_21_Up+FedExExrpessEarnedDiscount))*'2Day Base'!F27),2),ROUND(MinBase2Day*(1+ExpressFuelSurcharge),2),ROUND(((1-(TwoDayDiscount_21_Up+FedExExrpessEarnedDiscount))*'2Day Base'!F27)*(1+ExpressFuelSurcharge),2)))*(1+FedEx_Markup),2)</f>
        <v>102.2</v>
      </c>
      <c r="G30" s="275">
        <f>ROUND((IF(MinBase2Day&gt;ROUND(((1-(TwoDayDiscount_21_Up+FedExExrpessEarnedDiscount))*'2Day Base'!G27),2),ROUND(MinBase2Day*(1+ExpressFuelSurcharge),2),ROUND(((1-(TwoDayDiscount_21_Up+FedExExrpessEarnedDiscount))*'2Day Base'!G27)*(1+ExpressFuelSurcharge),2)))*(1+FedEx_Markup),2)</f>
        <v>112.36</v>
      </c>
      <c r="H30" s="275">
        <f>ROUND((IF(MinBase2Day&gt;ROUND(((1-(TwoDayDiscount_21_Up+FedExExrpessEarnedDiscount))*'2Day Base'!H27),2),ROUND(MinBase2Day*(1+ExpressFuelSurcharge),2),ROUND(((1-(TwoDayDiscount_21_Up+FedExExrpessEarnedDiscount))*'2Day Base'!H27)*(1+ExpressFuelSurcharge),2)))*(1+FedEx_Markup),2)</f>
        <v>117.06</v>
      </c>
      <c r="I30" s="275">
        <f>ROUND((IF(MinBase2Day&gt;ROUND(((1-(TwoDayDiscount_21_Up+FedExExrpessEarnedDiscount))*'2Day Base'!I27),2),ROUND(MinBase2Day*(1+ExpressFuelSurcharge),2),ROUND(((1-(TwoDayDiscount_21_Up+FedExExrpessEarnedDiscount))*'2Day Base'!I27)*(1+ExpressFuelSurcharge),2)))*(1+FedEx_Markup),2)</f>
        <v>121.66</v>
      </c>
      <c r="J30" s="275">
        <f>ROUND((IF(MinBase2Day&gt;ROUND(((1-(TwoDayDiscount_21_Up+FedExExrpessEarnedDiscount))*'2Day Base'!J27),2),ROUND(MinBase2Day*(1+ExpressFuelSurcharge),2),ROUND(((1-(TwoDayDiscount_21_Up+FedExExrpessEarnedDiscount))*'2Day Base'!J27)*(1+ExpressFuelSurcharge),2)))*(1+FedEx_Markup),2)</f>
        <v>121.66</v>
      </c>
      <c r="K30" s="275">
        <f>ROUND((IF(MinBase2Day&gt;ROUND(((1-(TwoDayDiscount_21_Up+FedExExrpessEarnedDiscount))*'2Day Base'!K27),2),ROUND(MinBase2Day*(1+ExpressFuelSurcharge),2),ROUND(((1-(TwoDayDiscount_21_Up+FedExExrpessEarnedDiscount))*'2Day Base'!K27)*(1+ExpressFuelSurcharge),2)))*(1+FedEx_Markup),2)</f>
        <v>127.21</v>
      </c>
      <c r="L30" s="275">
        <f>ROUND((IF(MinBase2Day&gt;ROUND(((1-(TwoDayDiscount_21_Up+FedExExrpessEarnedDiscount))*'2Day Base'!L27),2),ROUND(MinBase2Day*(1+ExpressFuelSurcharge),2),ROUND(((1-(TwoDayDiscount_21_Up+FedExExrpessEarnedDiscount))*'2Day Base'!L27)*(1+ExpressFuelSurcharge),2)))*(1+FedEx_Markup),2)</f>
        <v>127.21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74">
        <v>26.0</v>
      </c>
      <c r="B31" s="275">
        <f>ROUND((IF(MinBase2Day&gt;ROUND(((1-(TwoDayDiscount_21_Up+FedExExrpessEarnedDiscount))*'2Day Base'!B28),2),ROUND(MinBase2Day*(1+ExpressFuelSurcharge),2),ROUND(((1-(TwoDayDiscount_21_Up+FedExExrpessEarnedDiscount))*'2Day Base'!B28)*(1+ExpressFuelSurcharge),2)))*(1+FedEx_Markup),2)</f>
        <v>30.37</v>
      </c>
      <c r="C31" s="275">
        <f>ROUND((IF(MinBase2Day&gt;ROUND(((1-(TwoDayDiscount_21_Up+FedExExrpessEarnedDiscount))*'2Day Base'!C28),2),ROUND(MinBase2Day*(1+ExpressFuelSurcharge),2),ROUND(((1-(TwoDayDiscount_21_Up+FedExExrpessEarnedDiscount))*'2Day Base'!C28)*(1+ExpressFuelSurcharge),2)))*(1+FedEx_Markup),2)</f>
        <v>36.4</v>
      </c>
      <c r="D31" s="275">
        <f>ROUND((IF(MinBase2Day&gt;ROUND(((1-(TwoDayDiscount_21_Up+FedExExrpessEarnedDiscount))*'2Day Base'!D28),2),ROUND(MinBase2Day*(1+ExpressFuelSurcharge),2),ROUND(((1-(TwoDayDiscount_21_Up+FedExExrpessEarnedDiscount))*'2Day Base'!D28)*(1+ExpressFuelSurcharge),2)))*(1+FedEx_Markup),2)</f>
        <v>46.17</v>
      </c>
      <c r="E31" s="275">
        <f>ROUND((IF(MinBase2Day&gt;ROUND(((1-(TwoDayDiscount_21_Up+FedExExrpessEarnedDiscount))*'2Day Base'!E28),2),ROUND(MinBase2Day*(1+ExpressFuelSurcharge),2),ROUND(((1-(TwoDayDiscount_21_Up+FedExExrpessEarnedDiscount))*'2Day Base'!E28)*(1+ExpressFuelSurcharge),2)))*(1+FedEx_Markup),2)</f>
        <v>71.32</v>
      </c>
      <c r="F31" s="275">
        <f>ROUND((IF(MinBase2Day&gt;ROUND(((1-(TwoDayDiscount_21_Up+FedExExrpessEarnedDiscount))*'2Day Base'!F28),2),ROUND(MinBase2Day*(1+ExpressFuelSurcharge),2),ROUND(((1-(TwoDayDiscount_21_Up+FedExExrpessEarnedDiscount))*'2Day Base'!F28)*(1+ExpressFuelSurcharge),2)))*(1+FedEx_Markup),2)</f>
        <v>105.67</v>
      </c>
      <c r="G31" s="275">
        <f>ROUND((IF(MinBase2Day&gt;ROUND(((1-(TwoDayDiscount_21_Up+FedExExrpessEarnedDiscount))*'2Day Base'!G28),2),ROUND(MinBase2Day*(1+ExpressFuelSurcharge),2),ROUND(((1-(TwoDayDiscount_21_Up+FedExExrpessEarnedDiscount))*'2Day Base'!G28)*(1+ExpressFuelSurcharge),2)))*(1+FedEx_Markup),2)</f>
        <v>116.22</v>
      </c>
      <c r="H31" s="275">
        <f>ROUND((IF(MinBase2Day&gt;ROUND(((1-(TwoDayDiscount_21_Up+FedExExrpessEarnedDiscount))*'2Day Base'!H28),2),ROUND(MinBase2Day*(1+ExpressFuelSurcharge),2),ROUND(((1-(TwoDayDiscount_21_Up+FedExExrpessEarnedDiscount))*'2Day Base'!H28)*(1+ExpressFuelSurcharge),2)))*(1+FedEx_Markup),2)</f>
        <v>120.28</v>
      </c>
      <c r="I31" s="275">
        <f>ROUND((IF(MinBase2Day&gt;ROUND(((1-(TwoDayDiscount_21_Up+FedExExrpessEarnedDiscount))*'2Day Base'!I28),2),ROUND(MinBase2Day*(1+ExpressFuelSurcharge),2),ROUND(((1-(TwoDayDiscount_21_Up+FedExExrpessEarnedDiscount))*'2Day Base'!I28)*(1+ExpressFuelSurcharge),2)))*(1+FedEx_Markup),2)</f>
        <v>124.84</v>
      </c>
      <c r="J31" s="275">
        <f>ROUND((IF(MinBase2Day&gt;ROUND(((1-(TwoDayDiscount_21_Up+FedExExrpessEarnedDiscount))*'2Day Base'!J28),2),ROUND(MinBase2Day*(1+ExpressFuelSurcharge),2),ROUND(((1-(TwoDayDiscount_21_Up+FedExExrpessEarnedDiscount))*'2Day Base'!J28)*(1+ExpressFuelSurcharge),2)))*(1+FedEx_Markup),2)</f>
        <v>124.84</v>
      </c>
      <c r="K31" s="275">
        <f>ROUND((IF(MinBase2Day&gt;ROUND(((1-(TwoDayDiscount_21_Up+FedExExrpessEarnedDiscount))*'2Day Base'!K28),2),ROUND(MinBase2Day*(1+ExpressFuelSurcharge),2),ROUND(((1-(TwoDayDiscount_21_Up+FedExExrpessEarnedDiscount))*'2Day Base'!K28)*(1+ExpressFuelSurcharge),2)))*(1+FedEx_Markup),2)</f>
        <v>131.13</v>
      </c>
      <c r="L31" s="275">
        <f>ROUND((IF(MinBase2Day&gt;ROUND(((1-(TwoDayDiscount_21_Up+FedExExrpessEarnedDiscount))*'2Day Base'!L28),2),ROUND(MinBase2Day*(1+ExpressFuelSurcharge),2),ROUND(((1-(TwoDayDiscount_21_Up+FedExExrpessEarnedDiscount))*'2Day Base'!L28)*(1+ExpressFuelSurcharge),2)))*(1+FedEx_Markup),2)</f>
        <v>131.13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274">
        <v>27.0</v>
      </c>
      <c r="B32" s="275">
        <f>ROUND((IF(MinBase2Day&gt;ROUND(((1-(TwoDayDiscount_21_Up+FedExExrpessEarnedDiscount))*'2Day Base'!B29),2),ROUND(MinBase2Day*(1+ExpressFuelSurcharge),2),ROUND(((1-(TwoDayDiscount_21_Up+FedExExrpessEarnedDiscount))*'2Day Base'!B29)*(1+ExpressFuelSurcharge),2)))*(1+FedEx_Markup),2)</f>
        <v>31.34</v>
      </c>
      <c r="C32" s="275">
        <f>ROUND((IF(MinBase2Day&gt;ROUND(((1-(TwoDayDiscount_21_Up+FedExExrpessEarnedDiscount))*'2Day Base'!C29),2),ROUND(MinBase2Day*(1+ExpressFuelSurcharge),2),ROUND(((1-(TwoDayDiscount_21_Up+FedExExrpessEarnedDiscount))*'2Day Base'!C29)*(1+ExpressFuelSurcharge),2)))*(1+FedEx_Markup),2)</f>
        <v>37.46</v>
      </c>
      <c r="D32" s="275">
        <f>ROUND((IF(MinBase2Day&gt;ROUND(((1-(TwoDayDiscount_21_Up+FedExExrpessEarnedDiscount))*'2Day Base'!D29),2),ROUND(MinBase2Day*(1+ExpressFuelSurcharge),2),ROUND(((1-(TwoDayDiscount_21_Up+FedExExrpessEarnedDiscount))*'2Day Base'!D29)*(1+ExpressFuelSurcharge),2)))*(1+FedEx_Markup),2)</f>
        <v>47.35</v>
      </c>
      <c r="E32" s="275">
        <f>ROUND((IF(MinBase2Day&gt;ROUND(((1-(TwoDayDiscount_21_Up+FedExExrpessEarnedDiscount))*'2Day Base'!E29),2),ROUND(MinBase2Day*(1+ExpressFuelSurcharge),2),ROUND(((1-(TwoDayDiscount_21_Up+FedExExrpessEarnedDiscount))*'2Day Base'!E29)*(1+ExpressFuelSurcharge),2)))*(1+FedEx_Markup),2)</f>
        <v>73.85</v>
      </c>
      <c r="F32" s="275">
        <f>ROUND((IF(MinBase2Day&gt;ROUND(((1-(TwoDayDiscount_21_Up+FedExExrpessEarnedDiscount))*'2Day Base'!F29),2),ROUND(MinBase2Day*(1+ExpressFuelSurcharge),2),ROUND(((1-(TwoDayDiscount_21_Up+FedExExrpessEarnedDiscount))*'2Day Base'!F29)*(1+ExpressFuelSurcharge),2)))*(1+FedEx_Markup),2)</f>
        <v>109.25</v>
      </c>
      <c r="G32" s="275">
        <f>ROUND((IF(MinBase2Day&gt;ROUND(((1-(TwoDayDiscount_21_Up+FedExExrpessEarnedDiscount))*'2Day Base'!G29),2),ROUND(MinBase2Day*(1+ExpressFuelSurcharge),2),ROUND(((1-(TwoDayDiscount_21_Up+FedExExrpessEarnedDiscount))*'2Day Base'!G29)*(1+ExpressFuelSurcharge),2)))*(1+FedEx_Markup),2)</f>
        <v>120.13</v>
      </c>
      <c r="H32" s="275">
        <f>ROUND((IF(MinBase2Day&gt;ROUND(((1-(TwoDayDiscount_21_Up+FedExExrpessEarnedDiscount))*'2Day Base'!H29),2),ROUND(MinBase2Day*(1+ExpressFuelSurcharge),2),ROUND(((1-(TwoDayDiscount_21_Up+FedExExrpessEarnedDiscount))*'2Day Base'!H29)*(1+ExpressFuelSurcharge),2)))*(1+FedEx_Markup),2)</f>
        <v>124.06</v>
      </c>
      <c r="I32" s="275">
        <f>ROUND((IF(MinBase2Day&gt;ROUND(((1-(TwoDayDiscount_21_Up+FedExExrpessEarnedDiscount))*'2Day Base'!I29),2),ROUND(MinBase2Day*(1+ExpressFuelSurcharge),2),ROUND(((1-(TwoDayDiscount_21_Up+FedExExrpessEarnedDiscount))*'2Day Base'!I29)*(1+ExpressFuelSurcharge),2)))*(1+FedEx_Markup),2)</f>
        <v>128.88</v>
      </c>
      <c r="J32" s="275">
        <f>ROUND((IF(MinBase2Day&gt;ROUND(((1-(TwoDayDiscount_21_Up+FedExExrpessEarnedDiscount))*'2Day Base'!J29),2),ROUND(MinBase2Day*(1+ExpressFuelSurcharge),2),ROUND(((1-(TwoDayDiscount_21_Up+FedExExrpessEarnedDiscount))*'2Day Base'!J29)*(1+ExpressFuelSurcharge),2)))*(1+FedEx_Markup),2)</f>
        <v>128.88</v>
      </c>
      <c r="K32" s="275">
        <f>ROUND((IF(MinBase2Day&gt;ROUND(((1-(TwoDayDiscount_21_Up+FedExExrpessEarnedDiscount))*'2Day Base'!K29),2),ROUND(MinBase2Day*(1+ExpressFuelSurcharge),2),ROUND(((1-(TwoDayDiscount_21_Up+FedExExrpessEarnedDiscount))*'2Day Base'!K29)*(1+ExpressFuelSurcharge),2)))*(1+FedEx_Markup),2)</f>
        <v>135.08</v>
      </c>
      <c r="L32" s="275">
        <f>ROUND((IF(MinBase2Day&gt;ROUND(((1-(TwoDayDiscount_21_Up+FedExExrpessEarnedDiscount))*'2Day Base'!L29),2),ROUND(MinBase2Day*(1+ExpressFuelSurcharge),2),ROUND(((1-(TwoDayDiscount_21_Up+FedExExrpessEarnedDiscount))*'2Day Base'!L29)*(1+ExpressFuelSurcharge),2)))*(1+FedEx_Markup),2)</f>
        <v>135.08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274">
        <v>28.0</v>
      </c>
      <c r="B33" s="275">
        <f>ROUND((IF(MinBase2Day&gt;ROUND(((1-(TwoDayDiscount_21_Up+FedExExrpessEarnedDiscount))*'2Day Base'!B30),2),ROUND(MinBase2Day*(1+ExpressFuelSurcharge),2),ROUND(((1-(TwoDayDiscount_21_Up+FedExExrpessEarnedDiscount))*'2Day Base'!B30)*(1+ExpressFuelSurcharge),2)))*(1+FedEx_Markup),2)</f>
        <v>32.35</v>
      </c>
      <c r="C33" s="275">
        <f>ROUND((IF(MinBase2Day&gt;ROUND(((1-(TwoDayDiscount_21_Up+FedExExrpessEarnedDiscount))*'2Day Base'!C30),2),ROUND(MinBase2Day*(1+ExpressFuelSurcharge),2),ROUND(((1-(TwoDayDiscount_21_Up+FedExExrpessEarnedDiscount))*'2Day Base'!C30)*(1+ExpressFuelSurcharge),2)))*(1+FedEx_Markup),2)</f>
        <v>38.69</v>
      </c>
      <c r="D33" s="275">
        <f>ROUND((IF(MinBase2Day&gt;ROUND(((1-(TwoDayDiscount_21_Up+FedExExrpessEarnedDiscount))*'2Day Base'!D30),2),ROUND(MinBase2Day*(1+ExpressFuelSurcharge),2),ROUND(((1-(TwoDayDiscount_21_Up+FedExExrpessEarnedDiscount))*'2Day Base'!D30)*(1+ExpressFuelSurcharge),2)))*(1+FedEx_Markup),2)</f>
        <v>48.44</v>
      </c>
      <c r="E33" s="275">
        <f>ROUND((IF(MinBase2Day&gt;ROUND(((1-(TwoDayDiscount_21_Up+FedExExrpessEarnedDiscount))*'2Day Base'!E30),2),ROUND(MinBase2Day*(1+ExpressFuelSurcharge),2),ROUND(((1-(TwoDayDiscount_21_Up+FedExExrpessEarnedDiscount))*'2Day Base'!E30)*(1+ExpressFuelSurcharge),2)))*(1+FedEx_Markup),2)</f>
        <v>75.61</v>
      </c>
      <c r="F33" s="275">
        <f>ROUND((IF(MinBase2Day&gt;ROUND(((1-(TwoDayDiscount_21_Up+FedExExrpessEarnedDiscount))*'2Day Base'!F30),2),ROUND(MinBase2Day*(1+ExpressFuelSurcharge),2),ROUND(((1-(TwoDayDiscount_21_Up+FedExExrpessEarnedDiscount))*'2Day Base'!F30)*(1+ExpressFuelSurcharge),2)))*(1+FedEx_Markup),2)</f>
        <v>112.04</v>
      </c>
      <c r="G33" s="275">
        <f>ROUND((IF(MinBase2Day&gt;ROUND(((1-(TwoDayDiscount_21_Up+FedExExrpessEarnedDiscount))*'2Day Base'!G30),2),ROUND(MinBase2Day*(1+ExpressFuelSurcharge),2),ROUND(((1-(TwoDayDiscount_21_Up+FedExExrpessEarnedDiscount))*'2Day Base'!G30)*(1+ExpressFuelSurcharge),2)))*(1+FedEx_Markup),2)</f>
        <v>123.22</v>
      </c>
      <c r="H33" s="275">
        <f>ROUND((IF(MinBase2Day&gt;ROUND(((1-(TwoDayDiscount_21_Up+FedExExrpessEarnedDiscount))*'2Day Base'!H30),2),ROUND(MinBase2Day*(1+ExpressFuelSurcharge),2),ROUND(((1-(TwoDayDiscount_21_Up+FedExExrpessEarnedDiscount))*'2Day Base'!H30)*(1+ExpressFuelSurcharge),2)))*(1+FedEx_Markup),2)</f>
        <v>127.06</v>
      </c>
      <c r="I33" s="275">
        <f>ROUND((IF(MinBase2Day&gt;ROUND(((1-(TwoDayDiscount_21_Up+FedExExrpessEarnedDiscount))*'2Day Base'!I30),2),ROUND(MinBase2Day*(1+ExpressFuelSurcharge),2),ROUND(((1-(TwoDayDiscount_21_Up+FedExExrpessEarnedDiscount))*'2Day Base'!I30)*(1+ExpressFuelSurcharge),2)))*(1+FedEx_Markup),2)</f>
        <v>133.02</v>
      </c>
      <c r="J33" s="275">
        <f>ROUND((IF(MinBase2Day&gt;ROUND(((1-(TwoDayDiscount_21_Up+FedExExrpessEarnedDiscount))*'2Day Base'!J30),2),ROUND(MinBase2Day*(1+ExpressFuelSurcharge),2),ROUND(((1-(TwoDayDiscount_21_Up+FedExExrpessEarnedDiscount))*'2Day Base'!J30)*(1+ExpressFuelSurcharge),2)))*(1+FedEx_Markup),2)</f>
        <v>133.02</v>
      </c>
      <c r="K33" s="275">
        <f>ROUND((IF(MinBase2Day&gt;ROUND(((1-(TwoDayDiscount_21_Up+FedExExrpessEarnedDiscount))*'2Day Base'!K30),2),ROUND(MinBase2Day*(1+ExpressFuelSurcharge),2),ROUND(((1-(TwoDayDiscount_21_Up+FedExExrpessEarnedDiscount))*'2Day Base'!K30)*(1+ExpressFuelSurcharge),2)))*(1+FedEx_Markup),2)</f>
        <v>139.86</v>
      </c>
      <c r="L33" s="275">
        <f>ROUND((IF(MinBase2Day&gt;ROUND(((1-(TwoDayDiscount_21_Up+FedExExrpessEarnedDiscount))*'2Day Base'!L30),2),ROUND(MinBase2Day*(1+ExpressFuelSurcharge),2),ROUND(((1-(TwoDayDiscount_21_Up+FedExExrpessEarnedDiscount))*'2Day Base'!L30)*(1+ExpressFuelSurcharge),2)))*(1+FedEx_Markup),2)</f>
        <v>139.86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274">
        <v>29.0</v>
      </c>
      <c r="B34" s="275">
        <f>ROUND((IF(MinBase2Day&gt;ROUND(((1-(TwoDayDiscount_21_Up+FedExExrpessEarnedDiscount))*'2Day Base'!B31),2),ROUND(MinBase2Day*(1+ExpressFuelSurcharge),2),ROUND(((1-(TwoDayDiscount_21_Up+FedExExrpessEarnedDiscount))*'2Day Base'!B31)*(1+ExpressFuelSurcharge),2)))*(1+FedEx_Markup),2)</f>
        <v>33.19</v>
      </c>
      <c r="C34" s="275">
        <f>ROUND((IF(MinBase2Day&gt;ROUND(((1-(TwoDayDiscount_21_Up+FedExExrpessEarnedDiscount))*'2Day Base'!C31),2),ROUND(MinBase2Day*(1+ExpressFuelSurcharge),2),ROUND(((1-(TwoDayDiscount_21_Up+FedExExrpessEarnedDiscount))*'2Day Base'!C31)*(1+ExpressFuelSurcharge),2)))*(1+FedEx_Markup),2)</f>
        <v>39.41</v>
      </c>
      <c r="D34" s="275">
        <f>ROUND((IF(MinBase2Day&gt;ROUND(((1-(TwoDayDiscount_21_Up+FedExExrpessEarnedDiscount))*'2Day Base'!D31),2),ROUND(MinBase2Day*(1+ExpressFuelSurcharge),2),ROUND(((1-(TwoDayDiscount_21_Up+FedExExrpessEarnedDiscount))*'2Day Base'!D31)*(1+ExpressFuelSurcharge),2)))*(1+FedEx_Markup),2)</f>
        <v>49.86</v>
      </c>
      <c r="E34" s="275">
        <f>ROUND((IF(MinBase2Day&gt;ROUND(((1-(TwoDayDiscount_21_Up+FedExExrpessEarnedDiscount))*'2Day Base'!E31),2),ROUND(MinBase2Day*(1+ExpressFuelSurcharge),2),ROUND(((1-(TwoDayDiscount_21_Up+FedExExrpessEarnedDiscount))*'2Day Base'!E31)*(1+ExpressFuelSurcharge),2)))*(1+FedEx_Markup),2)</f>
        <v>77.41</v>
      </c>
      <c r="F34" s="275">
        <f>ROUND((IF(MinBase2Day&gt;ROUND(((1-(TwoDayDiscount_21_Up+FedExExrpessEarnedDiscount))*'2Day Base'!F31),2),ROUND(MinBase2Day*(1+ExpressFuelSurcharge),2),ROUND(((1-(TwoDayDiscount_21_Up+FedExExrpessEarnedDiscount))*'2Day Base'!F31)*(1+ExpressFuelSurcharge),2)))*(1+FedEx_Markup),2)</f>
        <v>115.07</v>
      </c>
      <c r="G34" s="275">
        <f>ROUND((IF(MinBase2Day&gt;ROUND(((1-(TwoDayDiscount_21_Up+FedExExrpessEarnedDiscount))*'2Day Base'!G31),2),ROUND(MinBase2Day*(1+ExpressFuelSurcharge),2),ROUND(((1-(TwoDayDiscount_21_Up+FedExExrpessEarnedDiscount))*'2Day Base'!G31)*(1+ExpressFuelSurcharge),2)))*(1+FedEx_Markup),2)</f>
        <v>126.3</v>
      </c>
      <c r="H34" s="275">
        <f>ROUND((IF(MinBase2Day&gt;ROUND(((1-(TwoDayDiscount_21_Up+FedExExrpessEarnedDiscount))*'2Day Base'!H31),2),ROUND(MinBase2Day*(1+ExpressFuelSurcharge),2),ROUND(((1-(TwoDayDiscount_21_Up+FedExExrpessEarnedDiscount))*'2Day Base'!H31)*(1+ExpressFuelSurcharge),2)))*(1+FedEx_Markup),2)</f>
        <v>130.85</v>
      </c>
      <c r="I34" s="275">
        <f>ROUND((IF(MinBase2Day&gt;ROUND(((1-(TwoDayDiscount_21_Up+FedExExrpessEarnedDiscount))*'2Day Base'!I31),2),ROUND(MinBase2Day*(1+ExpressFuelSurcharge),2),ROUND(((1-(TwoDayDiscount_21_Up+FedExExrpessEarnedDiscount))*'2Day Base'!I31)*(1+ExpressFuelSurcharge),2)))*(1+FedEx_Markup),2)</f>
        <v>136.37</v>
      </c>
      <c r="J34" s="275">
        <f>ROUND((IF(MinBase2Day&gt;ROUND(((1-(TwoDayDiscount_21_Up+FedExExrpessEarnedDiscount))*'2Day Base'!J31),2),ROUND(MinBase2Day*(1+ExpressFuelSurcharge),2),ROUND(((1-(TwoDayDiscount_21_Up+FedExExrpessEarnedDiscount))*'2Day Base'!J31)*(1+ExpressFuelSurcharge),2)))*(1+FedEx_Markup),2)</f>
        <v>136.37</v>
      </c>
      <c r="K34" s="275">
        <f>ROUND((IF(MinBase2Day&gt;ROUND(((1-(TwoDayDiscount_21_Up+FedExExrpessEarnedDiscount))*'2Day Base'!K31),2),ROUND(MinBase2Day*(1+ExpressFuelSurcharge),2),ROUND(((1-(TwoDayDiscount_21_Up+FedExExrpessEarnedDiscount))*'2Day Base'!K31)*(1+ExpressFuelSurcharge),2)))*(1+FedEx_Markup),2)</f>
        <v>143.78</v>
      </c>
      <c r="L34" s="275">
        <f>ROUND((IF(MinBase2Day&gt;ROUND(((1-(TwoDayDiscount_21_Up+FedExExrpessEarnedDiscount))*'2Day Base'!L31),2),ROUND(MinBase2Day*(1+ExpressFuelSurcharge),2),ROUND(((1-(TwoDayDiscount_21_Up+FedExExrpessEarnedDiscount))*'2Day Base'!L31)*(1+ExpressFuelSurcharge),2)))*(1+FedEx_Markup),2)</f>
        <v>143.78</v>
      </c>
    </row>
    <row r="35" ht="12.75" customHeight="1">
      <c r="A35" s="274">
        <v>30.0</v>
      </c>
      <c r="B35" s="275">
        <f>ROUND((IF(MinBase2Day&gt;ROUND(((1-(TwoDayDiscount_21_Up+FedExExrpessEarnedDiscount))*'2Day Base'!B32),2),ROUND(MinBase2Day*(1+ExpressFuelSurcharge),2),ROUND(((1-(TwoDayDiscount_21_Up+FedExExrpessEarnedDiscount))*'2Day Base'!B32)*(1+ExpressFuelSurcharge),2)))*(1+FedEx_Markup),2)</f>
        <v>33.32</v>
      </c>
      <c r="C35" s="275">
        <f>ROUND((IF(MinBase2Day&gt;ROUND(((1-(TwoDayDiscount_21_Up+FedExExrpessEarnedDiscount))*'2Day Base'!C32),2),ROUND(MinBase2Day*(1+ExpressFuelSurcharge),2),ROUND(((1-(TwoDayDiscount_21_Up+FedExExrpessEarnedDiscount))*'2Day Base'!C32)*(1+ExpressFuelSurcharge),2)))*(1+FedEx_Markup),2)</f>
        <v>40.48</v>
      </c>
      <c r="D35" s="275">
        <f>ROUND((IF(MinBase2Day&gt;ROUND(((1-(TwoDayDiscount_21_Up+FedExExrpessEarnedDiscount))*'2Day Base'!D32),2),ROUND(MinBase2Day*(1+ExpressFuelSurcharge),2),ROUND(((1-(TwoDayDiscount_21_Up+FedExExrpessEarnedDiscount))*'2Day Base'!D32)*(1+ExpressFuelSurcharge),2)))*(1+FedEx_Markup),2)</f>
        <v>51.59</v>
      </c>
      <c r="E35" s="275">
        <f>ROUND((IF(MinBase2Day&gt;ROUND(((1-(TwoDayDiscount_21_Up+FedExExrpessEarnedDiscount))*'2Day Base'!E32),2),ROUND(MinBase2Day*(1+ExpressFuelSurcharge),2),ROUND(((1-(TwoDayDiscount_21_Up+FedExExrpessEarnedDiscount))*'2Day Base'!E32)*(1+ExpressFuelSurcharge),2)))*(1+FedEx_Markup),2)</f>
        <v>79.94</v>
      </c>
      <c r="F35" s="275">
        <f>ROUND((IF(MinBase2Day&gt;ROUND(((1-(TwoDayDiscount_21_Up+FedExExrpessEarnedDiscount))*'2Day Base'!F32),2),ROUND(MinBase2Day*(1+ExpressFuelSurcharge),2),ROUND(((1-(TwoDayDiscount_21_Up+FedExExrpessEarnedDiscount))*'2Day Base'!F32)*(1+ExpressFuelSurcharge),2)))*(1+FedEx_Markup),2)</f>
        <v>118.22</v>
      </c>
      <c r="G35" s="275">
        <f>ROUND((IF(MinBase2Day&gt;ROUND(((1-(TwoDayDiscount_21_Up+FedExExrpessEarnedDiscount))*'2Day Base'!G32),2),ROUND(MinBase2Day*(1+ExpressFuelSurcharge),2),ROUND(((1-(TwoDayDiscount_21_Up+FedExExrpessEarnedDiscount))*'2Day Base'!G32)*(1+ExpressFuelSurcharge),2)))*(1+FedEx_Markup),2)</f>
        <v>129.72</v>
      </c>
      <c r="H35" s="275">
        <f>ROUND((IF(MinBase2Day&gt;ROUND(((1-(TwoDayDiscount_21_Up+FedExExrpessEarnedDiscount))*'2Day Base'!H32),2),ROUND(MinBase2Day*(1+ExpressFuelSurcharge),2),ROUND(((1-(TwoDayDiscount_21_Up+FedExExrpessEarnedDiscount))*'2Day Base'!H32)*(1+ExpressFuelSurcharge),2)))*(1+FedEx_Markup),2)</f>
        <v>134.16</v>
      </c>
      <c r="I35" s="275">
        <f>ROUND((IF(MinBase2Day&gt;ROUND(((1-(TwoDayDiscount_21_Up+FedExExrpessEarnedDiscount))*'2Day Base'!I32),2),ROUND(MinBase2Day*(1+ExpressFuelSurcharge),2),ROUND(((1-(TwoDayDiscount_21_Up+FedExExrpessEarnedDiscount))*'2Day Base'!I32)*(1+ExpressFuelSurcharge),2)))*(1+FedEx_Markup),2)</f>
        <v>140.69</v>
      </c>
      <c r="J35" s="275">
        <f>ROUND((IF(MinBase2Day&gt;ROUND(((1-(TwoDayDiscount_21_Up+FedExExrpessEarnedDiscount))*'2Day Base'!J32),2),ROUND(MinBase2Day*(1+ExpressFuelSurcharge),2),ROUND(((1-(TwoDayDiscount_21_Up+FedExExrpessEarnedDiscount))*'2Day Base'!J32)*(1+ExpressFuelSurcharge),2)))*(1+FedEx_Markup),2)</f>
        <v>140.69</v>
      </c>
      <c r="K35" s="275">
        <f>ROUND((IF(MinBase2Day&gt;ROUND(((1-(TwoDayDiscount_21_Up+FedExExrpessEarnedDiscount))*'2Day Base'!K32),2),ROUND(MinBase2Day*(1+ExpressFuelSurcharge),2),ROUND(((1-(TwoDayDiscount_21_Up+FedExExrpessEarnedDiscount))*'2Day Base'!K32)*(1+ExpressFuelSurcharge),2)))*(1+FedEx_Markup),2)</f>
        <v>147.46</v>
      </c>
      <c r="L35" s="275">
        <f>ROUND((IF(MinBase2Day&gt;ROUND(((1-(TwoDayDiscount_21_Up+FedExExrpessEarnedDiscount))*'2Day Base'!L32),2),ROUND(MinBase2Day*(1+ExpressFuelSurcharge),2),ROUND(((1-(TwoDayDiscount_21_Up+FedExExrpessEarnedDiscount))*'2Day Base'!L32)*(1+ExpressFuelSurcharge),2)))*(1+FedEx_Markup),2)</f>
        <v>147.46</v>
      </c>
    </row>
    <row r="36" ht="12.75" customHeight="1">
      <c r="A36" s="274">
        <v>31.0</v>
      </c>
      <c r="B36" s="275">
        <f>ROUND((IF(MinBase2Day&gt;ROUND(((1-(TwoDayDiscount_21_Up+FedExExrpessEarnedDiscount))*'2Day Base'!B33),2),ROUND(MinBase2Day*(1+ExpressFuelSurcharge),2),ROUND(((1-(TwoDayDiscount_21_Up+FedExExrpessEarnedDiscount))*'2Day Base'!B33)*(1+ExpressFuelSurcharge),2)))*(1+FedEx_Markup),2)</f>
        <v>33.45</v>
      </c>
      <c r="C36" s="275">
        <f>ROUND((IF(MinBase2Day&gt;ROUND(((1-(TwoDayDiscount_21_Up+FedExExrpessEarnedDiscount))*'2Day Base'!C33),2),ROUND(MinBase2Day*(1+ExpressFuelSurcharge),2),ROUND(((1-(TwoDayDiscount_21_Up+FedExExrpessEarnedDiscount))*'2Day Base'!C33)*(1+ExpressFuelSurcharge),2)))*(1+FedEx_Markup),2)</f>
        <v>41.84</v>
      </c>
      <c r="D36" s="275">
        <f>ROUND((IF(MinBase2Day&gt;ROUND(((1-(TwoDayDiscount_21_Up+FedExExrpessEarnedDiscount))*'2Day Base'!D33),2),ROUND(MinBase2Day*(1+ExpressFuelSurcharge),2),ROUND(((1-(TwoDayDiscount_21_Up+FedExExrpessEarnedDiscount))*'2Day Base'!D33)*(1+ExpressFuelSurcharge),2)))*(1+FedEx_Markup),2)</f>
        <v>52.98</v>
      </c>
      <c r="E36" s="275">
        <f>ROUND((IF(MinBase2Day&gt;ROUND(((1-(TwoDayDiscount_21_Up+FedExExrpessEarnedDiscount))*'2Day Base'!E33),2),ROUND(MinBase2Day*(1+ExpressFuelSurcharge),2),ROUND(((1-(TwoDayDiscount_21_Up+FedExExrpessEarnedDiscount))*'2Day Base'!E33)*(1+ExpressFuelSurcharge),2)))*(1+FedEx_Markup),2)</f>
        <v>81.73</v>
      </c>
      <c r="F36" s="275">
        <f>ROUND((IF(MinBase2Day&gt;ROUND(((1-(TwoDayDiscount_21_Up+FedExExrpessEarnedDiscount))*'2Day Base'!F33),2),ROUND(MinBase2Day*(1+ExpressFuelSurcharge),2),ROUND(((1-(TwoDayDiscount_21_Up+FedExExrpessEarnedDiscount))*'2Day Base'!F33)*(1+ExpressFuelSurcharge),2)))*(1+FedEx_Markup),2)</f>
        <v>120.92</v>
      </c>
      <c r="G36" s="275">
        <f>ROUND((IF(MinBase2Day&gt;ROUND(((1-(TwoDayDiscount_21_Up+FedExExrpessEarnedDiscount))*'2Day Base'!G33),2),ROUND(MinBase2Day*(1+ExpressFuelSurcharge),2),ROUND(((1-(TwoDayDiscount_21_Up+FedExExrpessEarnedDiscount))*'2Day Base'!G33)*(1+ExpressFuelSurcharge),2)))*(1+FedEx_Markup),2)</f>
        <v>132.53</v>
      </c>
      <c r="H36" s="275">
        <f>ROUND((IF(MinBase2Day&gt;ROUND(((1-(TwoDayDiscount_21_Up+FedExExrpessEarnedDiscount))*'2Day Base'!H33),2),ROUND(MinBase2Day*(1+ExpressFuelSurcharge),2),ROUND(((1-(TwoDayDiscount_21_Up+FedExExrpessEarnedDiscount))*'2Day Base'!H33)*(1+ExpressFuelSurcharge),2)))*(1+FedEx_Markup),2)</f>
        <v>137.75</v>
      </c>
      <c r="I36" s="275">
        <f>ROUND((IF(MinBase2Day&gt;ROUND(((1-(TwoDayDiscount_21_Up+FedExExrpessEarnedDiscount))*'2Day Base'!I33),2),ROUND(MinBase2Day*(1+ExpressFuelSurcharge),2),ROUND(((1-(TwoDayDiscount_21_Up+FedExExrpessEarnedDiscount))*'2Day Base'!I33)*(1+ExpressFuelSurcharge),2)))*(1+FedEx_Markup),2)</f>
        <v>144.15</v>
      </c>
      <c r="J36" s="275">
        <f>ROUND((IF(MinBase2Day&gt;ROUND(((1-(TwoDayDiscount_21_Up+FedExExrpessEarnedDiscount))*'2Day Base'!J33),2),ROUND(MinBase2Day*(1+ExpressFuelSurcharge),2),ROUND(((1-(TwoDayDiscount_21_Up+FedExExrpessEarnedDiscount))*'2Day Base'!J33)*(1+ExpressFuelSurcharge),2)))*(1+FedEx_Markup),2)</f>
        <v>144.15</v>
      </c>
      <c r="K36" s="275">
        <f>ROUND((IF(MinBase2Day&gt;ROUND(((1-(TwoDayDiscount_21_Up+FedExExrpessEarnedDiscount))*'2Day Base'!K33),2),ROUND(MinBase2Day*(1+ExpressFuelSurcharge),2),ROUND(((1-(TwoDayDiscount_21_Up+FedExExrpessEarnedDiscount))*'2Day Base'!K33)*(1+ExpressFuelSurcharge),2)))*(1+FedEx_Markup),2)</f>
        <v>147.87</v>
      </c>
      <c r="L36" s="275">
        <f>ROUND((IF(MinBase2Day&gt;ROUND(((1-(TwoDayDiscount_21_Up+FedExExrpessEarnedDiscount))*'2Day Base'!L33),2),ROUND(MinBase2Day*(1+ExpressFuelSurcharge),2),ROUND(((1-(TwoDayDiscount_21_Up+FedExExrpessEarnedDiscount))*'2Day Base'!L33)*(1+ExpressFuelSurcharge),2)))*(1+FedEx_Markup),2)</f>
        <v>147.87</v>
      </c>
    </row>
    <row r="37" ht="12.75" customHeight="1">
      <c r="A37" s="274">
        <v>32.0</v>
      </c>
      <c r="B37" s="275">
        <f>ROUND((IF(MinBase2Day&gt;ROUND(((1-(TwoDayDiscount_21_Up+FedExExrpessEarnedDiscount))*'2Day Base'!B34),2),ROUND(MinBase2Day*(1+ExpressFuelSurcharge),2),ROUND(((1-(TwoDayDiscount_21_Up+FedExExrpessEarnedDiscount))*'2Day Base'!B34)*(1+ExpressFuelSurcharge),2)))*(1+FedEx_Markup),2)</f>
        <v>33.6</v>
      </c>
      <c r="C37" s="275">
        <f>ROUND((IF(MinBase2Day&gt;ROUND(((1-(TwoDayDiscount_21_Up+FedExExrpessEarnedDiscount))*'2Day Base'!C34),2),ROUND(MinBase2Day*(1+ExpressFuelSurcharge),2),ROUND(((1-(TwoDayDiscount_21_Up+FedExExrpessEarnedDiscount))*'2Day Base'!C34)*(1+ExpressFuelSurcharge),2)))*(1+FedEx_Markup),2)</f>
        <v>42.77</v>
      </c>
      <c r="D37" s="275">
        <f>ROUND((IF(MinBase2Day&gt;ROUND(((1-(TwoDayDiscount_21_Up+FedExExrpessEarnedDiscount))*'2Day Base'!D34),2),ROUND(MinBase2Day*(1+ExpressFuelSurcharge),2),ROUND(((1-(TwoDayDiscount_21_Up+FedExExrpessEarnedDiscount))*'2Day Base'!D34)*(1+ExpressFuelSurcharge),2)))*(1+FedEx_Markup),2)</f>
        <v>54.5</v>
      </c>
      <c r="E37" s="275">
        <f>ROUND((IF(MinBase2Day&gt;ROUND(((1-(TwoDayDiscount_21_Up+FedExExrpessEarnedDiscount))*'2Day Base'!E34),2),ROUND(MinBase2Day*(1+ExpressFuelSurcharge),2),ROUND(((1-(TwoDayDiscount_21_Up+FedExExrpessEarnedDiscount))*'2Day Base'!E34)*(1+ExpressFuelSurcharge),2)))*(1+FedEx_Markup),2)</f>
        <v>83.71</v>
      </c>
      <c r="F37" s="275">
        <f>ROUND((IF(MinBase2Day&gt;ROUND(((1-(TwoDayDiscount_21_Up+FedExExrpessEarnedDiscount))*'2Day Base'!F34),2),ROUND(MinBase2Day*(1+ExpressFuelSurcharge),2),ROUND(((1-(TwoDayDiscount_21_Up+FedExExrpessEarnedDiscount))*'2Day Base'!F34)*(1+ExpressFuelSurcharge),2)))*(1+FedEx_Markup),2)</f>
        <v>124.46</v>
      </c>
      <c r="G37" s="275">
        <f>ROUND((IF(MinBase2Day&gt;ROUND(((1-(TwoDayDiscount_21_Up+FedExExrpessEarnedDiscount))*'2Day Base'!G34),2),ROUND(MinBase2Day*(1+ExpressFuelSurcharge),2),ROUND(((1-(TwoDayDiscount_21_Up+FedExExrpessEarnedDiscount))*'2Day Base'!G34)*(1+ExpressFuelSurcharge),2)))*(1+FedEx_Markup),2)</f>
        <v>136.21</v>
      </c>
      <c r="H37" s="275">
        <f>ROUND((IF(MinBase2Day&gt;ROUND(((1-(TwoDayDiscount_21_Up+FedExExrpessEarnedDiscount))*'2Day Base'!H34),2),ROUND(MinBase2Day*(1+ExpressFuelSurcharge),2),ROUND(((1-(TwoDayDiscount_21_Up+FedExExrpessEarnedDiscount))*'2Day Base'!H34)*(1+ExpressFuelSurcharge),2)))*(1+FedEx_Markup),2)</f>
        <v>141.07</v>
      </c>
      <c r="I37" s="275">
        <f>ROUND((IF(MinBase2Day&gt;ROUND(((1-(TwoDayDiscount_21_Up+FedExExrpessEarnedDiscount))*'2Day Base'!I34),2),ROUND(MinBase2Day*(1+ExpressFuelSurcharge),2),ROUND(((1-(TwoDayDiscount_21_Up+FedExExrpessEarnedDiscount))*'2Day Base'!I34)*(1+ExpressFuelSurcharge),2)))*(1+FedEx_Markup),2)</f>
        <v>148.68</v>
      </c>
      <c r="J37" s="275">
        <f>ROUND((IF(MinBase2Day&gt;ROUND(((1-(TwoDayDiscount_21_Up+FedExExrpessEarnedDiscount))*'2Day Base'!J34),2),ROUND(MinBase2Day*(1+ExpressFuelSurcharge),2),ROUND(((1-(TwoDayDiscount_21_Up+FedExExrpessEarnedDiscount))*'2Day Base'!J34)*(1+ExpressFuelSurcharge),2)))*(1+FedEx_Markup),2)</f>
        <v>148.68</v>
      </c>
      <c r="K37" s="275">
        <f>ROUND((IF(MinBase2Day&gt;ROUND(((1-(TwoDayDiscount_21_Up+FedExExrpessEarnedDiscount))*'2Day Base'!K34),2),ROUND(MinBase2Day*(1+ExpressFuelSurcharge),2),ROUND(((1-(TwoDayDiscount_21_Up+FedExExrpessEarnedDiscount))*'2Day Base'!K34)*(1+ExpressFuelSurcharge),2)))*(1+FedEx_Markup),2)</f>
        <v>155.97</v>
      </c>
      <c r="L37" s="275">
        <f>ROUND((IF(MinBase2Day&gt;ROUND(((1-(TwoDayDiscount_21_Up+FedExExrpessEarnedDiscount))*'2Day Base'!L34),2),ROUND(MinBase2Day*(1+ExpressFuelSurcharge),2),ROUND(((1-(TwoDayDiscount_21_Up+FedExExrpessEarnedDiscount))*'2Day Base'!L34)*(1+ExpressFuelSurcharge),2)))*(1+FedEx_Markup),2)</f>
        <v>155.97</v>
      </c>
    </row>
    <row r="38" ht="12.75" customHeight="1">
      <c r="A38" s="274">
        <v>33.0</v>
      </c>
      <c r="B38" s="275">
        <f>ROUND((IF(MinBase2Day&gt;ROUND(((1-(TwoDayDiscount_21_Up+FedExExrpessEarnedDiscount))*'2Day Base'!B35),2),ROUND(MinBase2Day*(1+ExpressFuelSurcharge),2),ROUND(((1-(TwoDayDiscount_21_Up+FedExExrpessEarnedDiscount))*'2Day Base'!B35)*(1+ExpressFuelSurcharge),2)))*(1+FedEx_Markup),2)</f>
        <v>36.37</v>
      </c>
      <c r="C38" s="275">
        <f>ROUND((IF(MinBase2Day&gt;ROUND(((1-(TwoDayDiscount_21_Up+FedExExrpessEarnedDiscount))*'2Day Base'!C35),2),ROUND(MinBase2Day*(1+ExpressFuelSurcharge),2),ROUND(((1-(TwoDayDiscount_21_Up+FedExExrpessEarnedDiscount))*'2Day Base'!C35)*(1+ExpressFuelSurcharge),2)))*(1+FedEx_Markup),2)</f>
        <v>43.88</v>
      </c>
      <c r="D38" s="275">
        <f>ROUND((IF(MinBase2Day&gt;ROUND(((1-(TwoDayDiscount_21_Up+FedExExrpessEarnedDiscount))*'2Day Base'!D35),2),ROUND(MinBase2Day*(1+ExpressFuelSurcharge),2),ROUND(((1-(TwoDayDiscount_21_Up+FedExExrpessEarnedDiscount))*'2Day Base'!D35)*(1+ExpressFuelSurcharge),2)))*(1+FedEx_Markup),2)</f>
        <v>56.02</v>
      </c>
      <c r="E38" s="275">
        <f>ROUND((IF(MinBase2Day&gt;ROUND(((1-(TwoDayDiscount_21_Up+FedExExrpessEarnedDiscount))*'2Day Base'!E35),2),ROUND(MinBase2Day*(1+ExpressFuelSurcharge),2),ROUND(((1-(TwoDayDiscount_21_Up+FedExExrpessEarnedDiscount))*'2Day Base'!E35)*(1+ExpressFuelSurcharge),2)))*(1+FedEx_Markup),2)</f>
        <v>85.49</v>
      </c>
      <c r="F38" s="275">
        <f>ROUND((IF(MinBase2Day&gt;ROUND(((1-(TwoDayDiscount_21_Up+FedExExrpessEarnedDiscount))*'2Day Base'!F35),2),ROUND(MinBase2Day*(1+ExpressFuelSurcharge),2),ROUND(((1-(TwoDayDiscount_21_Up+FedExExrpessEarnedDiscount))*'2Day Base'!F35)*(1+ExpressFuelSurcharge),2)))*(1+FedEx_Markup),2)</f>
        <v>127.8</v>
      </c>
      <c r="G38" s="275">
        <f>ROUND((IF(MinBase2Day&gt;ROUND(((1-(TwoDayDiscount_21_Up+FedExExrpessEarnedDiscount))*'2Day Base'!G35),2),ROUND(MinBase2Day*(1+ExpressFuelSurcharge),2),ROUND(((1-(TwoDayDiscount_21_Up+FedExExrpessEarnedDiscount))*'2Day Base'!G35)*(1+ExpressFuelSurcharge),2)))*(1+FedEx_Markup),2)</f>
        <v>139.35</v>
      </c>
      <c r="H38" s="275">
        <f>ROUND((IF(MinBase2Day&gt;ROUND(((1-(TwoDayDiscount_21_Up+FedExExrpessEarnedDiscount))*'2Day Base'!H35),2),ROUND(MinBase2Day*(1+ExpressFuelSurcharge),2),ROUND(((1-(TwoDayDiscount_21_Up+FedExExrpessEarnedDiscount))*'2Day Base'!H35)*(1+ExpressFuelSurcharge),2)))*(1+FedEx_Markup),2)</f>
        <v>144.67</v>
      </c>
      <c r="I38" s="275">
        <f>ROUND((IF(MinBase2Day&gt;ROUND(((1-(TwoDayDiscount_21_Up+FedExExrpessEarnedDiscount))*'2Day Base'!I35),2),ROUND(MinBase2Day*(1+ExpressFuelSurcharge),2),ROUND(((1-(TwoDayDiscount_21_Up+FedExExrpessEarnedDiscount))*'2Day Base'!I35)*(1+ExpressFuelSurcharge),2)))*(1+FedEx_Markup),2)</f>
        <v>149.14</v>
      </c>
      <c r="J38" s="275">
        <f>ROUND((IF(MinBase2Day&gt;ROUND(((1-(TwoDayDiscount_21_Up+FedExExrpessEarnedDiscount))*'2Day Base'!J35),2),ROUND(MinBase2Day*(1+ExpressFuelSurcharge),2),ROUND(((1-(TwoDayDiscount_21_Up+FedExExrpessEarnedDiscount))*'2Day Base'!J35)*(1+ExpressFuelSurcharge),2)))*(1+FedEx_Markup),2)</f>
        <v>149.14</v>
      </c>
      <c r="K38" s="275">
        <f>ROUND((IF(MinBase2Day&gt;ROUND(((1-(TwoDayDiscount_21_Up+FedExExrpessEarnedDiscount))*'2Day Base'!K35),2),ROUND(MinBase2Day*(1+ExpressFuelSurcharge),2),ROUND(((1-(TwoDayDiscount_21_Up+FedExExrpessEarnedDiscount))*'2Day Base'!K35)*(1+ExpressFuelSurcharge),2)))*(1+FedEx_Markup),2)</f>
        <v>157.49</v>
      </c>
      <c r="L38" s="275">
        <f>ROUND((IF(MinBase2Day&gt;ROUND(((1-(TwoDayDiscount_21_Up+FedExExrpessEarnedDiscount))*'2Day Base'!L35),2),ROUND(MinBase2Day*(1+ExpressFuelSurcharge),2),ROUND(((1-(TwoDayDiscount_21_Up+FedExExrpessEarnedDiscount))*'2Day Base'!L35)*(1+ExpressFuelSurcharge),2)))*(1+FedEx_Markup),2)</f>
        <v>157.49</v>
      </c>
    </row>
    <row r="39" ht="12.75" customHeight="1">
      <c r="A39" s="274">
        <v>34.0</v>
      </c>
      <c r="B39" s="275">
        <f>ROUND((IF(MinBase2Day&gt;ROUND(((1-(TwoDayDiscount_21_Up+FedExExrpessEarnedDiscount))*'2Day Base'!B36),2),ROUND(MinBase2Day*(1+ExpressFuelSurcharge),2),ROUND(((1-(TwoDayDiscount_21_Up+FedExExrpessEarnedDiscount))*'2Day Base'!B36)*(1+ExpressFuelSurcharge),2)))*(1+FedEx_Markup),2)</f>
        <v>37.51</v>
      </c>
      <c r="C39" s="275">
        <f>ROUND((IF(MinBase2Day&gt;ROUND(((1-(TwoDayDiscount_21_Up+FedExExrpessEarnedDiscount))*'2Day Base'!C36),2),ROUND(MinBase2Day*(1+ExpressFuelSurcharge),2),ROUND(((1-(TwoDayDiscount_21_Up+FedExExrpessEarnedDiscount))*'2Day Base'!C36)*(1+ExpressFuelSurcharge),2)))*(1+FedEx_Markup),2)</f>
        <v>44.69</v>
      </c>
      <c r="D39" s="275">
        <f>ROUND((IF(MinBase2Day&gt;ROUND(((1-(TwoDayDiscount_21_Up+FedExExrpessEarnedDiscount))*'2Day Base'!D36),2),ROUND(MinBase2Day*(1+ExpressFuelSurcharge),2),ROUND(((1-(TwoDayDiscount_21_Up+FedExExrpessEarnedDiscount))*'2Day Base'!D36)*(1+ExpressFuelSurcharge),2)))*(1+FedEx_Markup),2)</f>
        <v>57.19</v>
      </c>
      <c r="E39" s="275">
        <f>ROUND((IF(MinBase2Day&gt;ROUND(((1-(TwoDayDiscount_21_Up+FedExExrpessEarnedDiscount))*'2Day Base'!E36),2),ROUND(MinBase2Day*(1+ExpressFuelSurcharge),2),ROUND(((1-(TwoDayDiscount_21_Up+FedExExrpessEarnedDiscount))*'2Day Base'!E36)*(1+ExpressFuelSurcharge),2)))*(1+FedEx_Markup),2)</f>
        <v>88.48</v>
      </c>
      <c r="F39" s="275">
        <f>ROUND((IF(MinBase2Day&gt;ROUND(((1-(TwoDayDiscount_21_Up+FedExExrpessEarnedDiscount))*'2Day Base'!F36),2),ROUND(MinBase2Day*(1+ExpressFuelSurcharge),2),ROUND(((1-(TwoDayDiscount_21_Up+FedExExrpessEarnedDiscount))*'2Day Base'!F36)*(1+ExpressFuelSurcharge),2)))*(1+FedEx_Markup),2)</f>
        <v>131.68</v>
      </c>
      <c r="G39" s="275">
        <f>ROUND((IF(MinBase2Day&gt;ROUND(((1-(TwoDayDiscount_21_Up+FedExExrpessEarnedDiscount))*'2Day Base'!G36),2),ROUND(MinBase2Day*(1+ExpressFuelSurcharge),2),ROUND(((1-(TwoDayDiscount_21_Up+FedExExrpessEarnedDiscount))*'2Day Base'!G36)*(1+ExpressFuelSurcharge),2)))*(1+FedEx_Markup),2)</f>
        <v>142.81</v>
      </c>
      <c r="H39" s="275">
        <f>ROUND((IF(MinBase2Day&gt;ROUND(((1-(TwoDayDiscount_21_Up+FedExExrpessEarnedDiscount))*'2Day Base'!H36),2),ROUND(MinBase2Day*(1+ExpressFuelSurcharge),2),ROUND(((1-(TwoDayDiscount_21_Up+FedExExrpessEarnedDiscount))*'2Day Base'!H36)*(1+ExpressFuelSurcharge),2)))*(1+FedEx_Markup),2)</f>
        <v>148.22</v>
      </c>
      <c r="I39" s="275">
        <f>ROUND((IF(MinBase2Day&gt;ROUND(((1-(TwoDayDiscount_21_Up+FedExExrpessEarnedDiscount))*'2Day Base'!I36),2),ROUND(MinBase2Day*(1+ExpressFuelSurcharge),2),ROUND(((1-(TwoDayDiscount_21_Up+FedExExrpessEarnedDiscount))*'2Day Base'!I36)*(1+ExpressFuelSurcharge),2)))*(1+FedEx_Markup),2)</f>
        <v>151.6</v>
      </c>
      <c r="J39" s="275">
        <f>ROUND((IF(MinBase2Day&gt;ROUND(((1-(TwoDayDiscount_21_Up+FedExExrpessEarnedDiscount))*'2Day Base'!J36),2),ROUND(MinBase2Day*(1+ExpressFuelSurcharge),2),ROUND(((1-(TwoDayDiscount_21_Up+FedExExrpessEarnedDiscount))*'2Day Base'!J36)*(1+ExpressFuelSurcharge),2)))*(1+FedEx_Markup),2)</f>
        <v>151.6</v>
      </c>
      <c r="K39" s="275">
        <f>ROUND((IF(MinBase2Day&gt;ROUND(((1-(TwoDayDiscount_21_Up+FedExExrpessEarnedDiscount))*'2Day Base'!K36),2),ROUND(MinBase2Day*(1+ExpressFuelSurcharge),2),ROUND(((1-(TwoDayDiscount_21_Up+FedExExrpessEarnedDiscount))*'2Day Base'!K36)*(1+ExpressFuelSurcharge),2)))*(1+FedEx_Markup),2)</f>
        <v>157.65</v>
      </c>
      <c r="L39" s="275">
        <f>ROUND((IF(MinBase2Day&gt;ROUND(((1-(TwoDayDiscount_21_Up+FedExExrpessEarnedDiscount))*'2Day Base'!L36),2),ROUND(MinBase2Day*(1+ExpressFuelSurcharge),2),ROUND(((1-(TwoDayDiscount_21_Up+FedExExrpessEarnedDiscount))*'2Day Base'!L36)*(1+ExpressFuelSurcharge),2)))*(1+FedEx_Markup),2)</f>
        <v>157.65</v>
      </c>
    </row>
    <row r="40" ht="12.75" customHeight="1">
      <c r="A40" s="274">
        <v>35.0</v>
      </c>
      <c r="B40" s="275">
        <f>ROUND((IF(MinBase2Day&gt;ROUND(((1-(TwoDayDiscount_21_Up+FedExExrpessEarnedDiscount))*'2Day Base'!B37),2),ROUND(MinBase2Day*(1+ExpressFuelSurcharge),2),ROUND(((1-(TwoDayDiscount_21_Up+FedExExrpessEarnedDiscount))*'2Day Base'!B37)*(1+ExpressFuelSurcharge),2)))*(1+FedEx_Markup),2)</f>
        <v>38.27</v>
      </c>
      <c r="C40" s="275">
        <f>ROUND((IF(MinBase2Day&gt;ROUND(((1-(TwoDayDiscount_21_Up+FedExExrpessEarnedDiscount))*'2Day Base'!C37),2),ROUND(MinBase2Day*(1+ExpressFuelSurcharge),2),ROUND(((1-(TwoDayDiscount_21_Up+FedExExrpessEarnedDiscount))*'2Day Base'!C37)*(1+ExpressFuelSurcharge),2)))*(1+FedEx_Markup),2)</f>
        <v>46.05</v>
      </c>
      <c r="D40" s="275">
        <f>ROUND((IF(MinBase2Day&gt;ROUND(((1-(TwoDayDiscount_21_Up+FedExExrpessEarnedDiscount))*'2Day Base'!D37),2),ROUND(MinBase2Day*(1+ExpressFuelSurcharge),2),ROUND(((1-(TwoDayDiscount_21_Up+FedExExrpessEarnedDiscount))*'2Day Base'!D37)*(1+ExpressFuelSurcharge),2)))*(1+FedEx_Markup),2)</f>
        <v>58.42</v>
      </c>
      <c r="E40" s="275">
        <f>ROUND((IF(MinBase2Day&gt;ROUND(((1-(TwoDayDiscount_21_Up+FedExExrpessEarnedDiscount))*'2Day Base'!E37),2),ROUND(MinBase2Day*(1+ExpressFuelSurcharge),2),ROUND(((1-(TwoDayDiscount_21_Up+FedExExrpessEarnedDiscount))*'2Day Base'!E37)*(1+ExpressFuelSurcharge),2)))*(1+FedEx_Markup),2)</f>
        <v>90.24</v>
      </c>
      <c r="F40" s="275">
        <f>ROUND((IF(MinBase2Day&gt;ROUND(((1-(TwoDayDiscount_21_Up+FedExExrpessEarnedDiscount))*'2Day Base'!F37),2),ROUND(MinBase2Day*(1+ExpressFuelSurcharge),2),ROUND(((1-(TwoDayDiscount_21_Up+FedExExrpessEarnedDiscount))*'2Day Base'!F37)*(1+ExpressFuelSurcharge),2)))*(1+FedEx_Markup),2)</f>
        <v>135.62</v>
      </c>
      <c r="G40" s="275">
        <f>ROUND((IF(MinBase2Day&gt;ROUND(((1-(TwoDayDiscount_21_Up+FedExExrpessEarnedDiscount))*'2Day Base'!G37),2),ROUND(MinBase2Day*(1+ExpressFuelSurcharge),2),ROUND(((1-(TwoDayDiscount_21_Up+FedExExrpessEarnedDiscount))*'2Day Base'!G37)*(1+ExpressFuelSurcharge),2)))*(1+FedEx_Markup),2)</f>
        <v>145.95</v>
      </c>
      <c r="H40" s="275">
        <f>ROUND((IF(MinBase2Day&gt;ROUND(((1-(TwoDayDiscount_21_Up+FedExExrpessEarnedDiscount))*'2Day Base'!H37),2),ROUND(MinBase2Day*(1+ExpressFuelSurcharge),2),ROUND(((1-(TwoDayDiscount_21_Up+FedExExrpessEarnedDiscount))*'2Day Base'!H37)*(1+ExpressFuelSurcharge),2)))*(1+FedEx_Markup),2)</f>
        <v>148.87</v>
      </c>
      <c r="I40" s="275">
        <f>ROUND((IF(MinBase2Day&gt;ROUND(((1-(TwoDayDiscount_21_Up+FedExExrpessEarnedDiscount))*'2Day Base'!I37),2),ROUND(MinBase2Day*(1+ExpressFuelSurcharge),2),ROUND(((1-(TwoDayDiscount_21_Up+FedExExrpessEarnedDiscount))*'2Day Base'!I37)*(1+ExpressFuelSurcharge),2)))*(1+FedEx_Markup),2)</f>
        <v>151.86</v>
      </c>
      <c r="J40" s="275">
        <f>ROUND((IF(MinBase2Day&gt;ROUND(((1-(TwoDayDiscount_21_Up+FedExExrpessEarnedDiscount))*'2Day Base'!J37),2),ROUND(MinBase2Day*(1+ExpressFuelSurcharge),2),ROUND(((1-(TwoDayDiscount_21_Up+FedExExrpessEarnedDiscount))*'2Day Base'!J37)*(1+ExpressFuelSurcharge),2)))*(1+FedEx_Markup),2)</f>
        <v>151.86</v>
      </c>
      <c r="K40" s="275">
        <f>ROUND((IF(MinBase2Day&gt;ROUND(((1-(TwoDayDiscount_21_Up+FedExExrpessEarnedDiscount))*'2Day Base'!K37),2),ROUND(MinBase2Day*(1+ExpressFuelSurcharge),2),ROUND(((1-(TwoDayDiscount_21_Up+FedExExrpessEarnedDiscount))*'2Day Base'!K37)*(1+ExpressFuelSurcharge),2)))*(1+FedEx_Markup),2)</f>
        <v>157.84</v>
      </c>
      <c r="L40" s="275">
        <f>ROUND((IF(MinBase2Day&gt;ROUND(((1-(TwoDayDiscount_21_Up+FedExExrpessEarnedDiscount))*'2Day Base'!L37),2),ROUND(MinBase2Day*(1+ExpressFuelSurcharge),2),ROUND(((1-(TwoDayDiscount_21_Up+FedExExrpessEarnedDiscount))*'2Day Base'!L37)*(1+ExpressFuelSurcharge),2)))*(1+FedEx_Markup),2)</f>
        <v>157.84</v>
      </c>
    </row>
    <row r="41" ht="12.75" customHeight="1">
      <c r="A41" s="274">
        <v>36.0</v>
      </c>
      <c r="B41" s="275">
        <f>ROUND((IF(MinBase2Day&gt;ROUND(((1-(TwoDayDiscount_21_Up+FedExExrpessEarnedDiscount))*'2Day Base'!B38),2),ROUND(MinBase2Day*(1+ExpressFuelSurcharge),2),ROUND(((1-(TwoDayDiscount_21_Up+FedExExrpessEarnedDiscount))*'2Day Base'!B38)*(1+ExpressFuelSurcharge),2)))*(1+FedEx_Markup),2)</f>
        <v>38.87</v>
      </c>
      <c r="C41" s="275">
        <f>ROUND((IF(MinBase2Day&gt;ROUND(((1-(TwoDayDiscount_21_Up+FedExExrpessEarnedDiscount))*'2Day Base'!C38),2),ROUND(MinBase2Day*(1+ExpressFuelSurcharge),2),ROUND(((1-(TwoDayDiscount_21_Up+FedExExrpessEarnedDiscount))*'2Day Base'!C38)*(1+ExpressFuelSurcharge),2)))*(1+FedEx_Markup),2)</f>
        <v>47.06</v>
      </c>
      <c r="D41" s="275">
        <f>ROUND((IF(MinBase2Day&gt;ROUND(((1-(TwoDayDiscount_21_Up+FedExExrpessEarnedDiscount))*'2Day Base'!D38),2),ROUND(MinBase2Day*(1+ExpressFuelSurcharge),2),ROUND(((1-(TwoDayDiscount_21_Up+FedExExrpessEarnedDiscount))*'2Day Base'!D38)*(1+ExpressFuelSurcharge),2)))*(1+FedEx_Markup),2)</f>
        <v>59.64</v>
      </c>
      <c r="E41" s="275">
        <f>ROUND((IF(MinBase2Day&gt;ROUND(((1-(TwoDayDiscount_21_Up+FedExExrpessEarnedDiscount))*'2Day Base'!E38),2),ROUND(MinBase2Day*(1+ExpressFuelSurcharge),2),ROUND(((1-(TwoDayDiscount_21_Up+FedExExrpessEarnedDiscount))*'2Day Base'!E38)*(1+ExpressFuelSurcharge),2)))*(1+FedEx_Markup),2)</f>
        <v>92.09</v>
      </c>
      <c r="F41" s="275">
        <f>ROUND((IF(MinBase2Day&gt;ROUND(((1-(TwoDayDiscount_21_Up+FedExExrpessEarnedDiscount))*'2Day Base'!F38),2),ROUND(MinBase2Day*(1+ExpressFuelSurcharge),2),ROUND(((1-(TwoDayDiscount_21_Up+FedExExrpessEarnedDiscount))*'2Day Base'!F38)*(1+ExpressFuelSurcharge),2)))*(1+FedEx_Markup),2)</f>
        <v>139.27</v>
      </c>
      <c r="G41" s="275">
        <f>ROUND((IF(MinBase2Day&gt;ROUND(((1-(TwoDayDiscount_21_Up+FedExExrpessEarnedDiscount))*'2Day Base'!G38),2),ROUND(MinBase2Day*(1+ExpressFuelSurcharge),2),ROUND(((1-(TwoDayDiscount_21_Up+FedExExrpessEarnedDiscount))*'2Day Base'!G38)*(1+ExpressFuelSurcharge),2)))*(1+FedEx_Markup),2)</f>
        <v>149.72</v>
      </c>
      <c r="H41" s="275">
        <f>ROUND((IF(MinBase2Day&gt;ROUND(((1-(TwoDayDiscount_21_Up+FedExExrpessEarnedDiscount))*'2Day Base'!H38),2),ROUND(MinBase2Day*(1+ExpressFuelSurcharge),2),ROUND(((1-(TwoDayDiscount_21_Up+FedExExrpessEarnedDiscount))*'2Day Base'!H38)*(1+ExpressFuelSurcharge),2)))*(1+FedEx_Markup),2)</f>
        <v>152.72</v>
      </c>
      <c r="I41" s="275">
        <f>ROUND((IF(MinBase2Day&gt;ROUND(((1-(TwoDayDiscount_21_Up+FedExExrpessEarnedDiscount))*'2Day Base'!I38),2),ROUND(MinBase2Day*(1+ExpressFuelSurcharge),2),ROUND(((1-(TwoDayDiscount_21_Up+FedExExrpessEarnedDiscount))*'2Day Base'!I38)*(1+ExpressFuelSurcharge),2)))*(1+FedEx_Markup),2)</f>
        <v>155.78</v>
      </c>
      <c r="J41" s="275">
        <f>ROUND((IF(MinBase2Day&gt;ROUND(((1-(TwoDayDiscount_21_Up+FedExExrpessEarnedDiscount))*'2Day Base'!J38),2),ROUND(MinBase2Day*(1+ExpressFuelSurcharge),2),ROUND(((1-(TwoDayDiscount_21_Up+FedExExrpessEarnedDiscount))*'2Day Base'!J38)*(1+ExpressFuelSurcharge),2)))*(1+FedEx_Markup),2)</f>
        <v>155.78</v>
      </c>
      <c r="K41" s="275">
        <f>ROUND((IF(MinBase2Day&gt;ROUND(((1-(TwoDayDiscount_21_Up+FedExExrpessEarnedDiscount))*'2Day Base'!K38),2),ROUND(MinBase2Day*(1+ExpressFuelSurcharge),2),ROUND(((1-(TwoDayDiscount_21_Up+FedExExrpessEarnedDiscount))*'2Day Base'!K38)*(1+ExpressFuelSurcharge),2)))*(1+FedEx_Markup),2)</f>
        <v>161.24</v>
      </c>
      <c r="L41" s="275">
        <f>ROUND((IF(MinBase2Day&gt;ROUND(((1-(TwoDayDiscount_21_Up+FedExExrpessEarnedDiscount))*'2Day Base'!L38),2),ROUND(MinBase2Day*(1+ExpressFuelSurcharge),2),ROUND(((1-(TwoDayDiscount_21_Up+FedExExrpessEarnedDiscount))*'2Day Base'!L38)*(1+ExpressFuelSurcharge),2)))*(1+FedEx_Markup),2)</f>
        <v>161.24</v>
      </c>
    </row>
    <row r="42" ht="12.75" customHeight="1">
      <c r="A42" s="274">
        <v>37.0</v>
      </c>
      <c r="B42" s="275">
        <f>ROUND((IF(MinBase2Day&gt;ROUND(((1-(TwoDayDiscount_21_Up+FedExExrpessEarnedDiscount))*'2Day Base'!B39),2),ROUND(MinBase2Day*(1+ExpressFuelSurcharge),2),ROUND(((1-(TwoDayDiscount_21_Up+FedExExrpessEarnedDiscount))*'2Day Base'!B39)*(1+ExpressFuelSurcharge),2)))*(1+FedEx_Markup),2)</f>
        <v>39.58</v>
      </c>
      <c r="C42" s="275">
        <f>ROUND((IF(MinBase2Day&gt;ROUND(((1-(TwoDayDiscount_21_Up+FedExExrpessEarnedDiscount))*'2Day Base'!C39),2),ROUND(MinBase2Day*(1+ExpressFuelSurcharge),2),ROUND(((1-(TwoDayDiscount_21_Up+FedExExrpessEarnedDiscount))*'2Day Base'!C39)*(1+ExpressFuelSurcharge),2)))*(1+FedEx_Markup),2)</f>
        <v>47.74</v>
      </c>
      <c r="D42" s="275">
        <f>ROUND((IF(MinBase2Day&gt;ROUND(((1-(TwoDayDiscount_21_Up+FedExExrpessEarnedDiscount))*'2Day Base'!D39),2),ROUND(MinBase2Day*(1+ExpressFuelSurcharge),2),ROUND(((1-(TwoDayDiscount_21_Up+FedExExrpessEarnedDiscount))*'2Day Base'!D39)*(1+ExpressFuelSurcharge),2)))*(1+FedEx_Markup),2)</f>
        <v>61.08</v>
      </c>
      <c r="E42" s="275">
        <f>ROUND((IF(MinBase2Day&gt;ROUND(((1-(TwoDayDiscount_21_Up+FedExExrpessEarnedDiscount))*'2Day Base'!E39),2),ROUND(MinBase2Day*(1+ExpressFuelSurcharge),2),ROUND(((1-(TwoDayDiscount_21_Up+FedExExrpessEarnedDiscount))*'2Day Base'!E39)*(1+ExpressFuelSurcharge),2)))*(1+FedEx_Markup),2)</f>
        <v>94.47</v>
      </c>
      <c r="F42" s="275">
        <f>ROUND((IF(MinBase2Day&gt;ROUND(((1-(TwoDayDiscount_21_Up+FedExExrpessEarnedDiscount))*'2Day Base'!F39),2),ROUND(MinBase2Day*(1+ExpressFuelSurcharge),2),ROUND(((1-(TwoDayDiscount_21_Up+FedExExrpessEarnedDiscount))*'2Day Base'!F39)*(1+ExpressFuelSurcharge),2)))*(1+FedEx_Markup),2)</f>
        <v>143.05</v>
      </c>
      <c r="G42" s="275">
        <f>ROUND((IF(MinBase2Day&gt;ROUND(((1-(TwoDayDiscount_21_Up+FedExExrpessEarnedDiscount))*'2Day Base'!G39),2),ROUND(MinBase2Day*(1+ExpressFuelSurcharge),2),ROUND(((1-(TwoDayDiscount_21_Up+FedExExrpessEarnedDiscount))*'2Day Base'!G39)*(1+ExpressFuelSurcharge),2)))*(1+FedEx_Markup),2)</f>
        <v>155.04</v>
      </c>
      <c r="H42" s="275">
        <f>ROUND((IF(MinBase2Day&gt;ROUND(((1-(TwoDayDiscount_21_Up+FedExExrpessEarnedDiscount))*'2Day Base'!H39),2),ROUND(MinBase2Day*(1+ExpressFuelSurcharge),2),ROUND(((1-(TwoDayDiscount_21_Up+FedExExrpessEarnedDiscount))*'2Day Base'!H39)*(1+ExpressFuelSurcharge),2)))*(1+FedEx_Markup),2)</f>
        <v>159.87</v>
      </c>
      <c r="I42" s="275">
        <f>ROUND((IF(MinBase2Day&gt;ROUND(((1-(TwoDayDiscount_21_Up+FedExExrpessEarnedDiscount))*'2Day Base'!I39),2),ROUND(MinBase2Day*(1+ExpressFuelSurcharge),2),ROUND(((1-(TwoDayDiscount_21_Up+FedExExrpessEarnedDiscount))*'2Day Base'!I39)*(1+ExpressFuelSurcharge),2)))*(1+FedEx_Markup),2)</f>
        <v>168.22</v>
      </c>
      <c r="J42" s="275">
        <f>ROUND((IF(MinBase2Day&gt;ROUND(((1-(TwoDayDiscount_21_Up+FedExExrpessEarnedDiscount))*'2Day Base'!J39),2),ROUND(MinBase2Day*(1+ExpressFuelSurcharge),2),ROUND(((1-(TwoDayDiscount_21_Up+FedExExrpessEarnedDiscount))*'2Day Base'!J39)*(1+ExpressFuelSurcharge),2)))*(1+FedEx_Markup),2)</f>
        <v>168.22</v>
      </c>
      <c r="K42" s="275">
        <f>ROUND((IF(MinBase2Day&gt;ROUND(((1-(TwoDayDiscount_21_Up+FedExExrpessEarnedDiscount))*'2Day Base'!K39),2),ROUND(MinBase2Day*(1+ExpressFuelSurcharge),2),ROUND(((1-(TwoDayDiscount_21_Up+FedExExrpessEarnedDiscount))*'2Day Base'!K39)*(1+ExpressFuelSurcharge),2)))*(1+FedEx_Markup),2)</f>
        <v>171.8</v>
      </c>
      <c r="L42" s="275">
        <f>ROUND((IF(MinBase2Day&gt;ROUND(((1-(TwoDayDiscount_21_Up+FedExExrpessEarnedDiscount))*'2Day Base'!L39),2),ROUND(MinBase2Day*(1+ExpressFuelSurcharge),2),ROUND(((1-(TwoDayDiscount_21_Up+FedExExrpessEarnedDiscount))*'2Day Base'!L39)*(1+ExpressFuelSurcharge),2)))*(1+FedEx_Markup),2)</f>
        <v>171.8</v>
      </c>
    </row>
    <row r="43" ht="12.75" customHeight="1">
      <c r="A43" s="274">
        <v>38.0</v>
      </c>
      <c r="B43" s="275">
        <f>ROUND((IF(MinBase2Day&gt;ROUND(((1-(TwoDayDiscount_21_Up+FedExExrpessEarnedDiscount))*'2Day Base'!B40),2),ROUND(MinBase2Day*(1+ExpressFuelSurcharge),2),ROUND(((1-(TwoDayDiscount_21_Up+FedExExrpessEarnedDiscount))*'2Day Base'!B40)*(1+ExpressFuelSurcharge),2)))*(1+FedEx_Markup),2)</f>
        <v>40.25</v>
      </c>
      <c r="C43" s="275">
        <f>ROUND((IF(MinBase2Day&gt;ROUND(((1-(TwoDayDiscount_21_Up+FedExExrpessEarnedDiscount))*'2Day Base'!C40),2),ROUND(MinBase2Day*(1+ExpressFuelSurcharge),2),ROUND(((1-(TwoDayDiscount_21_Up+FedExExrpessEarnedDiscount))*'2Day Base'!C40)*(1+ExpressFuelSurcharge),2)))*(1+FedEx_Markup),2)</f>
        <v>48.46</v>
      </c>
      <c r="D43" s="275">
        <f>ROUND((IF(MinBase2Day&gt;ROUND(((1-(TwoDayDiscount_21_Up+FedExExrpessEarnedDiscount))*'2Day Base'!D40),2),ROUND(MinBase2Day*(1+ExpressFuelSurcharge),2),ROUND(((1-(TwoDayDiscount_21_Up+FedExExrpessEarnedDiscount))*'2Day Base'!D40)*(1+ExpressFuelSurcharge),2)))*(1+FedEx_Markup),2)</f>
        <v>62.62</v>
      </c>
      <c r="E43" s="275">
        <f>ROUND((IF(MinBase2Day&gt;ROUND(((1-(TwoDayDiscount_21_Up+FedExExrpessEarnedDiscount))*'2Day Base'!E40),2),ROUND(MinBase2Day*(1+ExpressFuelSurcharge),2),ROUND(((1-(TwoDayDiscount_21_Up+FedExExrpessEarnedDiscount))*'2Day Base'!E40)*(1+ExpressFuelSurcharge),2)))*(1+FedEx_Markup),2)</f>
        <v>96.38</v>
      </c>
      <c r="F43" s="275">
        <f>ROUND((IF(MinBase2Day&gt;ROUND(((1-(TwoDayDiscount_21_Up+FedExExrpessEarnedDiscount))*'2Day Base'!F40),2),ROUND(MinBase2Day*(1+ExpressFuelSurcharge),2),ROUND(((1-(TwoDayDiscount_21_Up+FedExExrpessEarnedDiscount))*'2Day Base'!F40)*(1+ExpressFuelSurcharge),2)))*(1+FedEx_Markup),2)</f>
        <v>146.69</v>
      </c>
      <c r="G43" s="275">
        <f>ROUND((IF(MinBase2Day&gt;ROUND(((1-(TwoDayDiscount_21_Up+FedExExrpessEarnedDiscount))*'2Day Base'!G40),2),ROUND(MinBase2Day*(1+ExpressFuelSurcharge),2),ROUND(((1-(TwoDayDiscount_21_Up+FedExExrpessEarnedDiscount))*'2Day Base'!G40)*(1+ExpressFuelSurcharge),2)))*(1+FedEx_Markup),2)</f>
        <v>159.07</v>
      </c>
      <c r="H43" s="275">
        <f>ROUND((IF(MinBase2Day&gt;ROUND(((1-(TwoDayDiscount_21_Up+FedExExrpessEarnedDiscount))*'2Day Base'!H40),2),ROUND(MinBase2Day*(1+ExpressFuelSurcharge),2),ROUND(((1-(TwoDayDiscount_21_Up+FedExExrpessEarnedDiscount))*'2Day Base'!H40)*(1+ExpressFuelSurcharge),2)))*(1+FedEx_Markup),2)</f>
        <v>164.23</v>
      </c>
      <c r="I43" s="275">
        <f>ROUND((IF(MinBase2Day&gt;ROUND(((1-(TwoDayDiscount_21_Up+FedExExrpessEarnedDiscount))*'2Day Base'!I40),2),ROUND(MinBase2Day*(1+ExpressFuelSurcharge),2),ROUND(((1-(TwoDayDiscount_21_Up+FedExExrpessEarnedDiscount))*'2Day Base'!I40)*(1+ExpressFuelSurcharge),2)))*(1+FedEx_Markup),2)</f>
        <v>169.48</v>
      </c>
      <c r="J43" s="275">
        <f>ROUND((IF(MinBase2Day&gt;ROUND(((1-(TwoDayDiscount_21_Up+FedExExrpessEarnedDiscount))*'2Day Base'!J40),2),ROUND(MinBase2Day*(1+ExpressFuelSurcharge),2),ROUND(((1-(TwoDayDiscount_21_Up+FedExExrpessEarnedDiscount))*'2Day Base'!J40)*(1+ExpressFuelSurcharge),2)))*(1+FedEx_Markup),2)</f>
        <v>169.48</v>
      </c>
      <c r="K43" s="275">
        <f>ROUND((IF(MinBase2Day&gt;ROUND(((1-(TwoDayDiscount_21_Up+FedExExrpessEarnedDiscount))*'2Day Base'!K40),2),ROUND(MinBase2Day*(1+ExpressFuelSurcharge),2),ROUND(((1-(TwoDayDiscount_21_Up+FedExExrpessEarnedDiscount))*'2Day Base'!K40)*(1+ExpressFuelSurcharge),2)))*(1+FedEx_Markup),2)</f>
        <v>172.87</v>
      </c>
      <c r="L43" s="275">
        <f>ROUND((IF(MinBase2Day&gt;ROUND(((1-(TwoDayDiscount_21_Up+FedExExrpessEarnedDiscount))*'2Day Base'!L40),2),ROUND(MinBase2Day*(1+ExpressFuelSurcharge),2),ROUND(((1-(TwoDayDiscount_21_Up+FedExExrpessEarnedDiscount))*'2Day Base'!L40)*(1+ExpressFuelSurcharge),2)))*(1+FedEx_Markup),2)</f>
        <v>172.87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274">
        <v>39.0</v>
      </c>
      <c r="B44" s="275">
        <f>ROUND((IF(MinBase2Day&gt;ROUND(((1-(TwoDayDiscount_21_Up+FedExExrpessEarnedDiscount))*'2Day Base'!B41),2),ROUND(MinBase2Day*(1+ExpressFuelSurcharge),2),ROUND(((1-(TwoDayDiscount_21_Up+FedExExrpessEarnedDiscount))*'2Day Base'!B41)*(1+ExpressFuelSurcharge),2)))*(1+FedEx_Markup),2)</f>
        <v>41.53</v>
      </c>
      <c r="C44" s="275">
        <f>ROUND((IF(MinBase2Day&gt;ROUND(((1-(TwoDayDiscount_21_Up+FedExExrpessEarnedDiscount))*'2Day Base'!C41),2),ROUND(MinBase2Day*(1+ExpressFuelSurcharge),2),ROUND(((1-(TwoDayDiscount_21_Up+FedExExrpessEarnedDiscount))*'2Day Base'!C41)*(1+ExpressFuelSurcharge),2)))*(1+FedEx_Markup),2)</f>
        <v>49.75</v>
      </c>
      <c r="D44" s="275">
        <f>ROUND((IF(MinBase2Day&gt;ROUND(((1-(TwoDayDiscount_21_Up+FedExExrpessEarnedDiscount))*'2Day Base'!D41),2),ROUND(MinBase2Day*(1+ExpressFuelSurcharge),2),ROUND(((1-(TwoDayDiscount_21_Up+FedExExrpessEarnedDiscount))*'2Day Base'!D41)*(1+ExpressFuelSurcharge),2)))*(1+FedEx_Markup),2)</f>
        <v>63.68</v>
      </c>
      <c r="E44" s="275">
        <f>ROUND((IF(MinBase2Day&gt;ROUND(((1-(TwoDayDiscount_21_Up+FedExExrpessEarnedDiscount))*'2Day Base'!E41),2),ROUND(MinBase2Day*(1+ExpressFuelSurcharge),2),ROUND(((1-(TwoDayDiscount_21_Up+FedExExrpessEarnedDiscount))*'2Day Base'!E41)*(1+ExpressFuelSurcharge),2)))*(1+FedEx_Markup),2)</f>
        <v>98.29</v>
      </c>
      <c r="F44" s="275">
        <f>ROUND((IF(MinBase2Day&gt;ROUND(((1-(TwoDayDiscount_21_Up+FedExExrpessEarnedDiscount))*'2Day Base'!F41),2),ROUND(MinBase2Day*(1+ExpressFuelSurcharge),2),ROUND(((1-(TwoDayDiscount_21_Up+FedExExrpessEarnedDiscount))*'2Day Base'!F41)*(1+ExpressFuelSurcharge),2)))*(1+FedEx_Markup),2)</f>
        <v>150.25</v>
      </c>
      <c r="G44" s="275">
        <f>ROUND((IF(MinBase2Day&gt;ROUND(((1-(TwoDayDiscount_21_Up+FedExExrpessEarnedDiscount))*'2Day Base'!G41),2),ROUND(MinBase2Day*(1+ExpressFuelSurcharge),2),ROUND(((1-(TwoDayDiscount_21_Up+FedExExrpessEarnedDiscount))*'2Day Base'!G41)*(1+ExpressFuelSurcharge),2)))*(1+FedEx_Markup),2)</f>
        <v>163.3</v>
      </c>
      <c r="H44" s="275">
        <f>ROUND((IF(MinBase2Day&gt;ROUND(((1-(TwoDayDiscount_21_Up+FedExExrpessEarnedDiscount))*'2Day Base'!H41),2),ROUND(MinBase2Day*(1+ExpressFuelSurcharge),2),ROUND(((1-(TwoDayDiscount_21_Up+FedExExrpessEarnedDiscount))*'2Day Base'!H41)*(1+ExpressFuelSurcharge),2)))*(1+FedEx_Markup),2)</f>
        <v>168.5</v>
      </c>
      <c r="I44" s="275">
        <f>ROUND((IF(MinBase2Day&gt;ROUND(((1-(TwoDayDiscount_21_Up+FedExExrpessEarnedDiscount))*'2Day Base'!I41),2),ROUND(MinBase2Day*(1+ExpressFuelSurcharge),2),ROUND(((1-(TwoDayDiscount_21_Up+FedExExrpessEarnedDiscount))*'2Day Base'!I41)*(1+ExpressFuelSurcharge),2)))*(1+FedEx_Markup),2)</f>
        <v>177.02</v>
      </c>
      <c r="J44" s="275">
        <f>ROUND((IF(MinBase2Day&gt;ROUND(((1-(TwoDayDiscount_21_Up+FedExExrpessEarnedDiscount))*'2Day Base'!J41),2),ROUND(MinBase2Day*(1+ExpressFuelSurcharge),2),ROUND(((1-(TwoDayDiscount_21_Up+FedExExrpessEarnedDiscount))*'2Day Base'!J41)*(1+ExpressFuelSurcharge),2)))*(1+FedEx_Markup),2)</f>
        <v>177.02</v>
      </c>
      <c r="K44" s="275">
        <f>ROUND((IF(MinBase2Day&gt;ROUND(((1-(TwoDayDiscount_21_Up+FedExExrpessEarnedDiscount))*'2Day Base'!K41),2),ROUND(MinBase2Day*(1+ExpressFuelSurcharge),2),ROUND(((1-(TwoDayDiscount_21_Up+FedExExrpessEarnedDiscount))*'2Day Base'!K41)*(1+ExpressFuelSurcharge),2)))*(1+FedEx_Markup),2)</f>
        <v>185.05</v>
      </c>
      <c r="L44" s="275">
        <f>ROUND((IF(MinBase2Day&gt;ROUND(((1-(TwoDayDiscount_21_Up+FedExExrpessEarnedDiscount))*'2Day Base'!L41),2),ROUND(MinBase2Day*(1+ExpressFuelSurcharge),2),ROUND(((1-(TwoDayDiscount_21_Up+FedExExrpessEarnedDiscount))*'2Day Base'!L41)*(1+ExpressFuelSurcharge),2)))*(1+FedEx_Markup),2)</f>
        <v>185.05</v>
      </c>
    </row>
    <row r="45" ht="12.75" customHeight="1">
      <c r="A45" s="274">
        <v>40.0</v>
      </c>
      <c r="B45" s="275">
        <f>ROUND((IF(MinBase2Day&gt;ROUND(((1-(TwoDayDiscount_21_Up+FedExExrpessEarnedDiscount))*'2Day Base'!B42),2),ROUND(MinBase2Day*(1+ExpressFuelSurcharge),2),ROUND(((1-(TwoDayDiscount_21_Up+FedExExrpessEarnedDiscount))*'2Day Base'!B42)*(1+ExpressFuelSurcharge),2)))*(1+FedEx_Markup),2)</f>
        <v>41.65</v>
      </c>
      <c r="C45" s="275">
        <f>ROUND((IF(MinBase2Day&gt;ROUND(((1-(TwoDayDiscount_21_Up+FedExExrpessEarnedDiscount))*'2Day Base'!C42),2),ROUND(MinBase2Day*(1+ExpressFuelSurcharge),2),ROUND(((1-(TwoDayDiscount_21_Up+FedExExrpessEarnedDiscount))*'2Day Base'!C42)*(1+ExpressFuelSurcharge),2)))*(1+FedEx_Markup),2)</f>
        <v>51.07</v>
      </c>
      <c r="D45" s="275">
        <f>ROUND((IF(MinBase2Day&gt;ROUND(((1-(TwoDayDiscount_21_Up+FedExExrpessEarnedDiscount))*'2Day Base'!D42),2),ROUND(MinBase2Day*(1+ExpressFuelSurcharge),2),ROUND(((1-(TwoDayDiscount_21_Up+FedExExrpessEarnedDiscount))*'2Day Base'!D42)*(1+ExpressFuelSurcharge),2)))*(1+FedEx_Markup),2)</f>
        <v>65.19</v>
      </c>
      <c r="E45" s="275">
        <f>ROUND((IF(MinBase2Day&gt;ROUND(((1-(TwoDayDiscount_21_Up+FedExExrpessEarnedDiscount))*'2Day Base'!E42),2),ROUND(MinBase2Day*(1+ExpressFuelSurcharge),2),ROUND(((1-(TwoDayDiscount_21_Up+FedExExrpessEarnedDiscount))*'2Day Base'!E42)*(1+ExpressFuelSurcharge),2)))*(1+FedEx_Markup),2)</f>
        <v>100.51</v>
      </c>
      <c r="F45" s="275">
        <f>ROUND((IF(MinBase2Day&gt;ROUND(((1-(TwoDayDiscount_21_Up+FedExExrpessEarnedDiscount))*'2Day Base'!F42),2),ROUND(MinBase2Day*(1+ExpressFuelSurcharge),2),ROUND(((1-(TwoDayDiscount_21_Up+FedExExrpessEarnedDiscount))*'2Day Base'!F42)*(1+ExpressFuelSurcharge),2)))*(1+FedEx_Markup),2)</f>
        <v>153.65</v>
      </c>
      <c r="G45" s="275">
        <f>ROUND((IF(MinBase2Day&gt;ROUND(((1-(TwoDayDiscount_21_Up+FedExExrpessEarnedDiscount))*'2Day Base'!G42),2),ROUND(MinBase2Day*(1+ExpressFuelSurcharge),2),ROUND(((1-(TwoDayDiscount_21_Up+FedExExrpessEarnedDiscount))*'2Day Base'!G42)*(1+ExpressFuelSurcharge),2)))*(1+FedEx_Markup),2)</f>
        <v>167.3</v>
      </c>
      <c r="H45" s="275">
        <f>ROUND((IF(MinBase2Day&gt;ROUND(((1-(TwoDayDiscount_21_Up+FedExExrpessEarnedDiscount))*'2Day Base'!H42),2),ROUND(MinBase2Day*(1+ExpressFuelSurcharge),2),ROUND(((1-(TwoDayDiscount_21_Up+FedExExrpessEarnedDiscount))*'2Day Base'!H42)*(1+ExpressFuelSurcharge),2)))*(1+FedEx_Markup),2)</f>
        <v>172.22</v>
      </c>
      <c r="I45" s="275">
        <f>ROUND((IF(MinBase2Day&gt;ROUND(((1-(TwoDayDiscount_21_Up+FedExExrpessEarnedDiscount))*'2Day Base'!I42),2),ROUND(MinBase2Day*(1+ExpressFuelSurcharge),2),ROUND(((1-(TwoDayDiscount_21_Up+FedExExrpessEarnedDiscount))*'2Day Base'!I42)*(1+ExpressFuelSurcharge),2)))*(1+FedEx_Markup),2)</f>
        <v>180.55</v>
      </c>
      <c r="J45" s="275">
        <f>ROUND((IF(MinBase2Day&gt;ROUND(((1-(TwoDayDiscount_21_Up+FedExExrpessEarnedDiscount))*'2Day Base'!J42),2),ROUND(MinBase2Day*(1+ExpressFuelSurcharge),2),ROUND(((1-(TwoDayDiscount_21_Up+FedExExrpessEarnedDiscount))*'2Day Base'!J42)*(1+ExpressFuelSurcharge),2)))*(1+FedEx_Markup),2)</f>
        <v>180.55</v>
      </c>
      <c r="K45" s="275">
        <f>ROUND((IF(MinBase2Day&gt;ROUND(((1-(TwoDayDiscount_21_Up+FedExExrpessEarnedDiscount))*'2Day Base'!K42),2),ROUND(MinBase2Day*(1+ExpressFuelSurcharge),2),ROUND(((1-(TwoDayDiscount_21_Up+FedExExrpessEarnedDiscount))*'2Day Base'!K42)*(1+ExpressFuelSurcharge),2)))*(1+FedEx_Markup),2)</f>
        <v>186.84</v>
      </c>
      <c r="L45" s="275">
        <f>ROUND((IF(MinBase2Day&gt;ROUND(((1-(TwoDayDiscount_21_Up+FedExExrpessEarnedDiscount))*'2Day Base'!L42),2),ROUND(MinBase2Day*(1+ExpressFuelSurcharge),2),ROUND(((1-(TwoDayDiscount_21_Up+FedExExrpessEarnedDiscount))*'2Day Base'!L42)*(1+ExpressFuelSurcharge),2)))*(1+FedEx_Markup),2)</f>
        <v>186.84</v>
      </c>
    </row>
    <row r="46" ht="12.75" customHeight="1">
      <c r="A46" s="274">
        <v>41.0</v>
      </c>
      <c r="B46" s="275">
        <f>ROUND((IF(MinBase2Day&gt;ROUND(((1-(TwoDayDiscount_21_Up+FedExExrpessEarnedDiscount))*'2Day Base'!B43),2),ROUND(MinBase2Day*(1+ExpressFuelSurcharge),2),ROUND(((1-(TwoDayDiscount_21_Up+FedExExrpessEarnedDiscount))*'2Day Base'!B43)*(1+ExpressFuelSurcharge),2)))*(1+FedEx_Markup),2)</f>
        <v>43.68</v>
      </c>
      <c r="C46" s="275">
        <f>ROUND((IF(MinBase2Day&gt;ROUND(((1-(TwoDayDiscount_21_Up+FedExExrpessEarnedDiscount))*'2Day Base'!C43),2),ROUND(MinBase2Day*(1+ExpressFuelSurcharge),2),ROUND(((1-(TwoDayDiscount_21_Up+FedExExrpessEarnedDiscount))*'2Day Base'!C43)*(1+ExpressFuelSurcharge),2)))*(1+FedEx_Markup),2)</f>
        <v>52.3</v>
      </c>
      <c r="D46" s="275">
        <f>ROUND((IF(MinBase2Day&gt;ROUND(((1-(TwoDayDiscount_21_Up+FedExExrpessEarnedDiscount))*'2Day Base'!D43),2),ROUND(MinBase2Day*(1+ExpressFuelSurcharge),2),ROUND(((1-(TwoDayDiscount_21_Up+FedExExrpessEarnedDiscount))*'2Day Base'!D43)*(1+ExpressFuelSurcharge),2)))*(1+FedEx_Markup),2)</f>
        <v>65.95</v>
      </c>
      <c r="E46" s="275">
        <f>ROUND((IF(MinBase2Day&gt;ROUND(((1-(TwoDayDiscount_21_Up+FedExExrpessEarnedDiscount))*'2Day Base'!E43),2),ROUND(MinBase2Day*(1+ExpressFuelSurcharge),2),ROUND(((1-(TwoDayDiscount_21_Up+FedExExrpessEarnedDiscount))*'2Day Base'!E43)*(1+ExpressFuelSurcharge),2)))*(1+FedEx_Markup),2)</f>
        <v>102.36</v>
      </c>
      <c r="F46" s="275">
        <f>ROUND((IF(MinBase2Day&gt;ROUND(((1-(TwoDayDiscount_21_Up+FedExExrpessEarnedDiscount))*'2Day Base'!F43),2),ROUND(MinBase2Day*(1+ExpressFuelSurcharge),2),ROUND(((1-(TwoDayDiscount_21_Up+FedExExrpessEarnedDiscount))*'2Day Base'!F43)*(1+ExpressFuelSurcharge),2)))*(1+FedEx_Markup),2)</f>
        <v>157.12</v>
      </c>
      <c r="G46" s="275">
        <f>ROUND((IF(MinBase2Day&gt;ROUND(((1-(TwoDayDiscount_21_Up+FedExExrpessEarnedDiscount))*'2Day Base'!G43),2),ROUND(MinBase2Day*(1+ExpressFuelSurcharge),2),ROUND(((1-(TwoDayDiscount_21_Up+FedExExrpessEarnedDiscount))*'2Day Base'!G43)*(1+ExpressFuelSurcharge),2)))*(1+FedEx_Markup),2)</f>
        <v>171.66</v>
      </c>
      <c r="H46" s="275">
        <f>ROUND((IF(MinBase2Day&gt;ROUND(((1-(TwoDayDiscount_21_Up+FedExExrpessEarnedDiscount))*'2Day Base'!H43),2),ROUND(MinBase2Day*(1+ExpressFuelSurcharge),2),ROUND(((1-(TwoDayDiscount_21_Up+FedExExrpessEarnedDiscount))*'2Day Base'!H43)*(1+ExpressFuelSurcharge),2)))*(1+FedEx_Markup),2)</f>
        <v>176.88</v>
      </c>
      <c r="I46" s="275">
        <f>ROUND((IF(MinBase2Day&gt;ROUND(((1-(TwoDayDiscount_21_Up+FedExExrpessEarnedDiscount))*'2Day Base'!I43),2),ROUND(MinBase2Day*(1+ExpressFuelSurcharge),2),ROUND(((1-(TwoDayDiscount_21_Up+FedExExrpessEarnedDiscount))*'2Day Base'!I43)*(1+ExpressFuelSurcharge),2)))*(1+FedEx_Markup),2)</f>
        <v>184.49</v>
      </c>
      <c r="J46" s="275">
        <f>ROUND((IF(MinBase2Day&gt;ROUND(((1-(TwoDayDiscount_21_Up+FedExExrpessEarnedDiscount))*'2Day Base'!J43),2),ROUND(MinBase2Day*(1+ExpressFuelSurcharge),2),ROUND(((1-(TwoDayDiscount_21_Up+FedExExrpessEarnedDiscount))*'2Day Base'!J43)*(1+ExpressFuelSurcharge),2)))*(1+FedEx_Markup),2)</f>
        <v>184.49</v>
      </c>
      <c r="K46" s="275">
        <f>ROUND((IF(MinBase2Day&gt;ROUND(((1-(TwoDayDiscount_21_Up+FedExExrpessEarnedDiscount))*'2Day Base'!K43),2),ROUND(MinBase2Day*(1+ExpressFuelSurcharge),2),ROUND(((1-(TwoDayDiscount_21_Up+FedExExrpessEarnedDiscount))*'2Day Base'!K43)*(1+ExpressFuelSurcharge),2)))*(1+FedEx_Markup),2)</f>
        <v>191.15</v>
      </c>
      <c r="L46" s="275">
        <f>ROUND((IF(MinBase2Day&gt;ROUND(((1-(TwoDayDiscount_21_Up+FedExExrpessEarnedDiscount))*'2Day Base'!L43),2),ROUND(MinBase2Day*(1+ExpressFuelSurcharge),2),ROUND(((1-(TwoDayDiscount_21_Up+FedExExrpessEarnedDiscount))*'2Day Base'!L43)*(1+ExpressFuelSurcharge),2)))*(1+FedEx_Markup),2)</f>
        <v>191.15</v>
      </c>
    </row>
    <row r="47" ht="12.75" customHeight="1">
      <c r="A47" s="274">
        <v>42.0</v>
      </c>
      <c r="B47" s="275">
        <f>ROUND((IF(MinBase2Day&gt;ROUND(((1-(TwoDayDiscount_21_Up+FedExExrpessEarnedDiscount))*'2Day Base'!B44),2),ROUND(MinBase2Day*(1+ExpressFuelSurcharge),2),ROUND(((1-(TwoDayDiscount_21_Up+FedExExrpessEarnedDiscount))*'2Day Base'!B44)*(1+ExpressFuelSurcharge),2)))*(1+FedEx_Markup),2)</f>
        <v>44.39</v>
      </c>
      <c r="C47" s="275">
        <f>ROUND((IF(MinBase2Day&gt;ROUND(((1-(TwoDayDiscount_21_Up+FedExExrpessEarnedDiscount))*'2Day Base'!C44),2),ROUND(MinBase2Day*(1+ExpressFuelSurcharge),2),ROUND(((1-(TwoDayDiscount_21_Up+FedExExrpessEarnedDiscount))*'2Day Base'!C44)*(1+ExpressFuelSurcharge),2)))*(1+FedEx_Markup),2)</f>
        <v>53.57</v>
      </c>
      <c r="D47" s="275">
        <f>ROUND((IF(MinBase2Day&gt;ROUND(((1-(TwoDayDiscount_21_Up+FedExExrpessEarnedDiscount))*'2Day Base'!D44),2),ROUND(MinBase2Day*(1+ExpressFuelSurcharge),2),ROUND(((1-(TwoDayDiscount_21_Up+FedExExrpessEarnedDiscount))*'2Day Base'!D44)*(1+ExpressFuelSurcharge),2)))*(1+FedEx_Markup),2)</f>
        <v>67.3</v>
      </c>
      <c r="E47" s="275">
        <f>ROUND((IF(MinBase2Day&gt;ROUND(((1-(TwoDayDiscount_21_Up+FedExExrpessEarnedDiscount))*'2Day Base'!E44),2),ROUND(MinBase2Day*(1+ExpressFuelSurcharge),2),ROUND(((1-(TwoDayDiscount_21_Up+FedExExrpessEarnedDiscount))*'2Day Base'!E44)*(1+ExpressFuelSurcharge),2)))*(1+FedEx_Markup),2)</f>
        <v>104.51</v>
      </c>
      <c r="F47" s="275">
        <f>ROUND((IF(MinBase2Day&gt;ROUND(((1-(TwoDayDiscount_21_Up+FedExExrpessEarnedDiscount))*'2Day Base'!F44),2),ROUND(MinBase2Day*(1+ExpressFuelSurcharge),2),ROUND(((1-(TwoDayDiscount_21_Up+FedExExrpessEarnedDiscount))*'2Day Base'!F44)*(1+ExpressFuelSurcharge),2)))*(1+FedEx_Markup),2)</f>
        <v>160.49</v>
      </c>
      <c r="G47" s="275">
        <f>ROUND((IF(MinBase2Day&gt;ROUND(((1-(TwoDayDiscount_21_Up+FedExExrpessEarnedDiscount))*'2Day Base'!G44),2),ROUND(MinBase2Day*(1+ExpressFuelSurcharge),2),ROUND(((1-(TwoDayDiscount_21_Up+FedExExrpessEarnedDiscount))*'2Day Base'!G44)*(1+ExpressFuelSurcharge),2)))*(1+FedEx_Markup),2)</f>
        <v>175.89</v>
      </c>
      <c r="H47" s="275">
        <f>ROUND((IF(MinBase2Day&gt;ROUND(((1-(TwoDayDiscount_21_Up+FedExExrpessEarnedDiscount))*'2Day Base'!H44),2),ROUND(MinBase2Day*(1+ExpressFuelSurcharge),2),ROUND(((1-(TwoDayDiscount_21_Up+FedExExrpessEarnedDiscount))*'2Day Base'!H44)*(1+ExpressFuelSurcharge),2)))*(1+FedEx_Markup),2)</f>
        <v>181.32</v>
      </c>
      <c r="I47" s="275">
        <f>ROUND((IF(MinBase2Day&gt;ROUND(((1-(TwoDayDiscount_21_Up+FedExExrpessEarnedDiscount))*'2Day Base'!I44),2),ROUND(MinBase2Day*(1+ExpressFuelSurcharge),2),ROUND(((1-(TwoDayDiscount_21_Up+FedExExrpessEarnedDiscount))*'2Day Base'!I44)*(1+ExpressFuelSurcharge),2)))*(1+FedEx_Markup),2)</f>
        <v>187.83</v>
      </c>
      <c r="J47" s="275">
        <f>ROUND((IF(MinBase2Day&gt;ROUND(((1-(TwoDayDiscount_21_Up+FedExExrpessEarnedDiscount))*'2Day Base'!J44),2),ROUND(MinBase2Day*(1+ExpressFuelSurcharge),2),ROUND(((1-(TwoDayDiscount_21_Up+FedExExrpessEarnedDiscount))*'2Day Base'!J44)*(1+ExpressFuelSurcharge),2)))*(1+FedEx_Markup),2)</f>
        <v>187.83</v>
      </c>
      <c r="K47" s="275">
        <f>ROUND((IF(MinBase2Day&gt;ROUND(((1-(TwoDayDiscount_21_Up+FedExExrpessEarnedDiscount))*'2Day Base'!K44),2),ROUND(MinBase2Day*(1+ExpressFuelSurcharge),2),ROUND(((1-(TwoDayDiscount_21_Up+FedExExrpessEarnedDiscount))*'2Day Base'!K44)*(1+ExpressFuelSurcharge),2)))*(1+FedEx_Markup),2)</f>
        <v>191.59</v>
      </c>
      <c r="L47" s="275">
        <f>ROUND((IF(MinBase2Day&gt;ROUND(((1-(TwoDayDiscount_21_Up+FedExExrpessEarnedDiscount))*'2Day Base'!L44),2),ROUND(MinBase2Day*(1+ExpressFuelSurcharge),2),ROUND(((1-(TwoDayDiscount_21_Up+FedExExrpessEarnedDiscount))*'2Day Base'!L44)*(1+ExpressFuelSurcharge),2)))*(1+FedEx_Markup),2)</f>
        <v>191.59</v>
      </c>
    </row>
    <row r="48" ht="12.75" customHeight="1">
      <c r="A48" s="274">
        <v>43.0</v>
      </c>
      <c r="B48" s="275">
        <f>ROUND((IF(MinBase2Day&gt;ROUND(((1-(TwoDayDiscount_21_Up+FedExExrpessEarnedDiscount))*'2Day Base'!B45),2),ROUND(MinBase2Day*(1+ExpressFuelSurcharge),2),ROUND(((1-(TwoDayDiscount_21_Up+FedExExrpessEarnedDiscount))*'2Day Base'!B45)*(1+ExpressFuelSurcharge),2)))*(1+FedEx_Markup),2)</f>
        <v>45.32</v>
      </c>
      <c r="C48" s="275">
        <f>ROUND((IF(MinBase2Day&gt;ROUND(((1-(TwoDayDiscount_21_Up+FedExExrpessEarnedDiscount))*'2Day Base'!C45),2),ROUND(MinBase2Day*(1+ExpressFuelSurcharge),2),ROUND(((1-(TwoDayDiscount_21_Up+FedExExrpessEarnedDiscount))*'2Day Base'!C45)*(1+ExpressFuelSurcharge),2)))*(1+FedEx_Markup),2)</f>
        <v>54.68</v>
      </c>
      <c r="D48" s="275">
        <f>ROUND((IF(MinBase2Day&gt;ROUND(((1-(TwoDayDiscount_21_Up+FedExExrpessEarnedDiscount))*'2Day Base'!D45),2),ROUND(MinBase2Day*(1+ExpressFuelSurcharge),2),ROUND(((1-(TwoDayDiscount_21_Up+FedExExrpessEarnedDiscount))*'2Day Base'!D45)*(1+ExpressFuelSurcharge),2)))*(1+FedEx_Markup),2)</f>
        <v>68.32</v>
      </c>
      <c r="E48" s="275">
        <f>ROUND((IF(MinBase2Day&gt;ROUND(((1-(TwoDayDiscount_21_Up+FedExExrpessEarnedDiscount))*'2Day Base'!E45),2),ROUND(MinBase2Day*(1+ExpressFuelSurcharge),2),ROUND(((1-(TwoDayDiscount_21_Up+FedExExrpessEarnedDiscount))*'2Day Base'!E45)*(1+ExpressFuelSurcharge),2)))*(1+FedEx_Markup),2)</f>
        <v>106.26</v>
      </c>
      <c r="F48" s="275">
        <f>ROUND((IF(MinBase2Day&gt;ROUND(((1-(TwoDayDiscount_21_Up+FedExExrpessEarnedDiscount))*'2Day Base'!F45),2),ROUND(MinBase2Day*(1+ExpressFuelSurcharge),2),ROUND(((1-(TwoDayDiscount_21_Up+FedExExrpessEarnedDiscount))*'2Day Base'!F45)*(1+ExpressFuelSurcharge),2)))*(1+FedEx_Markup),2)</f>
        <v>164.27</v>
      </c>
      <c r="G48" s="275">
        <f>ROUND((IF(MinBase2Day&gt;ROUND(((1-(TwoDayDiscount_21_Up+FedExExrpessEarnedDiscount))*'2Day Base'!G45),2),ROUND(MinBase2Day*(1+ExpressFuelSurcharge),2),ROUND(((1-(TwoDayDiscount_21_Up+FedExExrpessEarnedDiscount))*'2Day Base'!G45)*(1+ExpressFuelSurcharge),2)))*(1+FedEx_Markup),2)</f>
        <v>179.16</v>
      </c>
      <c r="H48" s="275">
        <f>ROUND((IF(MinBase2Day&gt;ROUND(((1-(TwoDayDiscount_21_Up+FedExExrpessEarnedDiscount))*'2Day Base'!H45),2),ROUND(MinBase2Day*(1+ExpressFuelSurcharge),2),ROUND(((1-(TwoDayDiscount_21_Up+FedExExrpessEarnedDiscount))*'2Day Base'!H45)*(1+ExpressFuelSurcharge),2)))*(1+FedEx_Markup),2)</f>
        <v>185.1</v>
      </c>
      <c r="I48" s="275">
        <f>ROUND((IF(MinBase2Day&gt;ROUND(((1-(TwoDayDiscount_21_Up+FedExExrpessEarnedDiscount))*'2Day Base'!I45),2),ROUND(MinBase2Day*(1+ExpressFuelSurcharge),2),ROUND(((1-(TwoDayDiscount_21_Up+FedExExrpessEarnedDiscount))*'2Day Base'!I45)*(1+ExpressFuelSurcharge),2)))*(1+FedEx_Markup),2)</f>
        <v>192.22</v>
      </c>
      <c r="J48" s="275">
        <f>ROUND((IF(MinBase2Day&gt;ROUND(((1-(TwoDayDiscount_21_Up+FedExExrpessEarnedDiscount))*'2Day Base'!J45),2),ROUND(MinBase2Day*(1+ExpressFuelSurcharge),2),ROUND(((1-(TwoDayDiscount_21_Up+FedExExrpessEarnedDiscount))*'2Day Base'!J45)*(1+ExpressFuelSurcharge),2)))*(1+FedEx_Markup),2)</f>
        <v>192.22</v>
      </c>
      <c r="K48" s="275">
        <f>ROUND((IF(MinBase2Day&gt;ROUND(((1-(TwoDayDiscount_21_Up+FedExExrpessEarnedDiscount))*'2Day Base'!K45),2),ROUND(MinBase2Day*(1+ExpressFuelSurcharge),2),ROUND(((1-(TwoDayDiscount_21_Up+FedExExrpessEarnedDiscount))*'2Day Base'!K45)*(1+ExpressFuelSurcharge),2)))*(1+FedEx_Markup),2)</f>
        <v>200.09</v>
      </c>
      <c r="L48" s="275">
        <f>ROUND((IF(MinBase2Day&gt;ROUND(((1-(TwoDayDiscount_21_Up+FedExExrpessEarnedDiscount))*'2Day Base'!L45),2),ROUND(MinBase2Day*(1+ExpressFuelSurcharge),2),ROUND(((1-(TwoDayDiscount_21_Up+FedExExrpessEarnedDiscount))*'2Day Base'!L45)*(1+ExpressFuelSurcharge),2)))*(1+FedEx_Markup),2)</f>
        <v>200.09</v>
      </c>
    </row>
    <row r="49" ht="12.75" customHeight="1">
      <c r="A49" s="274">
        <v>44.0</v>
      </c>
      <c r="B49" s="275">
        <f>ROUND((IF(MinBase2Day&gt;ROUND(((1-(TwoDayDiscount_21_Up+FedExExrpessEarnedDiscount))*'2Day Base'!B46),2),ROUND(MinBase2Day*(1+ExpressFuelSurcharge),2),ROUND(((1-(TwoDayDiscount_21_Up+FedExExrpessEarnedDiscount))*'2Day Base'!B46)*(1+ExpressFuelSurcharge),2)))*(1+FedEx_Markup),2)</f>
        <v>46.09</v>
      </c>
      <c r="C49" s="275">
        <f>ROUND((IF(MinBase2Day&gt;ROUND(((1-(TwoDayDiscount_21_Up+FedExExrpessEarnedDiscount))*'2Day Base'!C46),2),ROUND(MinBase2Day*(1+ExpressFuelSurcharge),2),ROUND(((1-(TwoDayDiscount_21_Up+FedExExrpessEarnedDiscount))*'2Day Base'!C46)*(1+ExpressFuelSurcharge),2)))*(1+FedEx_Markup),2)</f>
        <v>55.36</v>
      </c>
      <c r="D49" s="275">
        <f>ROUND((IF(MinBase2Day&gt;ROUND(((1-(TwoDayDiscount_21_Up+FedExExrpessEarnedDiscount))*'2Day Base'!D46),2),ROUND(MinBase2Day*(1+ExpressFuelSurcharge),2),ROUND(((1-(TwoDayDiscount_21_Up+FedExExrpessEarnedDiscount))*'2Day Base'!D46)*(1+ExpressFuelSurcharge),2)))*(1+FedEx_Markup),2)</f>
        <v>69.87</v>
      </c>
      <c r="E49" s="275">
        <f>ROUND((IF(MinBase2Day&gt;ROUND(((1-(TwoDayDiscount_21_Up+FedExExrpessEarnedDiscount))*'2Day Base'!E46),2),ROUND(MinBase2Day*(1+ExpressFuelSurcharge),2),ROUND(((1-(TwoDayDiscount_21_Up+FedExExrpessEarnedDiscount))*'2Day Base'!E46)*(1+ExpressFuelSurcharge),2)))*(1+FedEx_Markup),2)</f>
        <v>108.16</v>
      </c>
      <c r="F49" s="275">
        <f>ROUND((IF(MinBase2Day&gt;ROUND(((1-(TwoDayDiscount_21_Up+FedExExrpessEarnedDiscount))*'2Day Base'!F46),2),ROUND(MinBase2Day*(1+ExpressFuelSurcharge),2),ROUND(((1-(TwoDayDiscount_21_Up+FedExExrpessEarnedDiscount))*'2Day Base'!F46)*(1+ExpressFuelSurcharge),2)))*(1+FedEx_Markup),2)</f>
        <v>167.47</v>
      </c>
      <c r="G49" s="275">
        <f>ROUND((IF(MinBase2Day&gt;ROUND(((1-(TwoDayDiscount_21_Up+FedExExrpessEarnedDiscount))*'2Day Base'!G46),2),ROUND(MinBase2Day*(1+ExpressFuelSurcharge),2),ROUND(((1-(TwoDayDiscount_21_Up+FedExExrpessEarnedDiscount))*'2Day Base'!G46)*(1+ExpressFuelSurcharge),2)))*(1+FedEx_Markup),2)</f>
        <v>182.21</v>
      </c>
      <c r="H49" s="275">
        <f>ROUND((IF(MinBase2Day&gt;ROUND(((1-(TwoDayDiscount_21_Up+FedExExrpessEarnedDiscount))*'2Day Base'!H46),2),ROUND(MinBase2Day*(1+ExpressFuelSurcharge),2),ROUND(((1-(TwoDayDiscount_21_Up+FedExExrpessEarnedDiscount))*'2Day Base'!H46)*(1+ExpressFuelSurcharge),2)))*(1+FedEx_Markup),2)</f>
        <v>188.75</v>
      </c>
      <c r="I49" s="275">
        <f>ROUND((IF(MinBase2Day&gt;ROUND(((1-(TwoDayDiscount_21_Up+FedExExrpessEarnedDiscount))*'2Day Base'!I46),2),ROUND(MinBase2Day*(1+ExpressFuelSurcharge),2),ROUND(((1-(TwoDayDiscount_21_Up+FedExExrpessEarnedDiscount))*'2Day Base'!I46)*(1+ExpressFuelSurcharge),2)))*(1+FedEx_Markup),2)</f>
        <v>196.04</v>
      </c>
      <c r="J49" s="275">
        <f>ROUND((IF(MinBase2Day&gt;ROUND(((1-(TwoDayDiscount_21_Up+FedExExrpessEarnedDiscount))*'2Day Base'!J46),2),ROUND(MinBase2Day*(1+ExpressFuelSurcharge),2),ROUND(((1-(TwoDayDiscount_21_Up+FedExExrpessEarnedDiscount))*'2Day Base'!J46)*(1+ExpressFuelSurcharge),2)))*(1+FedEx_Markup),2)</f>
        <v>196.04</v>
      </c>
      <c r="K49" s="275">
        <f>ROUND((IF(MinBase2Day&gt;ROUND(((1-(TwoDayDiscount_21_Up+FedExExrpessEarnedDiscount))*'2Day Base'!K46),2),ROUND(MinBase2Day*(1+ExpressFuelSurcharge),2),ROUND(((1-(TwoDayDiscount_21_Up+FedExExrpessEarnedDiscount))*'2Day Base'!K46)*(1+ExpressFuelSurcharge),2)))*(1+FedEx_Markup),2)</f>
        <v>203.46</v>
      </c>
      <c r="L49" s="275">
        <f>ROUND((IF(MinBase2Day&gt;ROUND(((1-(TwoDayDiscount_21_Up+FedExExrpessEarnedDiscount))*'2Day Base'!L46),2),ROUND(MinBase2Day*(1+ExpressFuelSurcharge),2),ROUND(((1-(TwoDayDiscount_21_Up+FedExExrpessEarnedDiscount))*'2Day Base'!L46)*(1+ExpressFuelSurcharge),2)))*(1+FedEx_Markup),2)</f>
        <v>203.46</v>
      </c>
    </row>
    <row r="50" ht="12.75" customHeight="1">
      <c r="A50" s="274">
        <v>45.0</v>
      </c>
      <c r="B50" s="275">
        <f>ROUND((IF(MinBase2Day&gt;ROUND(((1-(TwoDayDiscount_21_Up+FedExExrpessEarnedDiscount))*'2Day Base'!B47),2),ROUND(MinBase2Day*(1+ExpressFuelSurcharge),2),ROUND(((1-(TwoDayDiscount_21_Up+FedExExrpessEarnedDiscount))*'2Day Base'!B47)*(1+ExpressFuelSurcharge),2)))*(1+FedEx_Markup),2)</f>
        <v>46.3</v>
      </c>
      <c r="C50" s="275">
        <f>ROUND((IF(MinBase2Day&gt;ROUND(((1-(TwoDayDiscount_21_Up+FedExExrpessEarnedDiscount))*'2Day Base'!C47),2),ROUND(MinBase2Day*(1+ExpressFuelSurcharge),2),ROUND(((1-(TwoDayDiscount_21_Up+FedExExrpessEarnedDiscount))*'2Day Base'!C47)*(1+ExpressFuelSurcharge),2)))*(1+FedEx_Markup),2)</f>
        <v>56.72</v>
      </c>
      <c r="D50" s="275">
        <f>ROUND((IF(MinBase2Day&gt;ROUND(((1-(TwoDayDiscount_21_Up+FedExExrpessEarnedDiscount))*'2Day Base'!D47),2),ROUND(MinBase2Day*(1+ExpressFuelSurcharge),2),ROUND(((1-(TwoDayDiscount_21_Up+FedExExrpessEarnedDiscount))*'2Day Base'!D47)*(1+ExpressFuelSurcharge),2)))*(1+FedEx_Markup),2)</f>
        <v>70.89</v>
      </c>
      <c r="E50" s="275">
        <f>ROUND((IF(MinBase2Day&gt;ROUND(((1-(TwoDayDiscount_21_Up+FedExExrpessEarnedDiscount))*'2Day Base'!E47),2),ROUND(MinBase2Day*(1+ExpressFuelSurcharge),2),ROUND(((1-(TwoDayDiscount_21_Up+FedExExrpessEarnedDiscount))*'2Day Base'!E47)*(1+ExpressFuelSurcharge),2)))*(1+FedEx_Markup),2)</f>
        <v>109.65</v>
      </c>
      <c r="F50" s="275">
        <f>ROUND((IF(MinBase2Day&gt;ROUND(((1-(TwoDayDiscount_21_Up+FedExExrpessEarnedDiscount))*'2Day Base'!F47),2),ROUND(MinBase2Day*(1+ExpressFuelSurcharge),2),ROUND(((1-(TwoDayDiscount_21_Up+FedExExrpessEarnedDiscount))*'2Day Base'!F47)*(1+ExpressFuelSurcharge),2)))*(1+FedEx_Markup),2)</f>
        <v>170.52</v>
      </c>
      <c r="G50" s="275">
        <f>ROUND((IF(MinBase2Day&gt;ROUND(((1-(TwoDayDiscount_21_Up+FedExExrpessEarnedDiscount))*'2Day Base'!G47),2),ROUND(MinBase2Day*(1+ExpressFuelSurcharge),2),ROUND(((1-(TwoDayDiscount_21_Up+FedExExrpessEarnedDiscount))*'2Day Base'!G47)*(1+ExpressFuelSurcharge),2)))*(1+FedEx_Markup),2)</f>
        <v>185.61</v>
      </c>
      <c r="H50" s="275">
        <f>ROUND((IF(MinBase2Day&gt;ROUND(((1-(TwoDayDiscount_21_Up+FedExExrpessEarnedDiscount))*'2Day Base'!H47),2),ROUND(MinBase2Day*(1+ExpressFuelSurcharge),2),ROUND(((1-(TwoDayDiscount_21_Up+FedExExrpessEarnedDiscount))*'2Day Base'!H47)*(1+ExpressFuelSurcharge),2)))*(1+FedEx_Markup),2)</f>
        <v>191.57</v>
      </c>
      <c r="I50" s="275">
        <f>ROUND((IF(MinBase2Day&gt;ROUND(((1-(TwoDayDiscount_21_Up+FedExExrpessEarnedDiscount))*'2Day Base'!I47),2),ROUND(MinBase2Day*(1+ExpressFuelSurcharge),2),ROUND(((1-(TwoDayDiscount_21_Up+FedExExrpessEarnedDiscount))*'2Day Base'!I47)*(1+ExpressFuelSurcharge),2)))*(1+FedEx_Markup),2)</f>
        <v>198.89</v>
      </c>
      <c r="J50" s="275">
        <f>ROUND((IF(MinBase2Day&gt;ROUND(((1-(TwoDayDiscount_21_Up+FedExExrpessEarnedDiscount))*'2Day Base'!J47),2),ROUND(MinBase2Day*(1+ExpressFuelSurcharge),2),ROUND(((1-(TwoDayDiscount_21_Up+FedExExrpessEarnedDiscount))*'2Day Base'!J47)*(1+ExpressFuelSurcharge),2)))*(1+FedEx_Markup),2)</f>
        <v>198.89</v>
      </c>
      <c r="K50" s="275">
        <f>ROUND((IF(MinBase2Day&gt;ROUND(((1-(TwoDayDiscount_21_Up+FedExExrpessEarnedDiscount))*'2Day Base'!K47),2),ROUND(MinBase2Day*(1+ExpressFuelSurcharge),2),ROUND(((1-(TwoDayDiscount_21_Up+FedExExrpessEarnedDiscount))*'2Day Base'!K47)*(1+ExpressFuelSurcharge),2)))*(1+FedEx_Markup),2)</f>
        <v>205.26</v>
      </c>
      <c r="L50" s="275">
        <f>ROUND((IF(MinBase2Day&gt;ROUND(((1-(TwoDayDiscount_21_Up+FedExExrpessEarnedDiscount))*'2Day Base'!L47),2),ROUND(MinBase2Day*(1+ExpressFuelSurcharge),2),ROUND(((1-(TwoDayDiscount_21_Up+FedExExrpessEarnedDiscount))*'2Day Base'!L47)*(1+ExpressFuelSurcharge),2)))*(1+FedEx_Markup),2)</f>
        <v>205.26</v>
      </c>
    </row>
    <row r="51" ht="12.75" customHeight="1">
      <c r="A51" s="274">
        <v>46.0</v>
      </c>
      <c r="B51" s="275">
        <f>ROUND((IF(MinBase2Day&gt;ROUND(((1-(TwoDayDiscount_21_Up+FedExExrpessEarnedDiscount))*'2Day Base'!B48),2),ROUND(MinBase2Day*(1+ExpressFuelSurcharge),2),ROUND(((1-(TwoDayDiscount_21_Up+FedExExrpessEarnedDiscount))*'2Day Base'!B48)*(1+ExpressFuelSurcharge),2)))*(1+FedEx_Markup),2)</f>
        <v>47.73</v>
      </c>
      <c r="C51" s="275">
        <f>ROUND((IF(MinBase2Day&gt;ROUND(((1-(TwoDayDiscount_21_Up+FedExExrpessEarnedDiscount))*'2Day Base'!C48),2),ROUND(MinBase2Day*(1+ExpressFuelSurcharge),2),ROUND(((1-(TwoDayDiscount_21_Up+FedExExrpessEarnedDiscount))*'2Day Base'!C48)*(1+ExpressFuelSurcharge),2)))*(1+FedEx_Markup),2)</f>
        <v>57.35</v>
      </c>
      <c r="D51" s="275">
        <f>ROUND((IF(MinBase2Day&gt;ROUND(((1-(TwoDayDiscount_21_Up+FedExExrpessEarnedDiscount))*'2Day Base'!D48),2),ROUND(MinBase2Day*(1+ExpressFuelSurcharge),2),ROUND(((1-(TwoDayDiscount_21_Up+FedExExrpessEarnedDiscount))*'2Day Base'!D48)*(1+ExpressFuelSurcharge),2)))*(1+FedEx_Markup),2)</f>
        <v>72.31</v>
      </c>
      <c r="E51" s="275">
        <f>ROUND((IF(MinBase2Day&gt;ROUND(((1-(TwoDayDiscount_21_Up+FedExExrpessEarnedDiscount))*'2Day Base'!E48),2),ROUND(MinBase2Day*(1+ExpressFuelSurcharge),2),ROUND(((1-(TwoDayDiscount_21_Up+FedExExrpessEarnedDiscount))*'2Day Base'!E48)*(1+ExpressFuelSurcharge),2)))*(1+FedEx_Markup),2)</f>
        <v>110.78</v>
      </c>
      <c r="F51" s="275">
        <f>ROUND((IF(MinBase2Day&gt;ROUND(((1-(TwoDayDiscount_21_Up+FedExExrpessEarnedDiscount))*'2Day Base'!F48),2),ROUND(MinBase2Day*(1+ExpressFuelSurcharge),2),ROUND(((1-(TwoDayDiscount_21_Up+FedExExrpessEarnedDiscount))*'2Day Base'!F48)*(1+ExpressFuelSurcharge),2)))*(1+FedEx_Markup),2)</f>
        <v>173.41</v>
      </c>
      <c r="G51" s="275">
        <f>ROUND((IF(MinBase2Day&gt;ROUND(((1-(TwoDayDiscount_21_Up+FedExExrpessEarnedDiscount))*'2Day Base'!G48),2),ROUND(MinBase2Day*(1+ExpressFuelSurcharge),2),ROUND(((1-(TwoDayDiscount_21_Up+FedExExrpessEarnedDiscount))*'2Day Base'!G48)*(1+ExpressFuelSurcharge),2)))*(1+FedEx_Markup),2)</f>
        <v>188.61</v>
      </c>
      <c r="H51" s="275">
        <f>ROUND((IF(MinBase2Day&gt;ROUND(((1-(TwoDayDiscount_21_Up+FedExExrpessEarnedDiscount))*'2Day Base'!H48),2),ROUND(MinBase2Day*(1+ExpressFuelSurcharge),2),ROUND(((1-(TwoDayDiscount_21_Up+FedExExrpessEarnedDiscount))*'2Day Base'!H48)*(1+ExpressFuelSurcharge),2)))*(1+FedEx_Markup),2)</f>
        <v>195.7</v>
      </c>
      <c r="I51" s="275">
        <f>ROUND((IF(MinBase2Day&gt;ROUND(((1-(TwoDayDiscount_21_Up+FedExExrpessEarnedDiscount))*'2Day Base'!I48),2),ROUND(MinBase2Day*(1+ExpressFuelSurcharge),2),ROUND(((1-(TwoDayDiscount_21_Up+FedExExrpessEarnedDiscount))*'2Day Base'!I48)*(1+ExpressFuelSurcharge),2)))*(1+FedEx_Markup),2)</f>
        <v>199.86</v>
      </c>
      <c r="J51" s="275">
        <f>ROUND((IF(MinBase2Day&gt;ROUND(((1-(TwoDayDiscount_21_Up+FedExExrpessEarnedDiscount))*'2Day Base'!J48),2),ROUND(MinBase2Day*(1+ExpressFuelSurcharge),2),ROUND(((1-(TwoDayDiscount_21_Up+FedExExrpessEarnedDiscount))*'2Day Base'!J48)*(1+ExpressFuelSurcharge),2)))*(1+FedEx_Markup),2)</f>
        <v>199.86</v>
      </c>
      <c r="K51" s="275">
        <f>ROUND((IF(MinBase2Day&gt;ROUND(((1-(TwoDayDiscount_21_Up+FedExExrpessEarnedDiscount))*'2Day Base'!K48),2),ROUND(MinBase2Day*(1+ExpressFuelSurcharge),2),ROUND(((1-(TwoDayDiscount_21_Up+FedExExrpessEarnedDiscount))*'2Day Base'!K48)*(1+ExpressFuelSurcharge),2)))*(1+FedEx_Markup),2)</f>
        <v>205.46</v>
      </c>
      <c r="L51" s="275">
        <f>ROUND((IF(MinBase2Day&gt;ROUND(((1-(TwoDayDiscount_21_Up+FedExExrpessEarnedDiscount))*'2Day Base'!L48),2),ROUND(MinBase2Day*(1+ExpressFuelSurcharge),2),ROUND(((1-(TwoDayDiscount_21_Up+FedExExrpessEarnedDiscount))*'2Day Base'!L48)*(1+ExpressFuelSurcharge),2)))*(1+FedEx_Markup),2)</f>
        <v>205.46</v>
      </c>
    </row>
    <row r="52" ht="12.75" customHeight="1">
      <c r="A52" s="274">
        <v>47.0</v>
      </c>
      <c r="B52" s="275">
        <f>ROUND((IF(MinBase2Day&gt;ROUND(((1-(TwoDayDiscount_21_Up+FedExExrpessEarnedDiscount))*'2Day Base'!B49),2),ROUND(MinBase2Day*(1+ExpressFuelSurcharge),2),ROUND(((1-(TwoDayDiscount_21_Up+FedExExrpessEarnedDiscount))*'2Day Base'!B49)*(1+ExpressFuelSurcharge),2)))*(1+FedEx_Markup),2)</f>
        <v>47.87</v>
      </c>
      <c r="C52" s="275">
        <f>ROUND((IF(MinBase2Day&gt;ROUND(((1-(TwoDayDiscount_21_Up+FedExExrpessEarnedDiscount))*'2Day Base'!C49),2),ROUND(MinBase2Day*(1+ExpressFuelSurcharge),2),ROUND(((1-(TwoDayDiscount_21_Up+FedExExrpessEarnedDiscount))*'2Day Base'!C49)*(1+ExpressFuelSurcharge),2)))*(1+FedEx_Markup),2)</f>
        <v>57.48</v>
      </c>
      <c r="D52" s="275">
        <f>ROUND((IF(MinBase2Day&gt;ROUND(((1-(TwoDayDiscount_21_Up+FedExExrpessEarnedDiscount))*'2Day Base'!D49),2),ROUND(MinBase2Day*(1+ExpressFuelSurcharge),2),ROUND(((1-(TwoDayDiscount_21_Up+FedExExrpessEarnedDiscount))*'2Day Base'!D49)*(1+ExpressFuelSurcharge),2)))*(1+FedEx_Markup),2)</f>
        <v>73.52</v>
      </c>
      <c r="E52" s="275">
        <f>ROUND((IF(MinBase2Day&gt;ROUND(((1-(TwoDayDiscount_21_Up+FedExExrpessEarnedDiscount))*'2Day Base'!E49),2),ROUND(MinBase2Day*(1+ExpressFuelSurcharge),2),ROUND(((1-(TwoDayDiscount_21_Up+FedExExrpessEarnedDiscount))*'2Day Base'!E49)*(1+ExpressFuelSurcharge),2)))*(1+FedEx_Markup),2)</f>
        <v>110.92</v>
      </c>
      <c r="F52" s="275">
        <f>ROUND((IF(MinBase2Day&gt;ROUND(((1-(TwoDayDiscount_21_Up+FedExExrpessEarnedDiscount))*'2Day Base'!F49),2),ROUND(MinBase2Day*(1+ExpressFuelSurcharge),2),ROUND(((1-(TwoDayDiscount_21_Up+FedExExrpessEarnedDiscount))*'2Day Base'!F49)*(1+ExpressFuelSurcharge),2)))*(1+FedEx_Markup),2)</f>
        <v>173.72</v>
      </c>
      <c r="G52" s="275">
        <f>ROUND((IF(MinBase2Day&gt;ROUND(((1-(TwoDayDiscount_21_Up+FedExExrpessEarnedDiscount))*'2Day Base'!G49),2),ROUND(MinBase2Day*(1+ExpressFuelSurcharge),2),ROUND(((1-(TwoDayDiscount_21_Up+FedExExrpessEarnedDiscount))*'2Day Base'!G49)*(1+ExpressFuelSurcharge),2)))*(1+FedEx_Markup),2)</f>
        <v>188.92</v>
      </c>
      <c r="H52" s="275">
        <f>ROUND((IF(MinBase2Day&gt;ROUND(((1-(TwoDayDiscount_21_Up+FedExExrpessEarnedDiscount))*'2Day Base'!H49),2),ROUND(MinBase2Day*(1+ExpressFuelSurcharge),2),ROUND(((1-(TwoDayDiscount_21_Up+FedExExrpessEarnedDiscount))*'2Day Base'!H49)*(1+ExpressFuelSurcharge),2)))*(1+FedEx_Markup),2)</f>
        <v>196.12</v>
      </c>
      <c r="I52" s="275">
        <f>ROUND((IF(MinBase2Day&gt;ROUND(((1-(TwoDayDiscount_21_Up+FedExExrpessEarnedDiscount))*'2Day Base'!I49),2),ROUND(MinBase2Day*(1+ExpressFuelSurcharge),2),ROUND(((1-(TwoDayDiscount_21_Up+FedExExrpessEarnedDiscount))*'2Day Base'!I49)*(1+ExpressFuelSurcharge),2)))*(1+FedEx_Markup),2)</f>
        <v>200.04</v>
      </c>
      <c r="J52" s="275">
        <f>ROUND((IF(MinBase2Day&gt;ROUND(((1-(TwoDayDiscount_21_Up+FedExExrpessEarnedDiscount))*'2Day Base'!J49),2),ROUND(MinBase2Day*(1+ExpressFuelSurcharge),2),ROUND(((1-(TwoDayDiscount_21_Up+FedExExrpessEarnedDiscount))*'2Day Base'!J49)*(1+ExpressFuelSurcharge),2)))*(1+FedEx_Markup),2)</f>
        <v>200.04</v>
      </c>
      <c r="K52" s="275">
        <f>ROUND((IF(MinBase2Day&gt;ROUND(((1-(TwoDayDiscount_21_Up+FedExExrpessEarnedDiscount))*'2Day Base'!K49),2),ROUND(MinBase2Day*(1+ExpressFuelSurcharge),2),ROUND(((1-(TwoDayDiscount_21_Up+FedExExrpessEarnedDiscount))*'2Day Base'!K49)*(1+ExpressFuelSurcharge),2)))*(1+FedEx_Markup),2)</f>
        <v>205.6</v>
      </c>
      <c r="L52" s="275">
        <f>ROUND((IF(MinBase2Day&gt;ROUND(((1-(TwoDayDiscount_21_Up+FedExExrpessEarnedDiscount))*'2Day Base'!L49),2),ROUND(MinBase2Day*(1+ExpressFuelSurcharge),2),ROUND(((1-(TwoDayDiscount_21_Up+FedExExrpessEarnedDiscount))*'2Day Base'!L49)*(1+ExpressFuelSurcharge),2)))*(1+FedEx_Markup),2)</f>
        <v>205.6</v>
      </c>
    </row>
    <row r="53" ht="12.75" customHeight="1">
      <c r="A53" s="274">
        <v>48.0</v>
      </c>
      <c r="B53" s="275">
        <f>ROUND((IF(MinBase2Day&gt;ROUND(((1-(TwoDayDiscount_21_Up+FedExExrpessEarnedDiscount))*'2Day Base'!B50),2),ROUND(MinBase2Day*(1+ExpressFuelSurcharge),2),ROUND(((1-(TwoDayDiscount_21_Up+FedExExrpessEarnedDiscount))*'2Day Base'!B50)*(1+ExpressFuelSurcharge),2)))*(1+FedEx_Markup),2)</f>
        <v>48.88</v>
      </c>
      <c r="C53" s="275">
        <f>ROUND((IF(MinBase2Day&gt;ROUND(((1-(TwoDayDiscount_21_Up+FedExExrpessEarnedDiscount))*'2Day Base'!C50),2),ROUND(MinBase2Day*(1+ExpressFuelSurcharge),2),ROUND(((1-(TwoDayDiscount_21_Up+FedExExrpessEarnedDiscount))*'2Day Base'!C50)*(1+ExpressFuelSurcharge),2)))*(1+FedEx_Markup),2)</f>
        <v>59.79</v>
      </c>
      <c r="D53" s="275">
        <f>ROUND((IF(MinBase2Day&gt;ROUND(((1-(TwoDayDiscount_21_Up+FedExExrpessEarnedDiscount))*'2Day Base'!D50),2),ROUND(MinBase2Day*(1+ExpressFuelSurcharge),2),ROUND(((1-(TwoDayDiscount_21_Up+FedExExrpessEarnedDiscount))*'2Day Base'!D50)*(1+ExpressFuelSurcharge),2)))*(1+FedEx_Markup),2)</f>
        <v>74.82</v>
      </c>
      <c r="E53" s="275">
        <f>ROUND((IF(MinBase2Day&gt;ROUND(((1-(TwoDayDiscount_21_Up+FedExExrpessEarnedDiscount))*'2Day Base'!E50),2),ROUND(MinBase2Day*(1+ExpressFuelSurcharge),2),ROUND(((1-(TwoDayDiscount_21_Up+FedExExrpessEarnedDiscount))*'2Day Base'!E50)*(1+ExpressFuelSurcharge),2)))*(1+FedEx_Markup),2)</f>
        <v>111.06</v>
      </c>
      <c r="F53" s="275">
        <f>ROUND((IF(MinBase2Day&gt;ROUND(((1-(TwoDayDiscount_21_Up+FedExExrpessEarnedDiscount))*'2Day Base'!F50),2),ROUND(MinBase2Day*(1+ExpressFuelSurcharge),2),ROUND(((1-(TwoDayDiscount_21_Up+FedExExrpessEarnedDiscount))*'2Day Base'!F50)*(1+ExpressFuelSurcharge),2)))*(1+FedEx_Markup),2)</f>
        <v>179.94</v>
      </c>
      <c r="G53" s="275">
        <f>ROUND((IF(MinBase2Day&gt;ROUND(((1-(TwoDayDiscount_21_Up+FedExExrpessEarnedDiscount))*'2Day Base'!G50),2),ROUND(MinBase2Day*(1+ExpressFuelSurcharge),2),ROUND(((1-(TwoDayDiscount_21_Up+FedExExrpessEarnedDiscount))*'2Day Base'!G50)*(1+ExpressFuelSurcharge),2)))*(1+FedEx_Markup),2)</f>
        <v>193.49</v>
      </c>
      <c r="H53" s="275">
        <f>ROUND((IF(MinBase2Day&gt;ROUND(((1-(TwoDayDiscount_21_Up+FedExExrpessEarnedDiscount))*'2Day Base'!H50),2),ROUND(MinBase2Day*(1+ExpressFuelSurcharge),2),ROUND(((1-(TwoDayDiscount_21_Up+FedExExrpessEarnedDiscount))*'2Day Base'!H50)*(1+ExpressFuelSurcharge),2)))*(1+FedEx_Markup),2)</f>
        <v>197.67</v>
      </c>
      <c r="I53" s="275">
        <f>ROUND((IF(MinBase2Day&gt;ROUND(((1-(TwoDayDiscount_21_Up+FedExExrpessEarnedDiscount))*'2Day Base'!I50),2),ROUND(MinBase2Day*(1+ExpressFuelSurcharge),2),ROUND(((1-(TwoDayDiscount_21_Up+FedExExrpessEarnedDiscount))*'2Day Base'!I50)*(1+ExpressFuelSurcharge),2)))*(1+FedEx_Markup),2)</f>
        <v>201.64</v>
      </c>
      <c r="J53" s="275">
        <f>ROUND((IF(MinBase2Day&gt;ROUND(((1-(TwoDayDiscount_21_Up+FedExExrpessEarnedDiscount))*'2Day Base'!J50),2),ROUND(MinBase2Day*(1+ExpressFuelSurcharge),2),ROUND(((1-(TwoDayDiscount_21_Up+FedExExrpessEarnedDiscount))*'2Day Base'!J50)*(1+ExpressFuelSurcharge),2)))*(1+FedEx_Markup),2)</f>
        <v>201.64</v>
      </c>
      <c r="K53" s="275">
        <f>ROUND((IF(MinBase2Day&gt;ROUND(((1-(TwoDayDiscount_21_Up+FedExExrpessEarnedDiscount))*'2Day Base'!K50),2),ROUND(MinBase2Day*(1+ExpressFuelSurcharge),2),ROUND(((1-(TwoDayDiscount_21_Up+FedExExrpessEarnedDiscount))*'2Day Base'!K50)*(1+ExpressFuelSurcharge),2)))*(1+FedEx_Markup),2)</f>
        <v>205.74</v>
      </c>
      <c r="L53" s="275">
        <f>ROUND((IF(MinBase2Day&gt;ROUND(((1-(TwoDayDiscount_21_Up+FedExExrpessEarnedDiscount))*'2Day Base'!L50),2),ROUND(MinBase2Day*(1+ExpressFuelSurcharge),2),ROUND(((1-(TwoDayDiscount_21_Up+FedExExrpessEarnedDiscount))*'2Day Base'!L50)*(1+ExpressFuelSurcharge),2)))*(1+FedEx_Markup),2)</f>
        <v>205.74</v>
      </c>
    </row>
    <row r="54" ht="12.75" customHeight="1">
      <c r="A54" s="274">
        <v>49.0</v>
      </c>
      <c r="B54" s="275">
        <f>ROUND((IF(MinBase2Day&gt;ROUND(((1-(TwoDayDiscount_21_Up+FedExExrpessEarnedDiscount))*'2Day Base'!B51),2),ROUND(MinBase2Day*(1+ExpressFuelSurcharge),2),ROUND(((1-(TwoDayDiscount_21_Up+FedExExrpessEarnedDiscount))*'2Day Base'!B51)*(1+ExpressFuelSurcharge),2)))*(1+FedEx_Markup),2)</f>
        <v>49</v>
      </c>
      <c r="C54" s="275">
        <f>ROUND((IF(MinBase2Day&gt;ROUND(((1-(TwoDayDiscount_21_Up+FedExExrpessEarnedDiscount))*'2Day Base'!C51),2),ROUND(MinBase2Day*(1+ExpressFuelSurcharge),2),ROUND(((1-(TwoDayDiscount_21_Up+FedExExrpessEarnedDiscount))*'2Day Base'!C51)*(1+ExpressFuelSurcharge),2)))*(1+FedEx_Markup),2)</f>
        <v>60.03</v>
      </c>
      <c r="D54" s="275">
        <f>ROUND((IF(MinBase2Day&gt;ROUND(((1-(TwoDayDiscount_21_Up+FedExExrpessEarnedDiscount))*'2Day Base'!D51),2),ROUND(MinBase2Day*(1+ExpressFuelSurcharge),2),ROUND(((1-(TwoDayDiscount_21_Up+FedExExrpessEarnedDiscount))*'2Day Base'!D51)*(1+ExpressFuelSurcharge),2)))*(1+FedEx_Markup),2)</f>
        <v>74.98</v>
      </c>
      <c r="E54" s="275">
        <f>ROUND((IF(MinBase2Day&gt;ROUND(((1-(TwoDayDiscount_21_Up+FedExExrpessEarnedDiscount))*'2Day Base'!E51),2),ROUND(MinBase2Day*(1+ExpressFuelSurcharge),2),ROUND(((1-(TwoDayDiscount_21_Up+FedExExrpessEarnedDiscount))*'2Day Base'!E51)*(1+ExpressFuelSurcharge),2)))*(1+FedEx_Markup),2)</f>
        <v>111.18</v>
      </c>
      <c r="F54" s="275">
        <f>ROUND((IF(MinBase2Day&gt;ROUND(((1-(TwoDayDiscount_21_Up+FedExExrpessEarnedDiscount))*'2Day Base'!F51),2),ROUND(MinBase2Day*(1+ExpressFuelSurcharge),2),ROUND(((1-(TwoDayDiscount_21_Up+FedExExrpessEarnedDiscount))*'2Day Base'!F51)*(1+ExpressFuelSurcharge),2)))*(1+FedEx_Markup),2)</f>
        <v>183</v>
      </c>
      <c r="G54" s="275">
        <f>ROUND((IF(MinBase2Day&gt;ROUND(((1-(TwoDayDiscount_21_Up+FedExExrpessEarnedDiscount))*'2Day Base'!G51),2),ROUND(MinBase2Day*(1+ExpressFuelSurcharge),2),ROUND(((1-(TwoDayDiscount_21_Up+FedExExrpessEarnedDiscount))*'2Day Base'!G51)*(1+ExpressFuelSurcharge),2)))*(1+FedEx_Markup),2)</f>
        <v>193.95</v>
      </c>
      <c r="H54" s="275">
        <f>ROUND((IF(MinBase2Day&gt;ROUND(((1-(TwoDayDiscount_21_Up+FedExExrpessEarnedDiscount))*'2Day Base'!H51),2),ROUND(MinBase2Day*(1+ExpressFuelSurcharge),2),ROUND(((1-(TwoDayDiscount_21_Up+FedExExrpessEarnedDiscount))*'2Day Base'!H51)*(1+ExpressFuelSurcharge),2)))*(1+FedEx_Markup),2)</f>
        <v>197.83</v>
      </c>
      <c r="I54" s="275">
        <f>ROUND((IF(MinBase2Day&gt;ROUND(((1-(TwoDayDiscount_21_Up+FedExExrpessEarnedDiscount))*'2Day Base'!I51),2),ROUND(MinBase2Day*(1+ExpressFuelSurcharge),2),ROUND(((1-(TwoDayDiscount_21_Up+FedExExrpessEarnedDiscount))*'2Day Base'!I51)*(1+ExpressFuelSurcharge),2)))*(1+FedEx_Markup),2)</f>
        <v>201.8</v>
      </c>
      <c r="J54" s="275">
        <f>ROUND((IF(MinBase2Day&gt;ROUND(((1-(TwoDayDiscount_21_Up+FedExExrpessEarnedDiscount))*'2Day Base'!J51),2),ROUND(MinBase2Day*(1+ExpressFuelSurcharge),2),ROUND(((1-(TwoDayDiscount_21_Up+FedExExrpessEarnedDiscount))*'2Day Base'!J51)*(1+ExpressFuelSurcharge),2)))*(1+FedEx_Markup),2)</f>
        <v>201.8</v>
      </c>
      <c r="K54" s="275">
        <f>ROUND((IF(MinBase2Day&gt;ROUND(((1-(TwoDayDiscount_21_Up+FedExExrpessEarnedDiscount))*'2Day Base'!K51),2),ROUND(MinBase2Day*(1+ExpressFuelSurcharge),2),ROUND(((1-(TwoDayDiscount_21_Up+FedExExrpessEarnedDiscount))*'2Day Base'!K51)*(1+ExpressFuelSurcharge),2)))*(1+FedEx_Markup),2)</f>
        <v>205.84</v>
      </c>
      <c r="L54" s="275">
        <f>ROUND((IF(MinBase2Day&gt;ROUND(((1-(TwoDayDiscount_21_Up+FedExExrpessEarnedDiscount))*'2Day Base'!L51),2),ROUND(MinBase2Day*(1+ExpressFuelSurcharge),2),ROUND(((1-(TwoDayDiscount_21_Up+FedExExrpessEarnedDiscount))*'2Day Base'!L51)*(1+ExpressFuelSurcharge),2)))*(1+FedEx_Markup),2)</f>
        <v>205.84</v>
      </c>
    </row>
    <row r="55" ht="12.75" customHeight="1">
      <c r="A55" s="274">
        <v>50.0</v>
      </c>
      <c r="B55" s="275">
        <f>ROUND((IF(MinBase2Day&gt;ROUND(((1-(TwoDayDiscount_21_Up+FedExExrpessEarnedDiscount))*'2Day Base'!B52),2),ROUND(MinBase2Day*(1+ExpressFuelSurcharge),2),ROUND(((1-(TwoDayDiscount_21_Up+FedExExrpessEarnedDiscount))*'2Day Base'!B52)*(1+ExpressFuelSurcharge),2)))*(1+FedEx_Markup),2)</f>
        <v>49.14</v>
      </c>
      <c r="C55" s="275">
        <f>ROUND((IF(MinBase2Day&gt;ROUND(((1-(TwoDayDiscount_21_Up+FedExExrpessEarnedDiscount))*'2Day Base'!C52),2),ROUND(MinBase2Day*(1+ExpressFuelSurcharge),2),ROUND(((1-(TwoDayDiscount_21_Up+FedExExrpessEarnedDiscount))*'2Day Base'!C52)*(1+ExpressFuelSurcharge),2)))*(1+FedEx_Markup),2)</f>
        <v>60.16</v>
      </c>
      <c r="D55" s="275">
        <f>ROUND((IF(MinBase2Day&gt;ROUND(((1-(TwoDayDiscount_21_Up+FedExExrpessEarnedDiscount))*'2Day Base'!D52),2),ROUND(MinBase2Day*(1+ExpressFuelSurcharge),2),ROUND(((1-(TwoDayDiscount_21_Up+FedExExrpessEarnedDiscount))*'2Day Base'!D52)*(1+ExpressFuelSurcharge),2)))*(1+FedEx_Markup),2)</f>
        <v>77.33</v>
      </c>
      <c r="E55" s="275">
        <f>ROUND((IF(MinBase2Day&gt;ROUND(((1-(TwoDayDiscount_21_Up+FedExExrpessEarnedDiscount))*'2Day Base'!E52),2),ROUND(MinBase2Day*(1+ExpressFuelSurcharge),2),ROUND(((1-(TwoDayDiscount_21_Up+FedExExrpessEarnedDiscount))*'2Day Base'!E52)*(1+ExpressFuelSurcharge),2)))*(1+FedEx_Markup),2)</f>
        <v>111.4</v>
      </c>
      <c r="F55" s="275">
        <f>ROUND((IF(MinBase2Day&gt;ROUND(((1-(TwoDayDiscount_21_Up+FedExExrpessEarnedDiscount))*'2Day Base'!F52),2),ROUND(MinBase2Day*(1+ExpressFuelSurcharge),2),ROUND(((1-(TwoDayDiscount_21_Up+FedExExrpessEarnedDiscount))*'2Day Base'!F52)*(1+ExpressFuelSurcharge),2)))*(1+FedEx_Markup),2)</f>
        <v>186.13</v>
      </c>
      <c r="G55" s="275">
        <f>ROUND((IF(MinBase2Day&gt;ROUND(((1-(TwoDayDiscount_21_Up+FedExExrpessEarnedDiscount))*'2Day Base'!G52),2),ROUND(MinBase2Day*(1+ExpressFuelSurcharge),2),ROUND(((1-(TwoDayDiscount_21_Up+FedExExrpessEarnedDiscount))*'2Day Base'!G52)*(1+ExpressFuelSurcharge),2)))*(1+FedEx_Markup),2)</f>
        <v>194.26</v>
      </c>
      <c r="H55" s="275">
        <f>ROUND((IF(MinBase2Day&gt;ROUND(((1-(TwoDayDiscount_21_Up+FedExExrpessEarnedDiscount))*'2Day Base'!H52),2),ROUND(MinBase2Day*(1+ExpressFuelSurcharge),2),ROUND(((1-(TwoDayDiscount_21_Up+FedExExrpessEarnedDiscount))*'2Day Base'!H52)*(1+ExpressFuelSurcharge),2)))*(1+FedEx_Markup),2)</f>
        <v>198.15</v>
      </c>
      <c r="I55" s="275">
        <f>ROUND((IF(MinBase2Day&gt;ROUND(((1-(TwoDayDiscount_21_Up+FedExExrpessEarnedDiscount))*'2Day Base'!I52),2),ROUND(MinBase2Day*(1+ExpressFuelSurcharge),2),ROUND(((1-(TwoDayDiscount_21_Up+FedExExrpessEarnedDiscount))*'2Day Base'!I52)*(1+ExpressFuelSurcharge),2)))*(1+FedEx_Markup),2)</f>
        <v>202.12</v>
      </c>
      <c r="J55" s="275">
        <f>ROUND((IF(MinBase2Day&gt;ROUND(((1-(TwoDayDiscount_21_Up+FedExExrpessEarnedDiscount))*'2Day Base'!J52),2),ROUND(MinBase2Day*(1+ExpressFuelSurcharge),2),ROUND(((1-(TwoDayDiscount_21_Up+FedExExrpessEarnedDiscount))*'2Day Base'!J52)*(1+ExpressFuelSurcharge),2)))*(1+FedEx_Markup),2)</f>
        <v>202.12</v>
      </c>
      <c r="K55" s="275">
        <f>ROUND((IF(MinBase2Day&gt;ROUND(((1-(TwoDayDiscount_21_Up+FedExExrpessEarnedDiscount))*'2Day Base'!K52),2),ROUND(MinBase2Day*(1+ExpressFuelSurcharge),2),ROUND(((1-(TwoDayDiscount_21_Up+FedExExrpessEarnedDiscount))*'2Day Base'!K52)*(1+ExpressFuelSurcharge),2)))*(1+FedEx_Markup),2)</f>
        <v>206.17</v>
      </c>
      <c r="L55" s="275">
        <f>ROUND((IF(MinBase2Day&gt;ROUND(((1-(TwoDayDiscount_21_Up+FedExExrpessEarnedDiscount))*'2Day Base'!L52),2),ROUND(MinBase2Day*(1+ExpressFuelSurcharge),2),ROUND(((1-(TwoDayDiscount_21_Up+FedExExrpessEarnedDiscount))*'2Day Base'!L52)*(1+ExpressFuelSurcharge),2)))*(1+FedEx_Markup),2)</f>
        <v>206.17</v>
      </c>
    </row>
    <row r="56" ht="12.75" customHeight="1">
      <c r="A56" s="274">
        <v>51.0</v>
      </c>
      <c r="B56" s="275">
        <f>ROUND((IF(MinBase2Day&gt;ROUND(((1-(TwoDayDiscount_21_Up+FedExExrpessEarnedDiscount))*'2Day Base'!B53),2),ROUND(MinBase2Day*(1+ExpressFuelSurcharge),2),ROUND(((1-(TwoDayDiscount_21_Up+FedExExrpessEarnedDiscount))*'2Day Base'!B53)*(1+ExpressFuelSurcharge),2)))*(1+FedEx_Markup),2)</f>
        <v>49.6</v>
      </c>
      <c r="C56" s="275">
        <f>ROUND((IF(MinBase2Day&gt;ROUND(((1-(TwoDayDiscount_21_Up+FedExExrpessEarnedDiscount))*'2Day Base'!C53),2),ROUND(MinBase2Day*(1+ExpressFuelSurcharge),2),ROUND(((1-(TwoDayDiscount_21_Up+FedExExrpessEarnedDiscount))*'2Day Base'!C53)*(1+ExpressFuelSurcharge),2)))*(1+FedEx_Markup),2)</f>
        <v>60.42</v>
      </c>
      <c r="D56" s="275">
        <f>ROUND((IF(MinBase2Day&gt;ROUND(((1-(TwoDayDiscount_21_Up+FedExExrpessEarnedDiscount))*'2Day Base'!D53),2),ROUND(MinBase2Day*(1+ExpressFuelSurcharge),2),ROUND(((1-(TwoDayDiscount_21_Up+FedExExrpessEarnedDiscount))*'2Day Base'!D53)*(1+ExpressFuelSurcharge),2)))*(1+FedEx_Markup),2)</f>
        <v>79.04</v>
      </c>
      <c r="E56" s="275">
        <f>ROUND((IF(MinBase2Day&gt;ROUND(((1-(TwoDayDiscount_21_Up+FedExExrpessEarnedDiscount))*'2Day Base'!E53),2),ROUND(MinBase2Day*(1+ExpressFuelSurcharge),2),ROUND(((1-(TwoDayDiscount_21_Up+FedExExrpessEarnedDiscount))*'2Day Base'!E53)*(1+ExpressFuelSurcharge),2)))*(1+FedEx_Markup),2)</f>
        <v>115.6</v>
      </c>
      <c r="F56" s="275">
        <f>ROUND((IF(MinBase2Day&gt;ROUND(((1-(TwoDayDiscount_21_Up+FedExExrpessEarnedDiscount))*'2Day Base'!F53),2),ROUND(MinBase2Day*(1+ExpressFuelSurcharge),2),ROUND(((1-(TwoDayDiscount_21_Up+FedExExrpessEarnedDiscount))*'2Day Base'!F53)*(1+ExpressFuelSurcharge),2)))*(1+FedEx_Markup),2)</f>
        <v>195.81</v>
      </c>
      <c r="G56" s="275">
        <f>ROUND((IF(MinBase2Day&gt;ROUND(((1-(TwoDayDiscount_21_Up+FedExExrpessEarnedDiscount))*'2Day Base'!G53),2),ROUND(MinBase2Day*(1+ExpressFuelSurcharge),2),ROUND(((1-(TwoDayDiscount_21_Up+FedExExrpessEarnedDiscount))*'2Day Base'!G53)*(1+ExpressFuelSurcharge),2)))*(1+FedEx_Markup),2)</f>
        <v>200.46</v>
      </c>
      <c r="H56" s="275">
        <f>ROUND((IF(MinBase2Day&gt;ROUND(((1-(TwoDayDiscount_21_Up+FedExExrpessEarnedDiscount))*'2Day Base'!H53),2),ROUND(MinBase2Day*(1+ExpressFuelSurcharge),2),ROUND(((1-(TwoDayDiscount_21_Up+FedExExrpessEarnedDiscount))*'2Day Base'!H53)*(1+ExpressFuelSurcharge),2)))*(1+FedEx_Markup),2)</f>
        <v>204.47</v>
      </c>
      <c r="I56" s="275">
        <f>ROUND((IF(MinBase2Day&gt;ROUND(((1-(TwoDayDiscount_21_Up+FedExExrpessEarnedDiscount))*'2Day Base'!I53),2),ROUND(MinBase2Day*(1+ExpressFuelSurcharge),2),ROUND(((1-(TwoDayDiscount_21_Up+FedExExrpessEarnedDiscount))*'2Day Base'!I53)*(1+ExpressFuelSurcharge),2)))*(1+FedEx_Markup),2)</f>
        <v>208.56</v>
      </c>
      <c r="J56" s="275">
        <f>ROUND((IF(MinBase2Day&gt;ROUND(((1-(TwoDayDiscount_21_Up+FedExExrpessEarnedDiscount))*'2Day Base'!J53),2),ROUND(MinBase2Day*(1+ExpressFuelSurcharge),2),ROUND(((1-(TwoDayDiscount_21_Up+FedExExrpessEarnedDiscount))*'2Day Base'!J53)*(1+ExpressFuelSurcharge),2)))*(1+FedEx_Markup),2)</f>
        <v>208.56</v>
      </c>
      <c r="K56" s="275">
        <f>ROUND((IF(MinBase2Day&gt;ROUND(((1-(TwoDayDiscount_21_Up+FedExExrpessEarnedDiscount))*'2Day Base'!K53),2),ROUND(MinBase2Day*(1+ExpressFuelSurcharge),2),ROUND(((1-(TwoDayDiscount_21_Up+FedExExrpessEarnedDiscount))*'2Day Base'!K53)*(1+ExpressFuelSurcharge),2)))*(1+FedEx_Markup),2)</f>
        <v>212.74</v>
      </c>
      <c r="L56" s="275">
        <f>ROUND((IF(MinBase2Day&gt;ROUND(((1-(TwoDayDiscount_21_Up+FedExExrpessEarnedDiscount))*'2Day Base'!L53),2),ROUND(MinBase2Day*(1+ExpressFuelSurcharge),2),ROUND(((1-(TwoDayDiscount_21_Up+FedExExrpessEarnedDiscount))*'2Day Base'!L53)*(1+ExpressFuelSurcharge),2)))*(1+FedEx_Markup),2)</f>
        <v>212.74</v>
      </c>
    </row>
    <row r="57" ht="12.75" customHeight="1">
      <c r="A57" s="274">
        <v>52.0</v>
      </c>
      <c r="B57" s="275">
        <f>ROUND((IF(MinBase2Day&gt;ROUND(((1-(TwoDayDiscount_21_Up+FedExExrpessEarnedDiscount))*'2Day Base'!B54),2),ROUND(MinBase2Day*(1+ExpressFuelSurcharge),2),ROUND(((1-(TwoDayDiscount_21_Up+FedExExrpessEarnedDiscount))*'2Day Base'!B54)*(1+ExpressFuelSurcharge),2)))*(1+FedEx_Markup),2)</f>
        <v>53.1</v>
      </c>
      <c r="C57" s="275">
        <f>ROUND((IF(MinBase2Day&gt;ROUND(((1-(TwoDayDiscount_21_Up+FedExExrpessEarnedDiscount))*'2Day Base'!C54),2),ROUND(MinBase2Day*(1+ExpressFuelSurcharge),2),ROUND(((1-(TwoDayDiscount_21_Up+FedExExrpessEarnedDiscount))*'2Day Base'!C54)*(1+ExpressFuelSurcharge),2)))*(1+FedEx_Markup),2)</f>
        <v>63.66</v>
      </c>
      <c r="D57" s="275">
        <f>ROUND((IF(MinBase2Day&gt;ROUND(((1-(TwoDayDiscount_21_Up+FedExExrpessEarnedDiscount))*'2Day Base'!D54),2),ROUND(MinBase2Day*(1+ExpressFuelSurcharge),2),ROUND(((1-(TwoDayDiscount_21_Up+FedExExrpessEarnedDiscount))*'2Day Base'!D54)*(1+ExpressFuelSurcharge),2)))*(1+FedEx_Markup),2)</f>
        <v>81.57</v>
      </c>
      <c r="E57" s="275">
        <f>ROUND((IF(MinBase2Day&gt;ROUND(((1-(TwoDayDiscount_21_Up+FedExExrpessEarnedDiscount))*'2Day Base'!E54),2),ROUND(MinBase2Day*(1+ExpressFuelSurcharge),2),ROUND(((1-(TwoDayDiscount_21_Up+FedExExrpessEarnedDiscount))*'2Day Base'!E54)*(1+ExpressFuelSurcharge),2)))*(1+FedEx_Markup),2)</f>
        <v>121.96</v>
      </c>
      <c r="F57" s="275">
        <f>ROUND((IF(MinBase2Day&gt;ROUND(((1-(TwoDayDiscount_21_Up+FedExExrpessEarnedDiscount))*'2Day Base'!F54),2),ROUND(MinBase2Day*(1+ExpressFuelSurcharge),2),ROUND(((1-(TwoDayDiscount_21_Up+FedExExrpessEarnedDiscount))*'2Day Base'!F54)*(1+ExpressFuelSurcharge),2)))*(1+FedEx_Markup),2)</f>
        <v>198.79</v>
      </c>
      <c r="G57" s="275">
        <f>ROUND((IF(MinBase2Day&gt;ROUND(((1-(TwoDayDiscount_21_Up+FedExExrpessEarnedDiscount))*'2Day Base'!G54),2),ROUND(MinBase2Day*(1+ExpressFuelSurcharge),2),ROUND(((1-(TwoDayDiscount_21_Up+FedExExrpessEarnedDiscount))*'2Day Base'!G54)*(1+ExpressFuelSurcharge),2)))*(1+FedEx_Markup),2)</f>
        <v>214.76</v>
      </c>
      <c r="H57" s="275">
        <f>ROUND((IF(MinBase2Day&gt;ROUND(((1-(TwoDayDiscount_21_Up+FedExExrpessEarnedDiscount))*'2Day Base'!H54),2),ROUND(MinBase2Day*(1+ExpressFuelSurcharge),2),ROUND(((1-(TwoDayDiscount_21_Up+FedExExrpessEarnedDiscount))*'2Day Base'!H54)*(1+ExpressFuelSurcharge),2)))*(1+FedEx_Markup),2)</f>
        <v>219.77</v>
      </c>
      <c r="I57" s="275">
        <f>ROUND((IF(MinBase2Day&gt;ROUND(((1-(TwoDayDiscount_21_Up+FedExExrpessEarnedDiscount))*'2Day Base'!I54),2),ROUND(MinBase2Day*(1+ExpressFuelSurcharge),2),ROUND(((1-(TwoDayDiscount_21_Up+FedExExrpessEarnedDiscount))*'2Day Base'!I54)*(1+ExpressFuelSurcharge),2)))*(1+FedEx_Markup),2)</f>
        <v>224.16</v>
      </c>
      <c r="J57" s="275">
        <f>ROUND((IF(MinBase2Day&gt;ROUND(((1-(TwoDayDiscount_21_Up+FedExExrpessEarnedDiscount))*'2Day Base'!J54),2),ROUND(MinBase2Day*(1+ExpressFuelSurcharge),2),ROUND(((1-(TwoDayDiscount_21_Up+FedExExrpessEarnedDiscount))*'2Day Base'!J54)*(1+ExpressFuelSurcharge),2)))*(1+FedEx_Markup),2)</f>
        <v>224.16</v>
      </c>
      <c r="K57" s="275">
        <f>ROUND((IF(MinBase2Day&gt;ROUND(((1-(TwoDayDiscount_21_Up+FedExExrpessEarnedDiscount))*'2Day Base'!K54),2),ROUND(MinBase2Day*(1+ExpressFuelSurcharge),2),ROUND(((1-(TwoDayDiscount_21_Up+FedExExrpessEarnedDiscount))*'2Day Base'!K54)*(1+ExpressFuelSurcharge),2)))*(1+FedEx_Markup),2)</f>
        <v>231.02</v>
      </c>
      <c r="L57" s="275">
        <f>ROUND((IF(MinBase2Day&gt;ROUND(((1-(TwoDayDiscount_21_Up+FedExExrpessEarnedDiscount))*'2Day Base'!L54),2),ROUND(MinBase2Day*(1+ExpressFuelSurcharge),2),ROUND(((1-(TwoDayDiscount_21_Up+FedExExrpessEarnedDiscount))*'2Day Base'!L54)*(1+ExpressFuelSurcharge),2)))*(1+FedEx_Markup),2)</f>
        <v>231.02</v>
      </c>
    </row>
    <row r="58" ht="12.75" customHeight="1">
      <c r="A58" s="274">
        <v>53.0</v>
      </c>
      <c r="B58" s="275">
        <f>ROUND((IF(MinBase2Day&gt;ROUND(((1-(TwoDayDiscount_21_Up+FedExExrpessEarnedDiscount))*'2Day Base'!B55),2),ROUND(MinBase2Day*(1+ExpressFuelSurcharge),2),ROUND(((1-(TwoDayDiscount_21_Up+FedExExrpessEarnedDiscount))*'2Day Base'!B55)*(1+ExpressFuelSurcharge),2)))*(1+FedEx_Markup),2)</f>
        <v>54.15</v>
      </c>
      <c r="C58" s="275">
        <f>ROUND((IF(MinBase2Day&gt;ROUND(((1-(TwoDayDiscount_21_Up+FedExExrpessEarnedDiscount))*'2Day Base'!C55),2),ROUND(MinBase2Day*(1+ExpressFuelSurcharge),2),ROUND(((1-(TwoDayDiscount_21_Up+FedExExrpessEarnedDiscount))*'2Day Base'!C55)*(1+ExpressFuelSurcharge),2)))*(1+FedEx_Markup),2)</f>
        <v>64.95</v>
      </c>
      <c r="D58" s="275">
        <f>ROUND((IF(MinBase2Day&gt;ROUND(((1-(TwoDayDiscount_21_Up+FedExExrpessEarnedDiscount))*'2Day Base'!D55),2),ROUND(MinBase2Day*(1+ExpressFuelSurcharge),2),ROUND(((1-(TwoDayDiscount_21_Up+FedExExrpessEarnedDiscount))*'2Day Base'!D55)*(1+ExpressFuelSurcharge),2)))*(1+FedEx_Markup),2)</f>
        <v>82.72</v>
      </c>
      <c r="E58" s="275">
        <f>ROUND((IF(MinBase2Day&gt;ROUND(((1-(TwoDayDiscount_21_Up+FedExExrpessEarnedDiscount))*'2Day Base'!E55),2),ROUND(MinBase2Day*(1+ExpressFuelSurcharge),2),ROUND(((1-(TwoDayDiscount_21_Up+FedExExrpessEarnedDiscount))*'2Day Base'!E55)*(1+ExpressFuelSurcharge),2)))*(1+FedEx_Markup),2)</f>
        <v>122.85</v>
      </c>
      <c r="F58" s="275">
        <f>ROUND((IF(MinBase2Day&gt;ROUND(((1-(TwoDayDiscount_21_Up+FedExExrpessEarnedDiscount))*'2Day Base'!F55),2),ROUND(MinBase2Day*(1+ExpressFuelSurcharge),2),ROUND(((1-(TwoDayDiscount_21_Up+FedExExrpessEarnedDiscount))*'2Day Base'!F55)*(1+ExpressFuelSurcharge),2)))*(1+FedEx_Markup),2)</f>
        <v>199.1</v>
      </c>
      <c r="G58" s="275">
        <f>ROUND((IF(MinBase2Day&gt;ROUND(((1-(TwoDayDiscount_21_Up+FedExExrpessEarnedDiscount))*'2Day Base'!G55),2),ROUND(MinBase2Day*(1+ExpressFuelSurcharge),2),ROUND(((1-(TwoDayDiscount_21_Up+FedExExrpessEarnedDiscount))*'2Day Base'!G55)*(1+ExpressFuelSurcharge),2)))*(1+FedEx_Markup),2)</f>
        <v>216.95</v>
      </c>
      <c r="H58" s="275">
        <f>ROUND((IF(MinBase2Day&gt;ROUND(((1-(TwoDayDiscount_21_Up+FedExExrpessEarnedDiscount))*'2Day Base'!H55),2),ROUND(MinBase2Day*(1+ExpressFuelSurcharge),2),ROUND(((1-(TwoDayDiscount_21_Up+FedExExrpessEarnedDiscount))*'2Day Base'!H55)*(1+ExpressFuelSurcharge),2)))*(1+FedEx_Markup),2)</f>
        <v>221.29</v>
      </c>
      <c r="I58" s="275">
        <f>ROUND((IF(MinBase2Day&gt;ROUND(((1-(TwoDayDiscount_21_Up+FedExExrpessEarnedDiscount))*'2Day Base'!I55),2),ROUND(MinBase2Day*(1+ExpressFuelSurcharge),2),ROUND(((1-(TwoDayDiscount_21_Up+FedExExrpessEarnedDiscount))*'2Day Base'!I55)*(1+ExpressFuelSurcharge),2)))*(1+FedEx_Markup),2)</f>
        <v>225.72</v>
      </c>
      <c r="J58" s="275">
        <f>ROUND((IF(MinBase2Day&gt;ROUND(((1-(TwoDayDiscount_21_Up+FedExExrpessEarnedDiscount))*'2Day Base'!J55),2),ROUND(MinBase2Day*(1+ExpressFuelSurcharge),2),ROUND(((1-(TwoDayDiscount_21_Up+FedExExrpessEarnedDiscount))*'2Day Base'!J55)*(1+ExpressFuelSurcharge),2)))*(1+FedEx_Markup),2)</f>
        <v>225.72</v>
      </c>
      <c r="K58" s="275">
        <f>ROUND((IF(MinBase2Day&gt;ROUND(((1-(TwoDayDiscount_21_Up+FedExExrpessEarnedDiscount))*'2Day Base'!K55),2),ROUND(MinBase2Day*(1+ExpressFuelSurcharge),2),ROUND(((1-(TwoDayDiscount_21_Up+FedExExrpessEarnedDiscount))*'2Day Base'!K55)*(1+ExpressFuelSurcharge),2)))*(1+FedEx_Markup),2)</f>
        <v>232.85</v>
      </c>
      <c r="L58" s="275">
        <f>ROUND((IF(MinBase2Day&gt;ROUND(((1-(TwoDayDiscount_21_Up+FedExExrpessEarnedDiscount))*'2Day Base'!L55),2),ROUND(MinBase2Day*(1+ExpressFuelSurcharge),2),ROUND(((1-(TwoDayDiscount_21_Up+FedExExrpessEarnedDiscount))*'2Day Base'!L55)*(1+ExpressFuelSurcharge),2)))*(1+FedEx_Markup),2)</f>
        <v>232.85</v>
      </c>
    </row>
    <row r="59" ht="12.75" customHeight="1">
      <c r="A59" s="274">
        <v>54.0</v>
      </c>
      <c r="B59" s="275">
        <f>ROUND((IF(MinBase2Day&gt;ROUND(((1-(TwoDayDiscount_21_Up+FedExExrpessEarnedDiscount))*'2Day Base'!B56),2),ROUND(MinBase2Day*(1+ExpressFuelSurcharge),2),ROUND(((1-(TwoDayDiscount_21_Up+FedExExrpessEarnedDiscount))*'2Day Base'!B56)*(1+ExpressFuelSurcharge),2)))*(1+FedEx_Markup),2)</f>
        <v>54.92</v>
      </c>
      <c r="C59" s="275">
        <f>ROUND((IF(MinBase2Day&gt;ROUND(((1-(TwoDayDiscount_21_Up+FedExExrpessEarnedDiscount))*'2Day Base'!C56),2),ROUND(MinBase2Day*(1+ExpressFuelSurcharge),2),ROUND(((1-(TwoDayDiscount_21_Up+FedExExrpessEarnedDiscount))*'2Day Base'!C56)*(1+ExpressFuelSurcharge),2)))*(1+FedEx_Markup),2)</f>
        <v>65.75</v>
      </c>
      <c r="D59" s="275">
        <f>ROUND((IF(MinBase2Day&gt;ROUND(((1-(TwoDayDiscount_21_Up+FedExExrpessEarnedDiscount))*'2Day Base'!D56),2),ROUND(MinBase2Day*(1+ExpressFuelSurcharge),2),ROUND(((1-(TwoDayDiscount_21_Up+FedExExrpessEarnedDiscount))*'2Day Base'!D56)*(1+ExpressFuelSurcharge),2)))*(1+FedEx_Markup),2)</f>
        <v>84.02</v>
      </c>
      <c r="E59" s="275">
        <f>ROUND((IF(MinBase2Day&gt;ROUND(((1-(TwoDayDiscount_21_Up+FedExExrpessEarnedDiscount))*'2Day Base'!E56),2),ROUND(MinBase2Day*(1+ExpressFuelSurcharge),2),ROUND(((1-(TwoDayDiscount_21_Up+FedExExrpessEarnedDiscount))*'2Day Base'!E56)*(1+ExpressFuelSurcharge),2)))*(1+FedEx_Markup),2)</f>
        <v>123.14</v>
      </c>
      <c r="F59" s="275">
        <f>ROUND((IF(MinBase2Day&gt;ROUND(((1-(TwoDayDiscount_21_Up+FedExExrpessEarnedDiscount))*'2Day Base'!F56),2),ROUND(MinBase2Day*(1+ExpressFuelSurcharge),2),ROUND(((1-(TwoDayDiscount_21_Up+FedExExrpessEarnedDiscount))*'2Day Base'!F56)*(1+ExpressFuelSurcharge),2)))*(1+FedEx_Markup),2)</f>
        <v>199.53</v>
      </c>
      <c r="G59" s="275">
        <f>ROUND((IF(MinBase2Day&gt;ROUND(((1-(TwoDayDiscount_21_Up+FedExExrpessEarnedDiscount))*'2Day Base'!G56),2),ROUND(MinBase2Day*(1+ExpressFuelSurcharge),2),ROUND(((1-(TwoDayDiscount_21_Up+FedExExrpessEarnedDiscount))*'2Day Base'!G56)*(1+ExpressFuelSurcharge),2)))*(1+FedEx_Markup),2)</f>
        <v>217.22</v>
      </c>
      <c r="H59" s="275">
        <f>ROUND((IF(MinBase2Day&gt;ROUND(((1-(TwoDayDiscount_21_Up+FedExExrpessEarnedDiscount))*'2Day Base'!H56),2),ROUND(MinBase2Day*(1+ExpressFuelSurcharge),2),ROUND(((1-(TwoDayDiscount_21_Up+FedExExrpessEarnedDiscount))*'2Day Base'!H56)*(1+ExpressFuelSurcharge),2)))*(1+FedEx_Markup),2)</f>
        <v>221.57</v>
      </c>
      <c r="I59" s="275">
        <f>ROUND((IF(MinBase2Day&gt;ROUND(((1-(TwoDayDiscount_21_Up+FedExExrpessEarnedDiscount))*'2Day Base'!I56),2),ROUND(MinBase2Day*(1+ExpressFuelSurcharge),2),ROUND(((1-(TwoDayDiscount_21_Up+FedExExrpessEarnedDiscount))*'2Day Base'!I56)*(1+ExpressFuelSurcharge),2)))*(1+FedEx_Markup),2)</f>
        <v>226.01</v>
      </c>
      <c r="J59" s="275">
        <f>ROUND((IF(MinBase2Day&gt;ROUND(((1-(TwoDayDiscount_21_Up+FedExExrpessEarnedDiscount))*'2Day Base'!J56),2),ROUND(MinBase2Day*(1+ExpressFuelSurcharge),2),ROUND(((1-(TwoDayDiscount_21_Up+FedExExrpessEarnedDiscount))*'2Day Base'!J56)*(1+ExpressFuelSurcharge),2)))*(1+FedEx_Markup),2)</f>
        <v>226.01</v>
      </c>
      <c r="K59" s="275">
        <f>ROUND((IF(MinBase2Day&gt;ROUND(((1-(TwoDayDiscount_21_Up+FedExExrpessEarnedDiscount))*'2Day Base'!K56),2),ROUND(MinBase2Day*(1+ExpressFuelSurcharge),2),ROUND(((1-(TwoDayDiscount_21_Up+FedExExrpessEarnedDiscount))*'2Day Base'!K56)*(1+ExpressFuelSurcharge),2)))*(1+FedEx_Markup),2)</f>
        <v>233.14</v>
      </c>
      <c r="L59" s="275">
        <f>ROUND((IF(MinBase2Day&gt;ROUND(((1-(TwoDayDiscount_21_Up+FedExExrpessEarnedDiscount))*'2Day Base'!L56),2),ROUND(MinBase2Day*(1+ExpressFuelSurcharge),2),ROUND(((1-(TwoDayDiscount_21_Up+FedExExrpessEarnedDiscount))*'2Day Base'!L56)*(1+ExpressFuelSurcharge),2)))*(1+FedEx_Markup),2)</f>
        <v>233.14</v>
      </c>
    </row>
    <row r="60" ht="12.75" customHeight="1">
      <c r="A60" s="274">
        <v>55.0</v>
      </c>
      <c r="B60" s="275">
        <f>ROUND((IF(MinBase2Day&gt;ROUND(((1-(TwoDayDiscount_21_Up+FedExExrpessEarnedDiscount))*'2Day Base'!B57),2),ROUND(MinBase2Day*(1+ExpressFuelSurcharge),2),ROUND(((1-(TwoDayDiscount_21_Up+FedExExrpessEarnedDiscount))*'2Day Base'!B57)*(1+ExpressFuelSurcharge),2)))*(1+FedEx_Markup),2)</f>
        <v>55.94</v>
      </c>
      <c r="C60" s="275">
        <f>ROUND((IF(MinBase2Day&gt;ROUND(((1-(TwoDayDiscount_21_Up+FedExExrpessEarnedDiscount))*'2Day Base'!C57),2),ROUND(MinBase2Day*(1+ExpressFuelSurcharge),2),ROUND(((1-(TwoDayDiscount_21_Up+FedExExrpessEarnedDiscount))*'2Day Base'!C57)*(1+ExpressFuelSurcharge),2)))*(1+FedEx_Markup),2)</f>
        <v>66</v>
      </c>
      <c r="D60" s="275">
        <f>ROUND((IF(MinBase2Day&gt;ROUND(((1-(TwoDayDiscount_21_Up+FedExExrpessEarnedDiscount))*'2Day Base'!D57),2),ROUND(MinBase2Day*(1+ExpressFuelSurcharge),2),ROUND(((1-(TwoDayDiscount_21_Up+FedExExrpessEarnedDiscount))*'2Day Base'!D57)*(1+ExpressFuelSurcharge),2)))*(1+FedEx_Markup),2)</f>
        <v>84.76</v>
      </c>
      <c r="E60" s="275">
        <f>ROUND((IF(MinBase2Day&gt;ROUND(((1-(TwoDayDiscount_21_Up+FedExExrpessEarnedDiscount))*'2Day Base'!E57),2),ROUND(MinBase2Day*(1+ExpressFuelSurcharge),2),ROUND(((1-(TwoDayDiscount_21_Up+FedExExrpessEarnedDiscount))*'2Day Base'!E57)*(1+ExpressFuelSurcharge),2)))*(1+FedEx_Markup),2)</f>
        <v>123.43</v>
      </c>
      <c r="F60" s="275">
        <f>ROUND((IF(MinBase2Day&gt;ROUND(((1-(TwoDayDiscount_21_Up+FedExExrpessEarnedDiscount))*'2Day Base'!F57),2),ROUND(MinBase2Day*(1+ExpressFuelSurcharge),2),ROUND(((1-(TwoDayDiscount_21_Up+FedExExrpessEarnedDiscount))*'2Day Base'!F57)*(1+ExpressFuelSurcharge),2)))*(1+FedEx_Markup),2)</f>
        <v>208.07</v>
      </c>
      <c r="G60" s="275">
        <f>ROUND((IF(MinBase2Day&gt;ROUND(((1-(TwoDayDiscount_21_Up+FedExExrpessEarnedDiscount))*'2Day Base'!G57),2),ROUND(MinBase2Day*(1+ExpressFuelSurcharge),2),ROUND(((1-(TwoDayDiscount_21_Up+FedExExrpessEarnedDiscount))*'2Day Base'!G57)*(1+ExpressFuelSurcharge),2)))*(1+FedEx_Markup),2)</f>
        <v>217.5</v>
      </c>
      <c r="H60" s="275">
        <f>ROUND((IF(MinBase2Day&gt;ROUND(((1-(TwoDayDiscount_21_Up+FedExExrpessEarnedDiscount))*'2Day Base'!H57),2),ROUND(MinBase2Day*(1+ExpressFuelSurcharge),2),ROUND(((1-(TwoDayDiscount_21_Up+FedExExrpessEarnedDiscount))*'2Day Base'!H57)*(1+ExpressFuelSurcharge),2)))*(1+FedEx_Markup),2)</f>
        <v>221.85</v>
      </c>
      <c r="I60" s="275">
        <f>ROUND((IF(MinBase2Day&gt;ROUND(((1-(TwoDayDiscount_21_Up+FedExExrpessEarnedDiscount))*'2Day Base'!I57),2),ROUND(MinBase2Day*(1+ExpressFuelSurcharge),2),ROUND(((1-(TwoDayDiscount_21_Up+FedExExrpessEarnedDiscount))*'2Day Base'!I57)*(1+ExpressFuelSurcharge),2)))*(1+FedEx_Markup),2)</f>
        <v>226.29</v>
      </c>
      <c r="J60" s="275">
        <f>ROUND((IF(MinBase2Day&gt;ROUND(((1-(TwoDayDiscount_21_Up+FedExExrpessEarnedDiscount))*'2Day Base'!J57),2),ROUND(MinBase2Day*(1+ExpressFuelSurcharge),2),ROUND(((1-(TwoDayDiscount_21_Up+FedExExrpessEarnedDiscount))*'2Day Base'!J57)*(1+ExpressFuelSurcharge),2)))*(1+FedEx_Markup),2)</f>
        <v>226.29</v>
      </c>
      <c r="K60" s="275">
        <f>ROUND((IF(MinBase2Day&gt;ROUND(((1-(TwoDayDiscount_21_Up+FedExExrpessEarnedDiscount))*'2Day Base'!K57),2),ROUND(MinBase2Day*(1+ExpressFuelSurcharge),2),ROUND(((1-(TwoDayDiscount_21_Up+FedExExrpessEarnedDiscount))*'2Day Base'!K57)*(1+ExpressFuelSurcharge),2)))*(1+FedEx_Markup),2)</f>
        <v>233.38</v>
      </c>
      <c r="L60" s="275">
        <f>ROUND((IF(MinBase2Day&gt;ROUND(((1-(TwoDayDiscount_21_Up+FedExExrpessEarnedDiscount))*'2Day Base'!L57),2),ROUND(MinBase2Day*(1+ExpressFuelSurcharge),2),ROUND(((1-(TwoDayDiscount_21_Up+FedExExrpessEarnedDiscount))*'2Day Base'!L57)*(1+ExpressFuelSurcharge),2)))*(1+FedEx_Markup),2)</f>
        <v>233.38</v>
      </c>
    </row>
    <row r="61" ht="12.75" customHeight="1">
      <c r="A61" s="274">
        <v>56.0</v>
      </c>
      <c r="B61" s="275">
        <f>ROUND((IF(MinBase2Day&gt;ROUND(((1-(TwoDayDiscount_21_Up+FedExExrpessEarnedDiscount))*'2Day Base'!B58),2),ROUND(MinBase2Day*(1+ExpressFuelSurcharge),2),ROUND(((1-(TwoDayDiscount_21_Up+FedExExrpessEarnedDiscount))*'2Day Base'!B58)*(1+ExpressFuelSurcharge),2)))*(1+FedEx_Markup),2)</f>
        <v>56.38</v>
      </c>
      <c r="C61" s="275">
        <f>ROUND((IF(MinBase2Day&gt;ROUND(((1-(TwoDayDiscount_21_Up+FedExExrpessEarnedDiscount))*'2Day Base'!C58),2),ROUND(MinBase2Day*(1+ExpressFuelSurcharge),2),ROUND(((1-(TwoDayDiscount_21_Up+FedExExrpessEarnedDiscount))*'2Day Base'!C58)*(1+ExpressFuelSurcharge),2)))*(1+FedEx_Markup),2)</f>
        <v>66.26</v>
      </c>
      <c r="D61" s="275">
        <f>ROUND((IF(MinBase2Day&gt;ROUND(((1-(TwoDayDiscount_21_Up+FedExExrpessEarnedDiscount))*'2Day Base'!D58),2),ROUND(MinBase2Day*(1+ExpressFuelSurcharge),2),ROUND(((1-(TwoDayDiscount_21_Up+FedExExrpessEarnedDiscount))*'2Day Base'!D58)*(1+ExpressFuelSurcharge),2)))*(1+FedEx_Markup),2)</f>
        <v>85.01</v>
      </c>
      <c r="E61" s="275">
        <f>ROUND((IF(MinBase2Day&gt;ROUND(((1-(TwoDayDiscount_21_Up+FedExExrpessEarnedDiscount))*'2Day Base'!E58),2),ROUND(MinBase2Day*(1+ExpressFuelSurcharge),2),ROUND(((1-(TwoDayDiscount_21_Up+FedExExrpessEarnedDiscount))*'2Day Base'!E58)*(1+ExpressFuelSurcharge),2)))*(1+FedEx_Markup),2)</f>
        <v>123.79</v>
      </c>
      <c r="F61" s="275">
        <f>ROUND((IF(MinBase2Day&gt;ROUND(((1-(TwoDayDiscount_21_Up+FedExExrpessEarnedDiscount))*'2Day Base'!F58),2),ROUND(MinBase2Day*(1+ExpressFuelSurcharge),2),ROUND(((1-(TwoDayDiscount_21_Up+FedExExrpessEarnedDiscount))*'2Day Base'!F58)*(1+ExpressFuelSurcharge),2)))*(1+FedEx_Markup),2)</f>
        <v>208.93</v>
      </c>
      <c r="G61" s="275">
        <f>ROUND((IF(MinBase2Day&gt;ROUND(((1-(TwoDayDiscount_21_Up+FedExExrpessEarnedDiscount))*'2Day Base'!G58),2),ROUND(MinBase2Day*(1+ExpressFuelSurcharge),2),ROUND(((1-(TwoDayDiscount_21_Up+FedExExrpessEarnedDiscount))*'2Day Base'!G58)*(1+ExpressFuelSurcharge),2)))*(1+FedEx_Markup),2)</f>
        <v>217.76</v>
      </c>
      <c r="H61" s="275">
        <f>ROUND((IF(MinBase2Day&gt;ROUND(((1-(TwoDayDiscount_21_Up+FedExExrpessEarnedDiscount))*'2Day Base'!H58),2),ROUND(MinBase2Day*(1+ExpressFuelSurcharge),2),ROUND(((1-(TwoDayDiscount_21_Up+FedExExrpessEarnedDiscount))*'2Day Base'!H58)*(1+ExpressFuelSurcharge),2)))*(1+FedEx_Markup),2)</f>
        <v>222.12</v>
      </c>
      <c r="I61" s="275">
        <f>ROUND((IF(MinBase2Day&gt;ROUND(((1-(TwoDayDiscount_21_Up+FedExExrpessEarnedDiscount))*'2Day Base'!I58),2),ROUND(MinBase2Day*(1+ExpressFuelSurcharge),2),ROUND(((1-(TwoDayDiscount_21_Up+FedExExrpessEarnedDiscount))*'2Day Base'!I58)*(1+ExpressFuelSurcharge),2)))*(1+FedEx_Markup),2)</f>
        <v>226.57</v>
      </c>
      <c r="J61" s="275">
        <f>ROUND((IF(MinBase2Day&gt;ROUND(((1-(TwoDayDiscount_21_Up+FedExExrpessEarnedDiscount))*'2Day Base'!J58),2),ROUND(MinBase2Day*(1+ExpressFuelSurcharge),2),ROUND(((1-(TwoDayDiscount_21_Up+FedExExrpessEarnedDiscount))*'2Day Base'!J58)*(1+ExpressFuelSurcharge),2)))*(1+FedEx_Markup),2)</f>
        <v>226.57</v>
      </c>
      <c r="K61" s="275">
        <f>ROUND((IF(MinBase2Day&gt;ROUND(((1-(TwoDayDiscount_21_Up+FedExExrpessEarnedDiscount))*'2Day Base'!K58),2),ROUND(MinBase2Day*(1+ExpressFuelSurcharge),2),ROUND(((1-(TwoDayDiscount_21_Up+FedExExrpessEarnedDiscount))*'2Day Base'!K58)*(1+ExpressFuelSurcharge),2)))*(1+FedEx_Markup),2)</f>
        <v>233.63</v>
      </c>
      <c r="L61" s="275">
        <f>ROUND((IF(MinBase2Day&gt;ROUND(((1-(TwoDayDiscount_21_Up+FedExExrpessEarnedDiscount))*'2Day Base'!L58),2),ROUND(MinBase2Day*(1+ExpressFuelSurcharge),2),ROUND(((1-(TwoDayDiscount_21_Up+FedExExrpessEarnedDiscount))*'2Day Base'!L58)*(1+ExpressFuelSurcharge),2)))*(1+FedEx_Markup),2)</f>
        <v>233.63</v>
      </c>
    </row>
    <row r="62" ht="12.75" customHeight="1">
      <c r="A62" s="274">
        <v>57.0</v>
      </c>
      <c r="B62" s="275">
        <f>ROUND((IF(MinBase2Day&gt;ROUND(((1-(TwoDayDiscount_21_Up+FedExExrpessEarnedDiscount))*'2Day Base'!B59),2),ROUND(MinBase2Day*(1+ExpressFuelSurcharge),2),ROUND(((1-(TwoDayDiscount_21_Up+FedExExrpessEarnedDiscount))*'2Day Base'!B59)*(1+ExpressFuelSurcharge),2)))*(1+FedEx_Markup),2)</f>
        <v>56.64</v>
      </c>
      <c r="C62" s="275">
        <f>ROUND((IF(MinBase2Day&gt;ROUND(((1-(TwoDayDiscount_21_Up+FedExExrpessEarnedDiscount))*'2Day Base'!C59),2),ROUND(MinBase2Day*(1+ExpressFuelSurcharge),2),ROUND(((1-(TwoDayDiscount_21_Up+FedExExrpessEarnedDiscount))*'2Day Base'!C59)*(1+ExpressFuelSurcharge),2)))*(1+FedEx_Markup),2)</f>
        <v>69.12</v>
      </c>
      <c r="D62" s="275">
        <f>ROUND((IF(MinBase2Day&gt;ROUND(((1-(TwoDayDiscount_21_Up+FedExExrpessEarnedDiscount))*'2Day Base'!D59),2),ROUND(MinBase2Day*(1+ExpressFuelSurcharge),2),ROUND(((1-(TwoDayDiscount_21_Up+FedExExrpessEarnedDiscount))*'2Day Base'!D59)*(1+ExpressFuelSurcharge),2)))*(1+FedEx_Markup),2)</f>
        <v>87.62</v>
      </c>
      <c r="E62" s="275">
        <f>ROUND((IF(MinBase2Day&gt;ROUND(((1-(TwoDayDiscount_21_Up+FedExExrpessEarnedDiscount))*'2Day Base'!E59),2),ROUND(MinBase2Day*(1+ExpressFuelSurcharge),2),ROUND(((1-(TwoDayDiscount_21_Up+FedExExrpessEarnedDiscount))*'2Day Base'!E59)*(1+ExpressFuelSurcharge),2)))*(1+FedEx_Markup),2)</f>
        <v>130.77</v>
      </c>
      <c r="F62" s="275">
        <f>ROUND((IF(MinBase2Day&gt;ROUND(((1-(TwoDayDiscount_21_Up+FedExExrpessEarnedDiscount))*'2Day Base'!F59),2),ROUND(MinBase2Day*(1+ExpressFuelSurcharge),2),ROUND(((1-(TwoDayDiscount_21_Up+FedExExrpessEarnedDiscount))*'2Day Base'!F59)*(1+ExpressFuelSurcharge),2)))*(1+FedEx_Markup),2)</f>
        <v>215.73</v>
      </c>
      <c r="G62" s="275">
        <f>ROUND((IF(MinBase2Day&gt;ROUND(((1-(TwoDayDiscount_21_Up+FedExExrpessEarnedDiscount))*'2Day Base'!G59),2),ROUND(MinBase2Day*(1+ExpressFuelSurcharge),2),ROUND(((1-(TwoDayDiscount_21_Up+FedExExrpessEarnedDiscount))*'2Day Base'!G59)*(1+ExpressFuelSurcharge),2)))*(1+FedEx_Markup),2)</f>
        <v>222.16</v>
      </c>
      <c r="H62" s="275">
        <f>ROUND((IF(MinBase2Day&gt;ROUND(((1-(TwoDayDiscount_21_Up+FedExExrpessEarnedDiscount))*'2Day Base'!H59),2),ROUND(MinBase2Day*(1+ExpressFuelSurcharge),2),ROUND(((1-(TwoDayDiscount_21_Up+FedExExrpessEarnedDiscount))*'2Day Base'!H59)*(1+ExpressFuelSurcharge),2)))*(1+FedEx_Markup),2)</f>
        <v>226.61</v>
      </c>
      <c r="I62" s="275">
        <f>ROUND((IF(MinBase2Day&gt;ROUND(((1-(TwoDayDiscount_21_Up+FedExExrpessEarnedDiscount))*'2Day Base'!I59),2),ROUND(MinBase2Day*(1+ExpressFuelSurcharge),2),ROUND(((1-(TwoDayDiscount_21_Up+FedExExrpessEarnedDiscount))*'2Day Base'!I59)*(1+ExpressFuelSurcharge),2)))*(1+FedEx_Markup),2)</f>
        <v>231.14</v>
      </c>
      <c r="J62" s="275">
        <f>ROUND((IF(MinBase2Day&gt;ROUND(((1-(TwoDayDiscount_21_Up+FedExExrpessEarnedDiscount))*'2Day Base'!J59),2),ROUND(MinBase2Day*(1+ExpressFuelSurcharge),2),ROUND(((1-(TwoDayDiscount_21_Up+FedExExrpessEarnedDiscount))*'2Day Base'!J59)*(1+ExpressFuelSurcharge),2)))*(1+FedEx_Markup),2)</f>
        <v>231.14</v>
      </c>
      <c r="K62" s="275">
        <f>ROUND((IF(MinBase2Day&gt;ROUND(((1-(TwoDayDiscount_21_Up+FedExExrpessEarnedDiscount))*'2Day Base'!K59),2),ROUND(MinBase2Day*(1+ExpressFuelSurcharge),2),ROUND(((1-(TwoDayDiscount_21_Up+FedExExrpessEarnedDiscount))*'2Day Base'!K59)*(1+ExpressFuelSurcharge),2)))*(1+FedEx_Markup),2)</f>
        <v>237.81</v>
      </c>
      <c r="L62" s="275">
        <f>ROUND((IF(MinBase2Day&gt;ROUND(((1-(TwoDayDiscount_21_Up+FedExExrpessEarnedDiscount))*'2Day Base'!L59),2),ROUND(MinBase2Day*(1+ExpressFuelSurcharge),2),ROUND(((1-(TwoDayDiscount_21_Up+FedExExrpessEarnedDiscount))*'2Day Base'!L59)*(1+ExpressFuelSurcharge),2)))*(1+FedEx_Markup),2)</f>
        <v>237.81</v>
      </c>
    </row>
    <row r="63" ht="12.75" customHeight="1">
      <c r="A63" s="274">
        <v>58.0</v>
      </c>
      <c r="B63" s="275">
        <f>ROUND((IF(MinBase2Day&gt;ROUND(((1-(TwoDayDiscount_21_Up+FedExExrpessEarnedDiscount))*'2Day Base'!B60),2),ROUND(MinBase2Day*(1+ExpressFuelSurcharge),2),ROUND(((1-(TwoDayDiscount_21_Up+FedExExrpessEarnedDiscount))*'2Day Base'!B60)*(1+ExpressFuelSurcharge),2)))*(1+FedEx_Markup),2)</f>
        <v>56.91</v>
      </c>
      <c r="C63" s="275">
        <f>ROUND((IF(MinBase2Day&gt;ROUND(((1-(TwoDayDiscount_21_Up+FedExExrpessEarnedDiscount))*'2Day Base'!C60),2),ROUND(MinBase2Day*(1+ExpressFuelSurcharge),2),ROUND(((1-(TwoDayDiscount_21_Up+FedExExrpessEarnedDiscount))*'2Day Base'!C60)*(1+ExpressFuelSurcharge),2)))*(1+FedEx_Markup),2)</f>
        <v>69.41</v>
      </c>
      <c r="D63" s="275">
        <f>ROUND((IF(MinBase2Day&gt;ROUND(((1-(TwoDayDiscount_21_Up+FedExExrpessEarnedDiscount))*'2Day Base'!D60),2),ROUND(MinBase2Day*(1+ExpressFuelSurcharge),2),ROUND(((1-(TwoDayDiscount_21_Up+FedExExrpessEarnedDiscount))*'2Day Base'!D60)*(1+ExpressFuelSurcharge),2)))*(1+FedEx_Markup),2)</f>
        <v>87.88</v>
      </c>
      <c r="E63" s="275">
        <f>ROUND((IF(MinBase2Day&gt;ROUND(((1-(TwoDayDiscount_21_Up+FedExExrpessEarnedDiscount))*'2Day Base'!E60),2),ROUND(MinBase2Day*(1+ExpressFuelSurcharge),2),ROUND(((1-(TwoDayDiscount_21_Up+FedExExrpessEarnedDiscount))*'2Day Base'!E60)*(1+ExpressFuelSurcharge),2)))*(1+FedEx_Markup),2)</f>
        <v>131.48</v>
      </c>
      <c r="F63" s="275">
        <f>ROUND((IF(MinBase2Day&gt;ROUND(((1-(TwoDayDiscount_21_Up+FedExExrpessEarnedDiscount))*'2Day Base'!F60),2),ROUND(MinBase2Day*(1+ExpressFuelSurcharge),2),ROUND(((1-(TwoDayDiscount_21_Up+FedExExrpessEarnedDiscount))*'2Day Base'!F60)*(1+ExpressFuelSurcharge),2)))*(1+FedEx_Markup),2)</f>
        <v>218.24</v>
      </c>
      <c r="G63" s="275">
        <f>ROUND((IF(MinBase2Day&gt;ROUND(((1-(TwoDayDiscount_21_Up+FedExExrpessEarnedDiscount))*'2Day Base'!G60),2),ROUND(MinBase2Day*(1+ExpressFuelSurcharge),2),ROUND(((1-(TwoDayDiscount_21_Up+FedExExrpessEarnedDiscount))*'2Day Base'!G60)*(1+ExpressFuelSurcharge),2)))*(1+FedEx_Markup),2)</f>
        <v>222.61</v>
      </c>
      <c r="H63" s="275">
        <f>ROUND((IF(MinBase2Day&gt;ROUND(((1-(TwoDayDiscount_21_Up+FedExExrpessEarnedDiscount))*'2Day Base'!H60),2),ROUND(MinBase2Day*(1+ExpressFuelSurcharge),2),ROUND(((1-(TwoDayDiscount_21_Up+FedExExrpessEarnedDiscount))*'2Day Base'!H60)*(1+ExpressFuelSurcharge),2)))*(1+FedEx_Markup),2)</f>
        <v>227.06</v>
      </c>
      <c r="I63" s="275">
        <f>ROUND((IF(MinBase2Day&gt;ROUND(((1-(TwoDayDiscount_21_Up+FedExExrpessEarnedDiscount))*'2Day Base'!I60),2),ROUND(MinBase2Day*(1+ExpressFuelSurcharge),2),ROUND(((1-(TwoDayDiscount_21_Up+FedExExrpessEarnedDiscount))*'2Day Base'!I60)*(1+ExpressFuelSurcharge),2)))*(1+FedEx_Markup),2)</f>
        <v>231.61</v>
      </c>
      <c r="J63" s="275">
        <f>ROUND((IF(MinBase2Day&gt;ROUND(((1-(TwoDayDiscount_21_Up+FedExExrpessEarnedDiscount))*'2Day Base'!J60),2),ROUND(MinBase2Day*(1+ExpressFuelSurcharge),2),ROUND(((1-(TwoDayDiscount_21_Up+FedExExrpessEarnedDiscount))*'2Day Base'!J60)*(1+ExpressFuelSurcharge),2)))*(1+FedEx_Markup),2)</f>
        <v>231.61</v>
      </c>
      <c r="K63" s="275">
        <f>ROUND((IF(MinBase2Day&gt;ROUND(((1-(TwoDayDiscount_21_Up+FedExExrpessEarnedDiscount))*'2Day Base'!K60),2),ROUND(MinBase2Day*(1+ExpressFuelSurcharge),2),ROUND(((1-(TwoDayDiscount_21_Up+FedExExrpessEarnedDiscount))*'2Day Base'!K60)*(1+ExpressFuelSurcharge),2)))*(1+FedEx_Markup),2)</f>
        <v>238.23</v>
      </c>
      <c r="L63" s="275">
        <f>ROUND((IF(MinBase2Day&gt;ROUND(((1-(TwoDayDiscount_21_Up+FedExExrpessEarnedDiscount))*'2Day Base'!L60),2),ROUND(MinBase2Day*(1+ExpressFuelSurcharge),2),ROUND(((1-(TwoDayDiscount_21_Up+FedExExrpessEarnedDiscount))*'2Day Base'!L60)*(1+ExpressFuelSurcharge),2)))*(1+FedEx_Markup),2)</f>
        <v>238.23</v>
      </c>
    </row>
    <row r="64" ht="12.75" customHeight="1">
      <c r="A64" s="274">
        <v>59.0</v>
      </c>
      <c r="B64" s="275">
        <f>ROUND((IF(MinBase2Day&gt;ROUND(((1-(TwoDayDiscount_21_Up+FedExExrpessEarnedDiscount))*'2Day Base'!B61),2),ROUND(MinBase2Day*(1+ExpressFuelSurcharge),2),ROUND(((1-(TwoDayDiscount_21_Up+FedExExrpessEarnedDiscount))*'2Day Base'!B61)*(1+ExpressFuelSurcharge),2)))*(1+FedEx_Markup),2)</f>
        <v>57.17</v>
      </c>
      <c r="C64" s="275">
        <f>ROUND((IF(MinBase2Day&gt;ROUND(((1-(TwoDayDiscount_21_Up+FedExExrpessEarnedDiscount))*'2Day Base'!C61),2),ROUND(MinBase2Day*(1+ExpressFuelSurcharge),2),ROUND(((1-(TwoDayDiscount_21_Up+FedExExrpessEarnedDiscount))*'2Day Base'!C61)*(1+ExpressFuelSurcharge),2)))*(1+FedEx_Markup),2)</f>
        <v>69.83</v>
      </c>
      <c r="D64" s="275">
        <f>ROUND((IF(MinBase2Day&gt;ROUND(((1-(TwoDayDiscount_21_Up+FedExExrpessEarnedDiscount))*'2Day Base'!D61),2),ROUND(MinBase2Day*(1+ExpressFuelSurcharge),2),ROUND(((1-(TwoDayDiscount_21_Up+FedExExrpessEarnedDiscount))*'2Day Base'!D61)*(1+ExpressFuelSurcharge),2)))*(1+FedEx_Markup),2)</f>
        <v>90.92</v>
      </c>
      <c r="E64" s="275">
        <f>ROUND((IF(MinBase2Day&gt;ROUND(((1-(TwoDayDiscount_21_Up+FedExExrpessEarnedDiscount))*'2Day Base'!E61),2),ROUND(MinBase2Day*(1+ExpressFuelSurcharge),2),ROUND(((1-(TwoDayDiscount_21_Up+FedExExrpessEarnedDiscount))*'2Day Base'!E61)*(1+ExpressFuelSurcharge),2)))*(1+FedEx_Markup),2)</f>
        <v>131.77</v>
      </c>
      <c r="F64" s="275">
        <f>ROUND((IF(MinBase2Day&gt;ROUND(((1-(TwoDayDiscount_21_Up+FedExExrpessEarnedDiscount))*'2Day Base'!F61),2),ROUND(MinBase2Day*(1+ExpressFuelSurcharge),2),ROUND(((1-(TwoDayDiscount_21_Up+FedExExrpessEarnedDiscount))*'2Day Base'!F61)*(1+ExpressFuelSurcharge),2)))*(1+FedEx_Markup),2)</f>
        <v>220.95</v>
      </c>
      <c r="G64" s="275">
        <f>ROUND((IF(MinBase2Day&gt;ROUND(((1-(TwoDayDiscount_21_Up+FedExExrpessEarnedDiscount))*'2Day Base'!G61),2),ROUND(MinBase2Day*(1+ExpressFuelSurcharge),2),ROUND(((1-(TwoDayDiscount_21_Up+FedExExrpessEarnedDiscount))*'2Day Base'!G61)*(1+ExpressFuelSurcharge),2)))*(1+FedEx_Markup),2)</f>
        <v>225.38</v>
      </c>
      <c r="H64" s="275">
        <f>ROUND((IF(MinBase2Day&gt;ROUND(((1-(TwoDayDiscount_21_Up+FedExExrpessEarnedDiscount))*'2Day Base'!H61),2),ROUND(MinBase2Day*(1+ExpressFuelSurcharge),2),ROUND(((1-(TwoDayDiscount_21_Up+FedExExrpessEarnedDiscount))*'2Day Base'!H61)*(1+ExpressFuelSurcharge),2)))*(1+FedEx_Markup),2)</f>
        <v>229.89</v>
      </c>
      <c r="I64" s="275">
        <f>ROUND((IF(MinBase2Day&gt;ROUND(((1-(TwoDayDiscount_21_Up+FedExExrpessEarnedDiscount))*'2Day Base'!I61),2),ROUND(MinBase2Day*(1+ExpressFuelSurcharge),2),ROUND(((1-(TwoDayDiscount_21_Up+FedExExrpessEarnedDiscount))*'2Day Base'!I61)*(1+ExpressFuelSurcharge),2)))*(1+FedEx_Markup),2)</f>
        <v>234.49</v>
      </c>
      <c r="J64" s="275">
        <f>ROUND((IF(MinBase2Day&gt;ROUND(((1-(TwoDayDiscount_21_Up+FedExExrpessEarnedDiscount))*'2Day Base'!J61),2),ROUND(MinBase2Day*(1+ExpressFuelSurcharge),2),ROUND(((1-(TwoDayDiscount_21_Up+FedExExrpessEarnedDiscount))*'2Day Base'!J61)*(1+ExpressFuelSurcharge),2)))*(1+FedEx_Markup),2)</f>
        <v>234.49</v>
      </c>
      <c r="K64" s="275">
        <f>ROUND((IF(MinBase2Day&gt;ROUND(((1-(TwoDayDiscount_21_Up+FedExExrpessEarnedDiscount))*'2Day Base'!K61),2),ROUND(MinBase2Day*(1+ExpressFuelSurcharge),2),ROUND(((1-(TwoDayDiscount_21_Up+FedExExrpessEarnedDiscount))*'2Day Base'!K61)*(1+ExpressFuelSurcharge),2)))*(1+FedEx_Markup),2)</f>
        <v>239.19</v>
      </c>
      <c r="L64" s="275">
        <f>ROUND((IF(MinBase2Day&gt;ROUND(((1-(TwoDayDiscount_21_Up+FedExExrpessEarnedDiscount))*'2Day Base'!L61),2),ROUND(MinBase2Day*(1+ExpressFuelSurcharge),2),ROUND(((1-(TwoDayDiscount_21_Up+FedExExrpessEarnedDiscount))*'2Day Base'!L61)*(1+ExpressFuelSurcharge),2)))*(1+FedEx_Markup),2)</f>
        <v>239.19</v>
      </c>
    </row>
    <row r="65" ht="12.75" customHeight="1">
      <c r="A65" s="274">
        <v>60.0</v>
      </c>
      <c r="B65" s="275">
        <f>ROUND((IF(MinBase2Day&gt;ROUND(((1-(TwoDayDiscount_21_Up+FedExExrpessEarnedDiscount))*'2Day Base'!B62),2),ROUND(MinBase2Day*(1+ExpressFuelSurcharge),2),ROUND(((1-(TwoDayDiscount_21_Up+FedExExrpessEarnedDiscount))*'2Day Base'!B62)*(1+ExpressFuelSurcharge),2)))*(1+FedEx_Markup),2)</f>
        <v>57.43</v>
      </c>
      <c r="C65" s="275">
        <f>ROUND((IF(MinBase2Day&gt;ROUND(((1-(TwoDayDiscount_21_Up+FedExExrpessEarnedDiscount))*'2Day Base'!C62),2),ROUND(MinBase2Day*(1+ExpressFuelSurcharge),2),ROUND(((1-(TwoDayDiscount_21_Up+FedExExrpessEarnedDiscount))*'2Day Base'!C62)*(1+ExpressFuelSurcharge),2)))*(1+FedEx_Markup),2)</f>
        <v>70.08</v>
      </c>
      <c r="D65" s="275">
        <f>ROUND((IF(MinBase2Day&gt;ROUND(((1-(TwoDayDiscount_21_Up+FedExExrpessEarnedDiscount))*'2Day Base'!D62),2),ROUND(MinBase2Day*(1+ExpressFuelSurcharge),2),ROUND(((1-(TwoDayDiscount_21_Up+FedExExrpessEarnedDiscount))*'2Day Base'!D62)*(1+ExpressFuelSurcharge),2)))*(1+FedEx_Markup),2)</f>
        <v>91.44</v>
      </c>
      <c r="E65" s="275">
        <f>ROUND((IF(MinBase2Day&gt;ROUND(((1-(TwoDayDiscount_21_Up+FedExExrpessEarnedDiscount))*'2Day Base'!E62),2),ROUND(MinBase2Day*(1+ExpressFuelSurcharge),2),ROUND(((1-(TwoDayDiscount_21_Up+FedExExrpessEarnedDiscount))*'2Day Base'!E62)*(1+ExpressFuelSurcharge),2)))*(1+FedEx_Markup),2)</f>
        <v>135.44</v>
      </c>
      <c r="F65" s="275">
        <f>ROUND((IF(MinBase2Day&gt;ROUND(((1-(TwoDayDiscount_21_Up+FedExExrpessEarnedDiscount))*'2Day Base'!F62),2),ROUND(MinBase2Day*(1+ExpressFuelSurcharge),2),ROUND(((1-(TwoDayDiscount_21_Up+FedExExrpessEarnedDiscount))*'2Day Base'!F62)*(1+ExpressFuelSurcharge),2)))*(1+FedEx_Markup),2)</f>
        <v>224.34</v>
      </c>
      <c r="G65" s="275">
        <f>ROUND((IF(MinBase2Day&gt;ROUND(((1-(TwoDayDiscount_21_Up+FedExExrpessEarnedDiscount))*'2Day Base'!G62),2),ROUND(MinBase2Day*(1+ExpressFuelSurcharge),2),ROUND(((1-(TwoDayDiscount_21_Up+FedExExrpessEarnedDiscount))*'2Day Base'!G62)*(1+ExpressFuelSurcharge),2)))*(1+FedEx_Markup),2)</f>
        <v>230.38</v>
      </c>
      <c r="H65" s="275">
        <f>ROUND((IF(MinBase2Day&gt;ROUND(((1-(TwoDayDiscount_21_Up+FedExExrpessEarnedDiscount))*'2Day Base'!H62),2),ROUND(MinBase2Day*(1+ExpressFuelSurcharge),2),ROUND(((1-(TwoDayDiscount_21_Up+FedExExrpessEarnedDiscount))*'2Day Base'!H62)*(1+ExpressFuelSurcharge),2)))*(1+FedEx_Markup),2)</f>
        <v>234.99</v>
      </c>
      <c r="I65" s="275">
        <f>ROUND((IF(MinBase2Day&gt;ROUND(((1-(TwoDayDiscount_21_Up+FedExExrpessEarnedDiscount))*'2Day Base'!I62),2),ROUND(MinBase2Day*(1+ExpressFuelSurcharge),2),ROUND(((1-(TwoDayDiscount_21_Up+FedExExrpessEarnedDiscount))*'2Day Base'!I62)*(1+ExpressFuelSurcharge),2)))*(1+FedEx_Markup),2)</f>
        <v>239.68</v>
      </c>
      <c r="J65" s="275">
        <f>ROUND((IF(MinBase2Day&gt;ROUND(((1-(TwoDayDiscount_21_Up+FedExExrpessEarnedDiscount))*'2Day Base'!J62),2),ROUND(MinBase2Day*(1+ExpressFuelSurcharge),2),ROUND(((1-(TwoDayDiscount_21_Up+FedExExrpessEarnedDiscount))*'2Day Base'!J62)*(1+ExpressFuelSurcharge),2)))*(1+FedEx_Markup),2)</f>
        <v>239.68</v>
      </c>
      <c r="K65" s="275">
        <f>ROUND((IF(MinBase2Day&gt;ROUND(((1-(TwoDayDiscount_21_Up+FedExExrpessEarnedDiscount))*'2Day Base'!K62),2),ROUND(MinBase2Day*(1+ExpressFuelSurcharge),2),ROUND(((1-(TwoDayDiscount_21_Up+FedExExrpessEarnedDiscount))*'2Day Base'!K62)*(1+ExpressFuelSurcharge),2)))*(1+FedEx_Markup),2)</f>
        <v>244.49</v>
      </c>
      <c r="L65" s="275">
        <f>ROUND((IF(MinBase2Day&gt;ROUND(((1-(TwoDayDiscount_21_Up+FedExExrpessEarnedDiscount))*'2Day Base'!L62),2),ROUND(MinBase2Day*(1+ExpressFuelSurcharge),2),ROUND(((1-(TwoDayDiscount_21_Up+FedExExrpessEarnedDiscount))*'2Day Base'!L62)*(1+ExpressFuelSurcharge),2)))*(1+FedEx_Markup),2)</f>
        <v>244.49</v>
      </c>
    </row>
    <row r="66" ht="12.75" customHeight="1">
      <c r="A66" s="274">
        <v>61.0</v>
      </c>
      <c r="B66" s="275">
        <f>ROUND((IF(MinBase2Day&gt;ROUND(((1-(TwoDayDiscount_21_Up+FedExExrpessEarnedDiscount))*'2Day Base'!B63),2),ROUND(MinBase2Day*(1+ExpressFuelSurcharge),2),ROUND(((1-(TwoDayDiscount_21_Up+FedExExrpessEarnedDiscount))*'2Day Base'!B63)*(1+ExpressFuelSurcharge),2)))*(1+FedEx_Markup),2)</f>
        <v>57.7</v>
      </c>
      <c r="C66" s="275">
        <f>ROUND((IF(MinBase2Day&gt;ROUND(((1-(TwoDayDiscount_21_Up+FedExExrpessEarnedDiscount))*'2Day Base'!C63),2),ROUND(MinBase2Day*(1+ExpressFuelSurcharge),2),ROUND(((1-(TwoDayDiscount_21_Up+FedExExrpessEarnedDiscount))*'2Day Base'!C63)*(1+ExpressFuelSurcharge),2)))*(1+FedEx_Markup),2)</f>
        <v>70.36</v>
      </c>
      <c r="D66" s="275">
        <f>ROUND((IF(MinBase2Day&gt;ROUND(((1-(TwoDayDiscount_21_Up+FedExExrpessEarnedDiscount))*'2Day Base'!D63),2),ROUND(MinBase2Day*(1+ExpressFuelSurcharge),2),ROUND(((1-(TwoDayDiscount_21_Up+FedExExrpessEarnedDiscount))*'2Day Base'!D63)*(1+ExpressFuelSurcharge),2)))*(1+FedEx_Markup),2)</f>
        <v>91.69</v>
      </c>
      <c r="E66" s="275">
        <f>ROUND((IF(MinBase2Day&gt;ROUND(((1-(TwoDayDiscount_21_Up+FedExExrpessEarnedDiscount))*'2Day Base'!E63),2),ROUND(MinBase2Day*(1+ExpressFuelSurcharge),2),ROUND(((1-(TwoDayDiscount_21_Up+FedExExrpessEarnedDiscount))*'2Day Base'!E63)*(1+ExpressFuelSurcharge),2)))*(1+FedEx_Markup),2)</f>
        <v>135.82</v>
      </c>
      <c r="F66" s="275">
        <f>ROUND((IF(MinBase2Day&gt;ROUND(((1-(TwoDayDiscount_21_Up+FedExExrpessEarnedDiscount))*'2Day Base'!F63),2),ROUND(MinBase2Day*(1+ExpressFuelSurcharge),2),ROUND(((1-(TwoDayDiscount_21_Up+FedExExrpessEarnedDiscount))*'2Day Base'!F63)*(1+ExpressFuelSurcharge),2)))*(1+FedEx_Markup),2)</f>
        <v>227.53</v>
      </c>
      <c r="G66" s="275">
        <f>ROUND((IF(MinBase2Day&gt;ROUND(((1-(TwoDayDiscount_21_Up+FedExExrpessEarnedDiscount))*'2Day Base'!G63),2),ROUND(MinBase2Day*(1+ExpressFuelSurcharge),2),ROUND(((1-(TwoDayDiscount_21_Up+FedExExrpessEarnedDiscount))*'2Day Base'!G63)*(1+ExpressFuelSurcharge),2)))*(1+FedEx_Markup),2)</f>
        <v>232.27</v>
      </c>
      <c r="H66" s="275">
        <f>ROUND((IF(MinBase2Day&gt;ROUND(((1-(TwoDayDiscount_21_Up+FedExExrpessEarnedDiscount))*'2Day Base'!H63),2),ROUND(MinBase2Day*(1+ExpressFuelSurcharge),2),ROUND(((1-(TwoDayDiscount_21_Up+FedExExrpessEarnedDiscount))*'2Day Base'!H63)*(1+ExpressFuelSurcharge),2)))*(1+FedEx_Markup),2)</f>
        <v>236.91</v>
      </c>
      <c r="I66" s="275">
        <f>ROUND((IF(MinBase2Day&gt;ROUND(((1-(TwoDayDiscount_21_Up+FedExExrpessEarnedDiscount))*'2Day Base'!I63),2),ROUND(MinBase2Day*(1+ExpressFuelSurcharge),2),ROUND(((1-(TwoDayDiscount_21_Up+FedExExrpessEarnedDiscount))*'2Day Base'!I63)*(1+ExpressFuelSurcharge),2)))*(1+FedEx_Markup),2)</f>
        <v>241.65</v>
      </c>
      <c r="J66" s="275">
        <f>ROUND((IF(MinBase2Day&gt;ROUND(((1-(TwoDayDiscount_21_Up+FedExExrpessEarnedDiscount))*'2Day Base'!J63),2),ROUND(MinBase2Day*(1+ExpressFuelSurcharge),2),ROUND(((1-(TwoDayDiscount_21_Up+FedExExrpessEarnedDiscount))*'2Day Base'!J63)*(1+ExpressFuelSurcharge),2)))*(1+FedEx_Markup),2)</f>
        <v>241.65</v>
      </c>
      <c r="K66" s="275">
        <f>ROUND((IF(MinBase2Day&gt;ROUND(((1-(TwoDayDiscount_21_Up+FedExExrpessEarnedDiscount))*'2Day Base'!K63),2),ROUND(MinBase2Day*(1+ExpressFuelSurcharge),2),ROUND(((1-(TwoDayDiscount_21_Up+FedExExrpessEarnedDiscount))*'2Day Base'!K63)*(1+ExpressFuelSurcharge),2)))*(1+FedEx_Markup),2)</f>
        <v>246.49</v>
      </c>
      <c r="L66" s="275">
        <f>ROUND((IF(MinBase2Day&gt;ROUND(((1-(TwoDayDiscount_21_Up+FedExExrpessEarnedDiscount))*'2Day Base'!L63),2),ROUND(MinBase2Day*(1+ExpressFuelSurcharge),2),ROUND(((1-(TwoDayDiscount_21_Up+FedExExrpessEarnedDiscount))*'2Day Base'!L63)*(1+ExpressFuelSurcharge),2)))*(1+FedEx_Markup),2)</f>
        <v>246.49</v>
      </c>
    </row>
    <row r="67" ht="12.75" customHeight="1">
      <c r="A67" s="274">
        <v>62.0</v>
      </c>
      <c r="B67" s="275">
        <f>ROUND((IF(MinBase2Day&gt;ROUND(((1-(TwoDayDiscount_21_Up+FedExExrpessEarnedDiscount))*'2Day Base'!B64),2),ROUND(MinBase2Day*(1+ExpressFuelSurcharge),2),ROUND(((1-(TwoDayDiscount_21_Up+FedExExrpessEarnedDiscount))*'2Day Base'!B64)*(1+ExpressFuelSurcharge),2)))*(1+FedEx_Markup),2)</f>
        <v>57.96</v>
      </c>
      <c r="C67" s="275">
        <f>ROUND((IF(MinBase2Day&gt;ROUND(((1-(TwoDayDiscount_21_Up+FedExExrpessEarnedDiscount))*'2Day Base'!C64),2),ROUND(MinBase2Day*(1+ExpressFuelSurcharge),2),ROUND(((1-(TwoDayDiscount_21_Up+FedExExrpessEarnedDiscount))*'2Day Base'!C64)*(1+ExpressFuelSurcharge),2)))*(1+FedEx_Markup),2)</f>
        <v>70.61</v>
      </c>
      <c r="D67" s="275">
        <f>ROUND((IF(MinBase2Day&gt;ROUND(((1-(TwoDayDiscount_21_Up+FedExExrpessEarnedDiscount))*'2Day Base'!D64),2),ROUND(MinBase2Day*(1+ExpressFuelSurcharge),2),ROUND(((1-(TwoDayDiscount_21_Up+FedExExrpessEarnedDiscount))*'2Day Base'!D64)*(1+ExpressFuelSurcharge),2)))*(1+FedEx_Markup),2)</f>
        <v>91.97</v>
      </c>
      <c r="E67" s="275">
        <f>ROUND((IF(MinBase2Day&gt;ROUND(((1-(TwoDayDiscount_21_Up+FedExExrpessEarnedDiscount))*'2Day Base'!E64),2),ROUND(MinBase2Day*(1+ExpressFuelSurcharge),2),ROUND(((1-(TwoDayDiscount_21_Up+FedExExrpessEarnedDiscount))*'2Day Base'!E64)*(1+ExpressFuelSurcharge),2)))*(1+FedEx_Markup),2)</f>
        <v>136.1</v>
      </c>
      <c r="F67" s="275">
        <f>ROUND((IF(MinBase2Day&gt;ROUND(((1-(TwoDayDiscount_21_Up+FedExExrpessEarnedDiscount))*'2Day Base'!F64),2),ROUND(MinBase2Day*(1+ExpressFuelSurcharge),2),ROUND(((1-(TwoDayDiscount_21_Up+FedExExrpessEarnedDiscount))*'2Day Base'!F64)*(1+ExpressFuelSurcharge),2)))*(1+FedEx_Markup),2)</f>
        <v>228.03</v>
      </c>
      <c r="G67" s="275">
        <f>ROUND((IF(MinBase2Day&gt;ROUND(((1-(TwoDayDiscount_21_Up+FedExExrpessEarnedDiscount))*'2Day Base'!G64),2),ROUND(MinBase2Day*(1+ExpressFuelSurcharge),2),ROUND(((1-(TwoDayDiscount_21_Up+FedExExrpessEarnedDiscount))*'2Day Base'!G64)*(1+ExpressFuelSurcharge),2)))*(1+FedEx_Markup),2)</f>
        <v>232.7</v>
      </c>
      <c r="H67" s="275">
        <f>ROUND((IF(MinBase2Day&gt;ROUND(((1-(TwoDayDiscount_21_Up+FedExExrpessEarnedDiscount))*'2Day Base'!H64),2),ROUND(MinBase2Day*(1+ExpressFuelSurcharge),2),ROUND(((1-(TwoDayDiscount_21_Up+FedExExrpessEarnedDiscount))*'2Day Base'!H64)*(1+ExpressFuelSurcharge),2)))*(1+FedEx_Markup),2)</f>
        <v>237.35</v>
      </c>
      <c r="I67" s="275">
        <f>ROUND((IF(MinBase2Day&gt;ROUND(((1-(TwoDayDiscount_21_Up+FedExExrpessEarnedDiscount))*'2Day Base'!I64),2),ROUND(MinBase2Day*(1+ExpressFuelSurcharge),2),ROUND(((1-(TwoDayDiscount_21_Up+FedExExrpessEarnedDiscount))*'2Day Base'!I64)*(1+ExpressFuelSurcharge),2)))*(1+FedEx_Markup),2)</f>
        <v>242.11</v>
      </c>
      <c r="J67" s="275">
        <f>ROUND((IF(MinBase2Day&gt;ROUND(((1-(TwoDayDiscount_21_Up+FedExExrpessEarnedDiscount))*'2Day Base'!J64),2),ROUND(MinBase2Day*(1+ExpressFuelSurcharge),2),ROUND(((1-(TwoDayDiscount_21_Up+FedExExrpessEarnedDiscount))*'2Day Base'!J64)*(1+ExpressFuelSurcharge),2)))*(1+FedEx_Markup),2)</f>
        <v>242.11</v>
      </c>
      <c r="K67" s="275">
        <f>ROUND((IF(MinBase2Day&gt;ROUND(((1-(TwoDayDiscount_21_Up+FedExExrpessEarnedDiscount))*'2Day Base'!K64),2),ROUND(MinBase2Day*(1+ExpressFuelSurcharge),2),ROUND(((1-(TwoDayDiscount_21_Up+FedExExrpessEarnedDiscount))*'2Day Base'!K64)*(1+ExpressFuelSurcharge),2)))*(1+FedEx_Markup),2)</f>
        <v>246.96</v>
      </c>
      <c r="L67" s="275">
        <f>ROUND((IF(MinBase2Day&gt;ROUND(((1-(TwoDayDiscount_21_Up+FedExExrpessEarnedDiscount))*'2Day Base'!L64),2),ROUND(MinBase2Day*(1+ExpressFuelSurcharge),2),ROUND(((1-(TwoDayDiscount_21_Up+FedExExrpessEarnedDiscount))*'2Day Base'!L64)*(1+ExpressFuelSurcharge),2)))*(1+FedEx_Markup),2)</f>
        <v>246.96</v>
      </c>
    </row>
    <row r="68" ht="12.75" customHeight="1">
      <c r="A68" s="274">
        <v>63.0</v>
      </c>
      <c r="B68" s="275">
        <f>ROUND((IF(MinBase2Day&gt;ROUND(((1-(TwoDayDiscount_21_Up+FedExExrpessEarnedDiscount))*'2Day Base'!B65),2),ROUND(MinBase2Day*(1+ExpressFuelSurcharge),2),ROUND(((1-(TwoDayDiscount_21_Up+FedExExrpessEarnedDiscount))*'2Day Base'!B65)*(1+ExpressFuelSurcharge),2)))*(1+FedEx_Markup),2)</f>
        <v>58.22</v>
      </c>
      <c r="C68" s="275">
        <f>ROUND((IF(MinBase2Day&gt;ROUND(((1-(TwoDayDiscount_21_Up+FedExExrpessEarnedDiscount))*'2Day Base'!C65),2),ROUND(MinBase2Day*(1+ExpressFuelSurcharge),2),ROUND(((1-(TwoDayDiscount_21_Up+FedExExrpessEarnedDiscount))*'2Day Base'!C65)*(1+ExpressFuelSurcharge),2)))*(1+FedEx_Markup),2)</f>
        <v>70.87</v>
      </c>
      <c r="D68" s="275">
        <f>ROUND((IF(MinBase2Day&gt;ROUND(((1-(TwoDayDiscount_21_Up+FedExExrpessEarnedDiscount))*'2Day Base'!D65),2),ROUND(MinBase2Day*(1+ExpressFuelSurcharge),2),ROUND(((1-(TwoDayDiscount_21_Up+FedExExrpessEarnedDiscount))*'2Day Base'!D65)*(1+ExpressFuelSurcharge),2)))*(1+FedEx_Markup),2)</f>
        <v>92.23</v>
      </c>
      <c r="E68" s="275">
        <f>ROUND((IF(MinBase2Day&gt;ROUND(((1-(TwoDayDiscount_21_Up+FedExExrpessEarnedDiscount))*'2Day Base'!E65),2),ROUND(MinBase2Day*(1+ExpressFuelSurcharge),2),ROUND(((1-(TwoDayDiscount_21_Up+FedExExrpessEarnedDiscount))*'2Day Base'!E65)*(1+ExpressFuelSurcharge),2)))*(1+FedEx_Markup),2)</f>
        <v>138.91</v>
      </c>
      <c r="F68" s="275">
        <f>ROUND((IF(MinBase2Day&gt;ROUND(((1-(TwoDayDiscount_21_Up+FedExExrpessEarnedDiscount))*'2Day Base'!F65),2),ROUND(MinBase2Day*(1+ExpressFuelSurcharge),2),ROUND(((1-(TwoDayDiscount_21_Up+FedExExrpessEarnedDiscount))*'2Day Base'!F65)*(1+ExpressFuelSurcharge),2)))*(1+FedEx_Markup),2)</f>
        <v>236.24</v>
      </c>
      <c r="G68" s="275">
        <f>ROUND((IF(MinBase2Day&gt;ROUND(((1-(TwoDayDiscount_21_Up+FedExExrpessEarnedDiscount))*'2Day Base'!G65),2),ROUND(MinBase2Day*(1+ExpressFuelSurcharge),2),ROUND(((1-(TwoDayDiscount_21_Up+FedExExrpessEarnedDiscount))*'2Day Base'!G65)*(1+ExpressFuelSurcharge),2)))*(1+FedEx_Markup),2)</f>
        <v>240.98</v>
      </c>
      <c r="H68" s="275">
        <f>ROUND((IF(MinBase2Day&gt;ROUND(((1-(TwoDayDiscount_21_Up+FedExExrpessEarnedDiscount))*'2Day Base'!H65),2),ROUND(MinBase2Day*(1+ExpressFuelSurcharge),2),ROUND(((1-(TwoDayDiscount_21_Up+FedExExrpessEarnedDiscount))*'2Day Base'!H65)*(1+ExpressFuelSurcharge),2)))*(1+FedEx_Markup),2)</f>
        <v>245.81</v>
      </c>
      <c r="I68" s="275">
        <f>ROUND((IF(MinBase2Day&gt;ROUND(((1-(TwoDayDiscount_21_Up+FedExExrpessEarnedDiscount))*'2Day Base'!I65),2),ROUND(MinBase2Day*(1+ExpressFuelSurcharge),2),ROUND(((1-(TwoDayDiscount_21_Up+FedExExrpessEarnedDiscount))*'2Day Base'!I65)*(1+ExpressFuelSurcharge),2)))*(1+FedEx_Markup),2)</f>
        <v>250.73</v>
      </c>
      <c r="J68" s="275">
        <f>ROUND((IF(MinBase2Day&gt;ROUND(((1-(TwoDayDiscount_21_Up+FedExExrpessEarnedDiscount))*'2Day Base'!J65),2),ROUND(MinBase2Day*(1+ExpressFuelSurcharge),2),ROUND(((1-(TwoDayDiscount_21_Up+FedExExrpessEarnedDiscount))*'2Day Base'!J65)*(1+ExpressFuelSurcharge),2)))*(1+FedEx_Markup),2)</f>
        <v>250.73</v>
      </c>
      <c r="K68" s="275">
        <f>ROUND((IF(MinBase2Day&gt;ROUND(((1-(TwoDayDiscount_21_Up+FedExExrpessEarnedDiscount))*'2Day Base'!K65),2),ROUND(MinBase2Day*(1+ExpressFuelSurcharge),2),ROUND(((1-(TwoDayDiscount_21_Up+FedExExrpessEarnedDiscount))*'2Day Base'!K65)*(1+ExpressFuelSurcharge),2)))*(1+FedEx_Markup),2)</f>
        <v>255.75</v>
      </c>
      <c r="L68" s="275">
        <f>ROUND((IF(MinBase2Day&gt;ROUND(((1-(TwoDayDiscount_21_Up+FedExExrpessEarnedDiscount))*'2Day Base'!L65),2),ROUND(MinBase2Day*(1+ExpressFuelSurcharge),2),ROUND(((1-(TwoDayDiscount_21_Up+FedExExrpessEarnedDiscount))*'2Day Base'!L65)*(1+ExpressFuelSurcharge),2)))*(1+FedEx_Markup),2)</f>
        <v>255.75</v>
      </c>
    </row>
    <row r="69" ht="12.75" customHeight="1">
      <c r="A69" s="274">
        <v>64.0</v>
      </c>
      <c r="B69" s="275">
        <f>ROUND((IF(MinBase2Day&gt;ROUND(((1-(TwoDayDiscount_21_Up+FedExExrpessEarnedDiscount))*'2Day Base'!B66),2),ROUND(MinBase2Day*(1+ExpressFuelSurcharge),2),ROUND(((1-(TwoDayDiscount_21_Up+FedExExrpessEarnedDiscount))*'2Day Base'!B66)*(1+ExpressFuelSurcharge),2)))*(1+FedEx_Markup),2)</f>
        <v>61.87</v>
      </c>
      <c r="C69" s="275">
        <f>ROUND((IF(MinBase2Day&gt;ROUND(((1-(TwoDayDiscount_21_Up+FedExExrpessEarnedDiscount))*'2Day Base'!C66),2),ROUND(MinBase2Day*(1+ExpressFuelSurcharge),2),ROUND(((1-(TwoDayDiscount_21_Up+FedExExrpessEarnedDiscount))*'2Day Base'!C66)*(1+ExpressFuelSurcharge),2)))*(1+FedEx_Markup),2)</f>
        <v>72.27</v>
      </c>
      <c r="D69" s="275">
        <f>ROUND((IF(MinBase2Day&gt;ROUND(((1-(TwoDayDiscount_21_Up+FedExExrpessEarnedDiscount))*'2Day Base'!D66),2),ROUND(MinBase2Day*(1+ExpressFuelSurcharge),2),ROUND(((1-(TwoDayDiscount_21_Up+FedExExrpessEarnedDiscount))*'2Day Base'!D66)*(1+ExpressFuelSurcharge),2)))*(1+FedEx_Markup),2)</f>
        <v>92.49</v>
      </c>
      <c r="E69" s="275">
        <f>ROUND((IF(MinBase2Day&gt;ROUND(((1-(TwoDayDiscount_21_Up+FedExExrpessEarnedDiscount))*'2Day Base'!E66),2),ROUND(MinBase2Day*(1+ExpressFuelSurcharge),2),ROUND(((1-(TwoDayDiscount_21_Up+FedExExrpessEarnedDiscount))*'2Day Base'!E66)*(1+ExpressFuelSurcharge),2)))*(1+FedEx_Markup),2)</f>
        <v>139.2</v>
      </c>
      <c r="F69" s="275">
        <f>ROUND((IF(MinBase2Day&gt;ROUND(((1-(TwoDayDiscount_21_Up+FedExExrpessEarnedDiscount))*'2Day Base'!F66),2),ROUND(MinBase2Day*(1+ExpressFuelSurcharge),2),ROUND(((1-(TwoDayDiscount_21_Up+FedExExrpessEarnedDiscount))*'2Day Base'!F66)*(1+ExpressFuelSurcharge),2)))*(1+FedEx_Markup),2)</f>
        <v>237.07</v>
      </c>
      <c r="G69" s="275">
        <f>ROUND((IF(MinBase2Day&gt;ROUND(((1-(TwoDayDiscount_21_Up+FedExExrpessEarnedDiscount))*'2Day Base'!G66),2),ROUND(MinBase2Day*(1+ExpressFuelSurcharge),2),ROUND(((1-(TwoDayDiscount_21_Up+FedExExrpessEarnedDiscount))*'2Day Base'!G66)*(1+ExpressFuelSurcharge),2)))*(1+FedEx_Markup),2)</f>
        <v>241.82</v>
      </c>
      <c r="H69" s="275">
        <f>ROUND((IF(MinBase2Day&gt;ROUND(((1-(TwoDayDiscount_21_Up+FedExExrpessEarnedDiscount))*'2Day Base'!H66),2),ROUND(MinBase2Day*(1+ExpressFuelSurcharge),2),ROUND(((1-(TwoDayDiscount_21_Up+FedExExrpessEarnedDiscount))*'2Day Base'!H66)*(1+ExpressFuelSurcharge),2)))*(1+FedEx_Markup),2)</f>
        <v>246.66</v>
      </c>
      <c r="I69" s="275">
        <f>ROUND((IF(MinBase2Day&gt;ROUND(((1-(TwoDayDiscount_21_Up+FedExExrpessEarnedDiscount))*'2Day Base'!I66),2),ROUND(MinBase2Day*(1+ExpressFuelSurcharge),2),ROUND(((1-(TwoDayDiscount_21_Up+FedExExrpessEarnedDiscount))*'2Day Base'!I66)*(1+ExpressFuelSurcharge),2)))*(1+FedEx_Markup),2)</f>
        <v>251.6</v>
      </c>
      <c r="J69" s="275">
        <f>ROUND((IF(MinBase2Day&gt;ROUND(((1-(TwoDayDiscount_21_Up+FedExExrpessEarnedDiscount))*'2Day Base'!J66),2),ROUND(MinBase2Day*(1+ExpressFuelSurcharge),2),ROUND(((1-(TwoDayDiscount_21_Up+FedExExrpessEarnedDiscount))*'2Day Base'!J66)*(1+ExpressFuelSurcharge),2)))*(1+FedEx_Markup),2)</f>
        <v>251.6</v>
      </c>
      <c r="K69" s="275">
        <f>ROUND((IF(MinBase2Day&gt;ROUND(((1-(TwoDayDiscount_21_Up+FedExExrpessEarnedDiscount))*'2Day Base'!K66),2),ROUND(MinBase2Day*(1+ExpressFuelSurcharge),2),ROUND(((1-(TwoDayDiscount_21_Up+FedExExrpessEarnedDiscount))*'2Day Base'!K66)*(1+ExpressFuelSurcharge),2)))*(1+FedEx_Markup),2)</f>
        <v>256.63</v>
      </c>
      <c r="L69" s="275">
        <f>ROUND((IF(MinBase2Day&gt;ROUND(((1-(TwoDayDiscount_21_Up+FedExExrpessEarnedDiscount))*'2Day Base'!L66),2),ROUND(MinBase2Day*(1+ExpressFuelSurcharge),2),ROUND(((1-(TwoDayDiscount_21_Up+FedExExrpessEarnedDiscount))*'2Day Base'!L66)*(1+ExpressFuelSurcharge),2)))*(1+FedEx_Markup),2)</f>
        <v>256.63</v>
      </c>
    </row>
    <row r="70" ht="12.75" customHeight="1">
      <c r="A70" s="274">
        <v>65.0</v>
      </c>
      <c r="B70" s="275">
        <f>ROUND((IF(MinBase2Day&gt;ROUND(((1-(TwoDayDiscount_21_Up+FedExExrpessEarnedDiscount))*'2Day Base'!B67),2),ROUND(MinBase2Day*(1+ExpressFuelSurcharge),2),ROUND(((1-(TwoDayDiscount_21_Up+FedExExrpessEarnedDiscount))*'2Day Base'!B67)*(1+ExpressFuelSurcharge),2)))*(1+FedEx_Markup),2)</f>
        <v>64.2</v>
      </c>
      <c r="C70" s="275">
        <f>ROUND((IF(MinBase2Day&gt;ROUND(((1-(TwoDayDiscount_21_Up+FedExExrpessEarnedDiscount))*'2Day Base'!C67),2),ROUND(MinBase2Day*(1+ExpressFuelSurcharge),2),ROUND(((1-(TwoDayDiscount_21_Up+FedExExrpessEarnedDiscount))*'2Day Base'!C67)*(1+ExpressFuelSurcharge),2)))*(1+FedEx_Markup),2)</f>
        <v>74.18</v>
      </c>
      <c r="D70" s="275">
        <f>ROUND((IF(MinBase2Day&gt;ROUND(((1-(TwoDayDiscount_21_Up+FedExExrpessEarnedDiscount))*'2Day Base'!D67),2),ROUND(MinBase2Day*(1+ExpressFuelSurcharge),2),ROUND(((1-(TwoDayDiscount_21_Up+FedExExrpessEarnedDiscount))*'2Day Base'!D67)*(1+ExpressFuelSurcharge),2)))*(1+FedEx_Markup),2)</f>
        <v>92.76</v>
      </c>
      <c r="E70" s="275">
        <f>ROUND((IF(MinBase2Day&gt;ROUND(((1-(TwoDayDiscount_21_Up+FedExExrpessEarnedDiscount))*'2Day Base'!E67),2),ROUND(MinBase2Day*(1+ExpressFuelSurcharge),2),ROUND(((1-(TwoDayDiscount_21_Up+FedExExrpessEarnedDiscount))*'2Day Base'!E67)*(1+ExpressFuelSurcharge),2)))*(1+FedEx_Markup),2)</f>
        <v>142.89</v>
      </c>
      <c r="F70" s="275">
        <f>ROUND((IF(MinBase2Day&gt;ROUND(((1-(TwoDayDiscount_21_Up+FedExExrpessEarnedDiscount))*'2Day Base'!F67),2),ROUND(MinBase2Day*(1+ExpressFuelSurcharge),2),ROUND(((1-(TwoDayDiscount_21_Up+FedExExrpessEarnedDiscount))*'2Day Base'!F67)*(1+ExpressFuelSurcharge),2)))*(1+FedEx_Markup),2)</f>
        <v>237.34</v>
      </c>
      <c r="G70" s="275">
        <f>ROUND((IF(MinBase2Day&gt;ROUND(((1-(TwoDayDiscount_21_Up+FedExExrpessEarnedDiscount))*'2Day Base'!G67),2),ROUND(MinBase2Day*(1+ExpressFuelSurcharge),2),ROUND(((1-(TwoDayDiscount_21_Up+FedExExrpessEarnedDiscount))*'2Day Base'!G67)*(1+ExpressFuelSurcharge),2)))*(1+FedEx_Markup),2)</f>
        <v>242.09</v>
      </c>
      <c r="H70" s="275">
        <f>ROUND((IF(MinBase2Day&gt;ROUND(((1-(TwoDayDiscount_21_Up+FedExExrpessEarnedDiscount))*'2Day Base'!H67),2),ROUND(MinBase2Day*(1+ExpressFuelSurcharge),2),ROUND(((1-(TwoDayDiscount_21_Up+FedExExrpessEarnedDiscount))*'2Day Base'!H67)*(1+ExpressFuelSurcharge),2)))*(1+FedEx_Markup),2)</f>
        <v>246.93</v>
      </c>
      <c r="I70" s="275">
        <f>ROUND((IF(MinBase2Day&gt;ROUND(((1-(TwoDayDiscount_21_Up+FedExExrpessEarnedDiscount))*'2Day Base'!I67),2),ROUND(MinBase2Day*(1+ExpressFuelSurcharge),2),ROUND(((1-(TwoDayDiscount_21_Up+FedExExrpessEarnedDiscount))*'2Day Base'!I67)*(1+ExpressFuelSurcharge),2)))*(1+FedEx_Markup),2)</f>
        <v>251.87</v>
      </c>
      <c r="J70" s="275">
        <f>ROUND((IF(MinBase2Day&gt;ROUND(((1-(TwoDayDiscount_21_Up+FedExExrpessEarnedDiscount))*'2Day Base'!J67),2),ROUND(MinBase2Day*(1+ExpressFuelSurcharge),2),ROUND(((1-(TwoDayDiscount_21_Up+FedExExrpessEarnedDiscount))*'2Day Base'!J67)*(1+ExpressFuelSurcharge),2)))*(1+FedEx_Markup),2)</f>
        <v>251.87</v>
      </c>
      <c r="K70" s="275">
        <f>ROUND((IF(MinBase2Day&gt;ROUND(((1-(TwoDayDiscount_21_Up+FedExExrpessEarnedDiscount))*'2Day Base'!K67),2),ROUND(MinBase2Day*(1+ExpressFuelSurcharge),2),ROUND(((1-(TwoDayDiscount_21_Up+FedExExrpessEarnedDiscount))*'2Day Base'!K67)*(1+ExpressFuelSurcharge),2)))*(1+FedEx_Markup),2)</f>
        <v>256.91</v>
      </c>
      <c r="L70" s="275">
        <f>ROUND((IF(MinBase2Day&gt;ROUND(((1-(TwoDayDiscount_21_Up+FedExExrpessEarnedDiscount))*'2Day Base'!L67),2),ROUND(MinBase2Day*(1+ExpressFuelSurcharge),2),ROUND(((1-(TwoDayDiscount_21_Up+FedExExrpessEarnedDiscount))*'2Day Base'!L67)*(1+ExpressFuelSurcharge),2)))*(1+FedEx_Markup),2)</f>
        <v>256.91</v>
      </c>
    </row>
    <row r="71" ht="12.75" customHeight="1">
      <c r="A71" s="274">
        <v>66.0</v>
      </c>
      <c r="B71" s="275">
        <f>ROUND((IF(MinBase2Day&gt;ROUND(((1-(TwoDayDiscount_21_Up+FedExExrpessEarnedDiscount))*'2Day Base'!B68),2),ROUND(MinBase2Day*(1+ExpressFuelSurcharge),2),ROUND(((1-(TwoDayDiscount_21_Up+FedExExrpessEarnedDiscount))*'2Day Base'!B68)*(1+ExpressFuelSurcharge),2)))*(1+FedEx_Markup),2)</f>
        <v>64.46</v>
      </c>
      <c r="C71" s="275">
        <f>ROUND((IF(MinBase2Day&gt;ROUND(((1-(TwoDayDiscount_21_Up+FedExExrpessEarnedDiscount))*'2Day Base'!C68),2),ROUND(MinBase2Day*(1+ExpressFuelSurcharge),2),ROUND(((1-(TwoDayDiscount_21_Up+FedExExrpessEarnedDiscount))*'2Day Base'!C68)*(1+ExpressFuelSurcharge),2)))*(1+FedEx_Markup),2)</f>
        <v>74.44</v>
      </c>
      <c r="D71" s="275">
        <f>ROUND((IF(MinBase2Day&gt;ROUND(((1-(TwoDayDiscount_21_Up+FedExExrpessEarnedDiscount))*'2Day Base'!D68),2),ROUND(MinBase2Day*(1+ExpressFuelSurcharge),2),ROUND(((1-(TwoDayDiscount_21_Up+FedExExrpessEarnedDiscount))*'2Day Base'!D68)*(1+ExpressFuelSurcharge),2)))*(1+FedEx_Markup),2)</f>
        <v>93.79</v>
      </c>
      <c r="E71" s="275">
        <f>ROUND((IF(MinBase2Day&gt;ROUND(((1-(TwoDayDiscount_21_Up+FedExExrpessEarnedDiscount))*'2Day Base'!E68),2),ROUND(MinBase2Day*(1+ExpressFuelSurcharge),2),ROUND(((1-(TwoDayDiscount_21_Up+FedExExrpessEarnedDiscount))*'2Day Base'!E68)*(1+ExpressFuelSurcharge),2)))*(1+FedEx_Markup),2)</f>
        <v>143.27</v>
      </c>
      <c r="F71" s="275">
        <f>ROUND((IF(MinBase2Day&gt;ROUND(((1-(TwoDayDiscount_21_Up+FedExExrpessEarnedDiscount))*'2Day Base'!F68),2),ROUND(MinBase2Day*(1+ExpressFuelSurcharge),2),ROUND(((1-(TwoDayDiscount_21_Up+FedExExrpessEarnedDiscount))*'2Day Base'!F68)*(1+ExpressFuelSurcharge),2)))*(1+FedEx_Markup),2)</f>
        <v>237.75</v>
      </c>
      <c r="G71" s="275">
        <f>ROUND((IF(MinBase2Day&gt;ROUND(((1-(TwoDayDiscount_21_Up+FedExExrpessEarnedDiscount))*'2Day Base'!G68),2),ROUND(MinBase2Day*(1+ExpressFuelSurcharge),2),ROUND(((1-(TwoDayDiscount_21_Up+FedExExrpessEarnedDiscount))*'2Day Base'!G68)*(1+ExpressFuelSurcharge),2)))*(1+FedEx_Markup),2)</f>
        <v>242.5</v>
      </c>
      <c r="H71" s="275">
        <f>ROUND((IF(MinBase2Day&gt;ROUND(((1-(TwoDayDiscount_21_Up+FedExExrpessEarnedDiscount))*'2Day Base'!H68),2),ROUND(MinBase2Day*(1+ExpressFuelSurcharge),2),ROUND(((1-(TwoDayDiscount_21_Up+FedExExrpessEarnedDiscount))*'2Day Base'!H68)*(1+ExpressFuelSurcharge),2)))*(1+FedEx_Markup),2)</f>
        <v>247.37</v>
      </c>
      <c r="I71" s="275">
        <f>ROUND((IF(MinBase2Day&gt;ROUND(((1-(TwoDayDiscount_21_Up+FedExExrpessEarnedDiscount))*'2Day Base'!I68),2),ROUND(MinBase2Day*(1+ExpressFuelSurcharge),2),ROUND(((1-(TwoDayDiscount_21_Up+FedExExrpessEarnedDiscount))*'2Day Base'!I68)*(1+ExpressFuelSurcharge),2)))*(1+FedEx_Markup),2)</f>
        <v>252.31</v>
      </c>
      <c r="J71" s="275">
        <f>ROUND((IF(MinBase2Day&gt;ROUND(((1-(TwoDayDiscount_21_Up+FedExExrpessEarnedDiscount))*'2Day Base'!J68),2),ROUND(MinBase2Day*(1+ExpressFuelSurcharge),2),ROUND(((1-(TwoDayDiscount_21_Up+FedExExrpessEarnedDiscount))*'2Day Base'!J68)*(1+ExpressFuelSurcharge),2)))*(1+FedEx_Markup),2)</f>
        <v>252.31</v>
      </c>
      <c r="K71" s="275">
        <f>ROUND((IF(MinBase2Day&gt;ROUND(((1-(TwoDayDiscount_21_Up+FedExExrpessEarnedDiscount))*'2Day Base'!K68),2),ROUND(MinBase2Day*(1+ExpressFuelSurcharge),2),ROUND(((1-(TwoDayDiscount_21_Up+FedExExrpessEarnedDiscount))*'2Day Base'!K68)*(1+ExpressFuelSurcharge),2)))*(1+FedEx_Markup),2)</f>
        <v>257.37</v>
      </c>
      <c r="L71" s="275">
        <f>ROUND((IF(MinBase2Day&gt;ROUND(((1-(TwoDayDiscount_21_Up+FedExExrpessEarnedDiscount))*'2Day Base'!L68),2),ROUND(MinBase2Day*(1+ExpressFuelSurcharge),2),ROUND(((1-(TwoDayDiscount_21_Up+FedExExrpessEarnedDiscount))*'2Day Base'!L68)*(1+ExpressFuelSurcharge),2)))*(1+FedEx_Markup),2)</f>
        <v>257.37</v>
      </c>
    </row>
    <row r="72" ht="12.75" customHeight="1">
      <c r="A72" s="274">
        <v>67.0</v>
      </c>
      <c r="B72" s="275">
        <f>ROUND((IF(MinBase2Day&gt;ROUND(((1-(TwoDayDiscount_21_Up+FedExExrpessEarnedDiscount))*'2Day Base'!B69),2),ROUND(MinBase2Day*(1+ExpressFuelSurcharge),2),ROUND(((1-(TwoDayDiscount_21_Up+FedExExrpessEarnedDiscount))*'2Day Base'!B69)*(1+ExpressFuelSurcharge),2)))*(1+FedEx_Markup),2)</f>
        <v>64.72</v>
      </c>
      <c r="C72" s="275">
        <f>ROUND((IF(MinBase2Day&gt;ROUND(((1-(TwoDayDiscount_21_Up+FedExExrpessEarnedDiscount))*'2Day Base'!C69),2),ROUND(MinBase2Day*(1+ExpressFuelSurcharge),2),ROUND(((1-(TwoDayDiscount_21_Up+FedExExrpessEarnedDiscount))*'2Day Base'!C69)*(1+ExpressFuelSurcharge),2)))*(1+FedEx_Markup),2)</f>
        <v>75.93</v>
      </c>
      <c r="D72" s="275">
        <f>ROUND((IF(MinBase2Day&gt;ROUND(((1-(TwoDayDiscount_21_Up+FedExExrpessEarnedDiscount))*'2Day Base'!D69),2),ROUND(MinBase2Day*(1+ExpressFuelSurcharge),2),ROUND(((1-(TwoDayDiscount_21_Up+FedExExrpessEarnedDiscount))*'2Day Base'!D69)*(1+ExpressFuelSurcharge),2)))*(1+FedEx_Markup),2)</f>
        <v>94.04</v>
      </c>
      <c r="E72" s="275">
        <f>ROUND((IF(MinBase2Day&gt;ROUND(((1-(TwoDayDiscount_21_Up+FedExExrpessEarnedDiscount))*'2Day Base'!E69),2),ROUND(MinBase2Day*(1+ExpressFuelSurcharge),2),ROUND(((1-(TwoDayDiscount_21_Up+FedExExrpessEarnedDiscount))*'2Day Base'!E69)*(1+ExpressFuelSurcharge),2)))*(1+FedEx_Markup),2)</f>
        <v>143.54</v>
      </c>
      <c r="F72" s="275">
        <f>ROUND((IF(MinBase2Day&gt;ROUND(((1-(TwoDayDiscount_21_Up+FedExExrpessEarnedDiscount))*'2Day Base'!F69),2),ROUND(MinBase2Day*(1+ExpressFuelSurcharge),2),ROUND(((1-(TwoDayDiscount_21_Up+FedExExrpessEarnedDiscount))*'2Day Base'!F69)*(1+ExpressFuelSurcharge),2)))*(1+FedEx_Markup),2)</f>
        <v>238</v>
      </c>
      <c r="G72" s="275">
        <f>ROUND((IF(MinBase2Day&gt;ROUND(((1-(TwoDayDiscount_21_Up+FedExExrpessEarnedDiscount))*'2Day Base'!G69),2),ROUND(MinBase2Day*(1+ExpressFuelSurcharge),2),ROUND(((1-(TwoDayDiscount_21_Up+FedExExrpessEarnedDiscount))*'2Day Base'!G69)*(1+ExpressFuelSurcharge),2)))*(1+FedEx_Markup),2)</f>
        <v>242.77</v>
      </c>
      <c r="H72" s="275">
        <f>ROUND((IF(MinBase2Day&gt;ROUND(((1-(TwoDayDiscount_21_Up+FedExExrpessEarnedDiscount))*'2Day Base'!H69),2),ROUND(MinBase2Day*(1+ExpressFuelSurcharge),2),ROUND(((1-(TwoDayDiscount_21_Up+FedExExrpessEarnedDiscount))*'2Day Base'!H69)*(1+ExpressFuelSurcharge),2)))*(1+FedEx_Markup),2)</f>
        <v>247.63</v>
      </c>
      <c r="I72" s="275">
        <f>ROUND((IF(MinBase2Day&gt;ROUND(((1-(TwoDayDiscount_21_Up+FedExExrpessEarnedDiscount))*'2Day Base'!I69),2),ROUND(MinBase2Day*(1+ExpressFuelSurcharge),2),ROUND(((1-(TwoDayDiscount_21_Up+FedExExrpessEarnedDiscount))*'2Day Base'!I69)*(1+ExpressFuelSurcharge),2)))*(1+FedEx_Markup),2)</f>
        <v>252.59</v>
      </c>
      <c r="J72" s="275">
        <f>ROUND((IF(MinBase2Day&gt;ROUND(((1-(TwoDayDiscount_21_Up+FedExExrpessEarnedDiscount))*'2Day Base'!J69),2),ROUND(MinBase2Day*(1+ExpressFuelSurcharge),2),ROUND(((1-(TwoDayDiscount_21_Up+FedExExrpessEarnedDiscount))*'2Day Base'!J69)*(1+ExpressFuelSurcharge),2)))*(1+FedEx_Markup),2)</f>
        <v>252.59</v>
      </c>
      <c r="K72" s="275">
        <f>ROUND((IF(MinBase2Day&gt;ROUND(((1-(TwoDayDiscount_21_Up+FedExExrpessEarnedDiscount))*'2Day Base'!K69),2),ROUND(MinBase2Day*(1+ExpressFuelSurcharge),2),ROUND(((1-(TwoDayDiscount_21_Up+FedExExrpessEarnedDiscount))*'2Day Base'!K69)*(1+ExpressFuelSurcharge),2)))*(1+FedEx_Markup),2)</f>
        <v>257.65</v>
      </c>
      <c r="L72" s="275">
        <f>ROUND((IF(MinBase2Day&gt;ROUND(((1-(TwoDayDiscount_21_Up+FedExExrpessEarnedDiscount))*'2Day Base'!L69),2),ROUND(MinBase2Day*(1+ExpressFuelSurcharge),2),ROUND(((1-(TwoDayDiscount_21_Up+FedExExrpessEarnedDiscount))*'2Day Base'!L69)*(1+ExpressFuelSurcharge),2)))*(1+FedEx_Markup),2)</f>
        <v>257.65</v>
      </c>
    </row>
    <row r="73" ht="12.75" customHeight="1">
      <c r="A73" s="274">
        <v>68.0</v>
      </c>
      <c r="B73" s="275">
        <f>ROUND((IF(MinBase2Day&gt;ROUND(((1-(TwoDayDiscount_21_Up+FedExExrpessEarnedDiscount))*'2Day Base'!B70),2),ROUND(MinBase2Day*(1+ExpressFuelSurcharge),2),ROUND(((1-(TwoDayDiscount_21_Up+FedExExrpessEarnedDiscount))*'2Day Base'!B70)*(1+ExpressFuelSurcharge),2)))*(1+FedEx_Markup),2)</f>
        <v>64.99</v>
      </c>
      <c r="C73" s="275">
        <f>ROUND((IF(MinBase2Day&gt;ROUND(((1-(TwoDayDiscount_21_Up+FedExExrpessEarnedDiscount))*'2Day Base'!C70),2),ROUND(MinBase2Day*(1+ExpressFuelSurcharge),2),ROUND(((1-(TwoDayDiscount_21_Up+FedExExrpessEarnedDiscount))*'2Day Base'!C70)*(1+ExpressFuelSurcharge),2)))*(1+FedEx_Markup),2)</f>
        <v>76.53</v>
      </c>
      <c r="D73" s="275">
        <f>ROUND((IF(MinBase2Day&gt;ROUND(((1-(TwoDayDiscount_21_Up+FedExExrpessEarnedDiscount))*'2Day Base'!D70),2),ROUND(MinBase2Day*(1+ExpressFuelSurcharge),2),ROUND(((1-(TwoDayDiscount_21_Up+FedExExrpessEarnedDiscount))*'2Day Base'!D70)*(1+ExpressFuelSurcharge),2)))*(1+FedEx_Markup),2)</f>
        <v>96.65</v>
      </c>
      <c r="E73" s="275">
        <f>ROUND((IF(MinBase2Day&gt;ROUND(((1-(TwoDayDiscount_21_Up+FedExExrpessEarnedDiscount))*'2Day Base'!E70),2),ROUND(MinBase2Day*(1+ExpressFuelSurcharge),2),ROUND(((1-(TwoDayDiscount_21_Up+FedExExrpessEarnedDiscount))*'2Day Base'!E70)*(1+ExpressFuelSurcharge),2)))*(1+FedEx_Markup),2)</f>
        <v>143.83</v>
      </c>
      <c r="F73" s="275">
        <f>ROUND((IF(MinBase2Day&gt;ROUND(((1-(TwoDayDiscount_21_Up+FedExExrpessEarnedDiscount))*'2Day Base'!F70),2),ROUND(MinBase2Day*(1+ExpressFuelSurcharge),2),ROUND(((1-(TwoDayDiscount_21_Up+FedExExrpessEarnedDiscount))*'2Day Base'!F70)*(1+ExpressFuelSurcharge),2)))*(1+FedEx_Markup),2)</f>
        <v>238.27</v>
      </c>
      <c r="G73" s="275">
        <f>ROUND((IF(MinBase2Day&gt;ROUND(((1-(TwoDayDiscount_21_Up+FedExExrpessEarnedDiscount))*'2Day Base'!G70),2),ROUND(MinBase2Day*(1+ExpressFuelSurcharge),2),ROUND(((1-(TwoDayDiscount_21_Up+FedExExrpessEarnedDiscount))*'2Day Base'!G70)*(1+ExpressFuelSurcharge),2)))*(1+FedEx_Markup),2)</f>
        <v>243.04</v>
      </c>
      <c r="H73" s="275">
        <f>ROUND((IF(MinBase2Day&gt;ROUND(((1-(TwoDayDiscount_21_Up+FedExExrpessEarnedDiscount))*'2Day Base'!H70),2),ROUND(MinBase2Day*(1+ExpressFuelSurcharge),2),ROUND(((1-(TwoDayDiscount_21_Up+FedExExrpessEarnedDiscount))*'2Day Base'!H70)*(1+ExpressFuelSurcharge),2)))*(1+FedEx_Markup),2)</f>
        <v>247.91</v>
      </c>
      <c r="I73" s="275">
        <f>ROUND((IF(MinBase2Day&gt;ROUND(((1-(TwoDayDiscount_21_Up+FedExExrpessEarnedDiscount))*'2Day Base'!I70),2),ROUND(MinBase2Day*(1+ExpressFuelSurcharge),2),ROUND(((1-(TwoDayDiscount_21_Up+FedExExrpessEarnedDiscount))*'2Day Base'!I70)*(1+ExpressFuelSurcharge),2)))*(1+FedEx_Markup),2)</f>
        <v>252.86</v>
      </c>
      <c r="J73" s="275">
        <f>ROUND((IF(MinBase2Day&gt;ROUND(((1-(TwoDayDiscount_21_Up+FedExExrpessEarnedDiscount))*'2Day Base'!J70),2),ROUND(MinBase2Day*(1+ExpressFuelSurcharge),2),ROUND(((1-(TwoDayDiscount_21_Up+FedExExrpessEarnedDiscount))*'2Day Base'!J70)*(1+ExpressFuelSurcharge),2)))*(1+FedEx_Markup),2)</f>
        <v>252.86</v>
      </c>
      <c r="K73" s="275">
        <f>ROUND((IF(MinBase2Day&gt;ROUND(((1-(TwoDayDiscount_21_Up+FedExExrpessEarnedDiscount))*'2Day Base'!K70),2),ROUND(MinBase2Day*(1+ExpressFuelSurcharge),2),ROUND(((1-(TwoDayDiscount_21_Up+FedExExrpessEarnedDiscount))*'2Day Base'!K70)*(1+ExpressFuelSurcharge),2)))*(1+FedEx_Markup),2)</f>
        <v>257.92</v>
      </c>
      <c r="L73" s="275">
        <f>ROUND((IF(MinBase2Day&gt;ROUND(((1-(TwoDayDiscount_21_Up+FedExExrpessEarnedDiscount))*'2Day Base'!L70),2),ROUND(MinBase2Day*(1+ExpressFuelSurcharge),2),ROUND(((1-(TwoDayDiscount_21_Up+FedExExrpessEarnedDiscount))*'2Day Base'!L70)*(1+ExpressFuelSurcharge),2)))*(1+FedEx_Markup),2)</f>
        <v>257.92</v>
      </c>
    </row>
    <row r="74" ht="12.75" customHeight="1">
      <c r="A74" s="274">
        <v>69.0</v>
      </c>
      <c r="B74" s="275">
        <f>ROUND((IF(MinBase2Day&gt;ROUND(((1-(TwoDayDiscount_21_Up+FedExExrpessEarnedDiscount))*'2Day Base'!B71),2),ROUND(MinBase2Day*(1+ExpressFuelSurcharge),2),ROUND(((1-(TwoDayDiscount_21_Up+FedExExrpessEarnedDiscount))*'2Day Base'!B71)*(1+ExpressFuelSurcharge),2)))*(1+FedEx_Markup),2)</f>
        <v>65.25</v>
      </c>
      <c r="C74" s="275">
        <f>ROUND((IF(MinBase2Day&gt;ROUND(((1-(TwoDayDiscount_21_Up+FedExExrpessEarnedDiscount))*'2Day Base'!C71),2),ROUND(MinBase2Day*(1+ExpressFuelSurcharge),2),ROUND(((1-(TwoDayDiscount_21_Up+FedExExrpessEarnedDiscount))*'2Day Base'!C71)*(1+ExpressFuelSurcharge),2)))*(1+FedEx_Markup),2)</f>
        <v>78.23</v>
      </c>
      <c r="D74" s="275">
        <f>ROUND((IF(MinBase2Day&gt;ROUND(((1-(TwoDayDiscount_21_Up+FedExExrpessEarnedDiscount))*'2Day Base'!D71),2),ROUND(MinBase2Day*(1+ExpressFuelSurcharge),2),ROUND(((1-(TwoDayDiscount_21_Up+FedExExrpessEarnedDiscount))*'2Day Base'!D71)*(1+ExpressFuelSurcharge),2)))*(1+FedEx_Markup),2)</f>
        <v>96.91</v>
      </c>
      <c r="E74" s="275">
        <f>ROUND((IF(MinBase2Day&gt;ROUND(((1-(TwoDayDiscount_21_Up+FedExExrpessEarnedDiscount))*'2Day Base'!E71),2),ROUND(MinBase2Day*(1+ExpressFuelSurcharge),2),ROUND(((1-(TwoDayDiscount_21_Up+FedExExrpessEarnedDiscount))*'2Day Base'!E71)*(1+ExpressFuelSurcharge),2)))*(1+FedEx_Markup),2)</f>
        <v>144.45</v>
      </c>
      <c r="F74" s="275">
        <f>ROUND((IF(MinBase2Day&gt;ROUND(((1-(TwoDayDiscount_21_Up+FedExExrpessEarnedDiscount))*'2Day Base'!F71),2),ROUND(MinBase2Day*(1+ExpressFuelSurcharge),2),ROUND(((1-(TwoDayDiscount_21_Up+FedExExrpessEarnedDiscount))*'2Day Base'!F71)*(1+ExpressFuelSurcharge),2)))*(1+FedEx_Markup),2)</f>
        <v>239.09</v>
      </c>
      <c r="G74" s="275">
        <f>ROUND((IF(MinBase2Day&gt;ROUND(((1-(TwoDayDiscount_21_Up+FedExExrpessEarnedDiscount))*'2Day Base'!G71),2),ROUND(MinBase2Day*(1+ExpressFuelSurcharge),2),ROUND(((1-(TwoDayDiscount_21_Up+FedExExrpessEarnedDiscount))*'2Day Base'!G71)*(1+ExpressFuelSurcharge),2)))*(1+FedEx_Markup),2)</f>
        <v>243.87</v>
      </c>
      <c r="H74" s="275">
        <f>ROUND((IF(MinBase2Day&gt;ROUND(((1-(TwoDayDiscount_21_Up+FedExExrpessEarnedDiscount))*'2Day Base'!H71),2),ROUND(MinBase2Day*(1+ExpressFuelSurcharge),2),ROUND(((1-(TwoDayDiscount_21_Up+FedExExrpessEarnedDiscount))*'2Day Base'!H71)*(1+ExpressFuelSurcharge),2)))*(1+FedEx_Markup),2)</f>
        <v>248.75</v>
      </c>
      <c r="I74" s="275">
        <f>ROUND((IF(MinBase2Day&gt;ROUND(((1-(TwoDayDiscount_21_Up+FedExExrpessEarnedDiscount))*'2Day Base'!I71),2),ROUND(MinBase2Day*(1+ExpressFuelSurcharge),2),ROUND(((1-(TwoDayDiscount_21_Up+FedExExrpessEarnedDiscount))*'2Day Base'!I71)*(1+ExpressFuelSurcharge),2)))*(1+FedEx_Markup),2)</f>
        <v>253.72</v>
      </c>
      <c r="J74" s="275">
        <f>ROUND((IF(MinBase2Day&gt;ROUND(((1-(TwoDayDiscount_21_Up+FedExExrpessEarnedDiscount))*'2Day Base'!J71),2),ROUND(MinBase2Day*(1+ExpressFuelSurcharge),2),ROUND(((1-(TwoDayDiscount_21_Up+FedExExrpessEarnedDiscount))*'2Day Base'!J71)*(1+ExpressFuelSurcharge),2)))*(1+FedEx_Markup),2)</f>
        <v>253.72</v>
      </c>
      <c r="K74" s="275">
        <f>ROUND((IF(MinBase2Day&gt;ROUND(((1-(TwoDayDiscount_21_Up+FedExExrpessEarnedDiscount))*'2Day Base'!K71),2),ROUND(MinBase2Day*(1+ExpressFuelSurcharge),2),ROUND(((1-(TwoDayDiscount_21_Up+FedExExrpessEarnedDiscount))*'2Day Base'!K71)*(1+ExpressFuelSurcharge),2)))*(1+FedEx_Markup),2)</f>
        <v>258.81</v>
      </c>
      <c r="L74" s="275">
        <f>ROUND((IF(MinBase2Day&gt;ROUND(((1-(TwoDayDiscount_21_Up+FedExExrpessEarnedDiscount))*'2Day Base'!L71),2),ROUND(MinBase2Day*(1+ExpressFuelSurcharge),2),ROUND(((1-(TwoDayDiscount_21_Up+FedExExrpessEarnedDiscount))*'2Day Base'!L71)*(1+ExpressFuelSurcharge),2)))*(1+FedEx_Markup),2)</f>
        <v>258.81</v>
      </c>
    </row>
    <row r="75" ht="12.75" customHeight="1">
      <c r="A75" s="274">
        <v>70.0</v>
      </c>
      <c r="B75" s="275">
        <f>ROUND((IF(MinBase2Day&gt;ROUND(((1-(TwoDayDiscount_21_Up+FedExExrpessEarnedDiscount))*'2Day Base'!B72),2),ROUND(MinBase2Day*(1+ExpressFuelSurcharge),2),ROUND(((1-(TwoDayDiscount_21_Up+FedExExrpessEarnedDiscount))*'2Day Base'!B72)*(1+ExpressFuelSurcharge),2)))*(1+FedEx_Markup),2)</f>
        <v>65.52</v>
      </c>
      <c r="C75" s="275">
        <f>ROUND((IF(MinBase2Day&gt;ROUND(((1-(TwoDayDiscount_21_Up+FedExExrpessEarnedDiscount))*'2Day Base'!C72),2),ROUND(MinBase2Day*(1+ExpressFuelSurcharge),2),ROUND(((1-(TwoDayDiscount_21_Up+FedExExrpessEarnedDiscount))*'2Day Base'!C72)*(1+ExpressFuelSurcharge),2)))*(1+FedEx_Markup),2)</f>
        <v>85.27</v>
      </c>
      <c r="D75" s="275">
        <f>ROUND((IF(MinBase2Day&gt;ROUND(((1-(TwoDayDiscount_21_Up+FedExExrpessEarnedDiscount))*'2Day Base'!D72),2),ROUND(MinBase2Day*(1+ExpressFuelSurcharge),2),ROUND(((1-(TwoDayDiscount_21_Up+FedExExrpessEarnedDiscount))*'2Day Base'!D72)*(1+ExpressFuelSurcharge),2)))*(1+FedEx_Markup),2)</f>
        <v>100.3</v>
      </c>
      <c r="E75" s="275">
        <f>ROUND((IF(MinBase2Day&gt;ROUND(((1-(TwoDayDiscount_21_Up+FedExExrpessEarnedDiscount))*'2Day Base'!E72),2),ROUND(MinBase2Day*(1+ExpressFuelSurcharge),2),ROUND(((1-(TwoDayDiscount_21_Up+FedExExrpessEarnedDiscount))*'2Day Base'!E72)*(1+ExpressFuelSurcharge),2)))*(1+FedEx_Markup),2)</f>
        <v>156.71</v>
      </c>
      <c r="F75" s="275">
        <f>ROUND((IF(MinBase2Day&gt;ROUND(((1-(TwoDayDiscount_21_Up+FedExExrpessEarnedDiscount))*'2Day Base'!F72),2),ROUND(MinBase2Day*(1+ExpressFuelSurcharge),2),ROUND(((1-(TwoDayDiscount_21_Up+FedExExrpessEarnedDiscount))*'2Day Base'!F72)*(1+ExpressFuelSurcharge),2)))*(1+FedEx_Markup),2)</f>
        <v>251.64</v>
      </c>
      <c r="G75" s="275">
        <f>ROUND((IF(MinBase2Day&gt;ROUND(((1-(TwoDayDiscount_21_Up+FedExExrpessEarnedDiscount))*'2Day Base'!G72),2),ROUND(MinBase2Day*(1+ExpressFuelSurcharge),2),ROUND(((1-(TwoDayDiscount_21_Up+FedExExrpessEarnedDiscount))*'2Day Base'!G72)*(1+ExpressFuelSurcharge),2)))*(1+FedEx_Markup),2)</f>
        <v>259.66</v>
      </c>
      <c r="H75" s="275">
        <f>ROUND((IF(MinBase2Day&gt;ROUND(((1-(TwoDayDiscount_21_Up+FedExExrpessEarnedDiscount))*'2Day Base'!H72),2),ROUND(MinBase2Day*(1+ExpressFuelSurcharge),2),ROUND(((1-(TwoDayDiscount_21_Up+FedExExrpessEarnedDiscount))*'2Day Base'!H72)*(1+ExpressFuelSurcharge),2)))*(1+FedEx_Markup),2)</f>
        <v>264.86</v>
      </c>
      <c r="I75" s="275">
        <f>ROUND((IF(MinBase2Day&gt;ROUND(((1-(TwoDayDiscount_21_Up+FedExExrpessEarnedDiscount))*'2Day Base'!I72),2),ROUND(MinBase2Day*(1+ExpressFuelSurcharge),2),ROUND(((1-(TwoDayDiscount_21_Up+FedExExrpessEarnedDiscount))*'2Day Base'!I72)*(1+ExpressFuelSurcharge),2)))*(1+FedEx_Markup),2)</f>
        <v>270.16</v>
      </c>
      <c r="J75" s="275">
        <f>ROUND((IF(MinBase2Day&gt;ROUND(((1-(TwoDayDiscount_21_Up+FedExExrpessEarnedDiscount))*'2Day Base'!J72),2),ROUND(MinBase2Day*(1+ExpressFuelSurcharge),2),ROUND(((1-(TwoDayDiscount_21_Up+FedExExrpessEarnedDiscount))*'2Day Base'!J72)*(1+ExpressFuelSurcharge),2)))*(1+FedEx_Markup),2)</f>
        <v>270.16</v>
      </c>
      <c r="K75" s="275">
        <f>ROUND((IF(MinBase2Day&gt;ROUND(((1-(TwoDayDiscount_21_Up+FedExExrpessEarnedDiscount))*'2Day Base'!K72),2),ROUND(MinBase2Day*(1+ExpressFuelSurcharge),2),ROUND(((1-(TwoDayDiscount_21_Up+FedExExrpessEarnedDiscount))*'2Day Base'!K72)*(1+ExpressFuelSurcharge),2)))*(1+FedEx_Markup),2)</f>
        <v>275.57</v>
      </c>
      <c r="L75" s="275">
        <f>ROUND((IF(MinBase2Day&gt;ROUND(((1-(TwoDayDiscount_21_Up+FedExExrpessEarnedDiscount))*'2Day Base'!L72),2),ROUND(MinBase2Day*(1+ExpressFuelSurcharge),2),ROUND(((1-(TwoDayDiscount_21_Up+FedExExrpessEarnedDiscount))*'2Day Base'!L72)*(1+ExpressFuelSurcharge),2)))*(1+FedEx_Markup),2)</f>
        <v>275.57</v>
      </c>
    </row>
    <row r="76" ht="12.75" customHeight="1">
      <c r="A76" s="274">
        <v>71.0</v>
      </c>
      <c r="B76" s="275">
        <f>ROUND((IF(MinBase2Day&gt;ROUND(((1-(TwoDayDiscount_21_Up+FedExExrpessEarnedDiscount))*'2Day Base'!B73),2),ROUND(MinBase2Day*(1+ExpressFuelSurcharge),2),ROUND(((1-(TwoDayDiscount_21_Up+FedExExrpessEarnedDiscount))*'2Day Base'!B73)*(1+ExpressFuelSurcharge),2)))*(1+FedEx_Markup),2)</f>
        <v>69.49</v>
      </c>
      <c r="C76" s="275">
        <f>ROUND((IF(MinBase2Day&gt;ROUND(((1-(TwoDayDiscount_21_Up+FedExExrpessEarnedDiscount))*'2Day Base'!C73),2),ROUND(MinBase2Day*(1+ExpressFuelSurcharge),2),ROUND(((1-(TwoDayDiscount_21_Up+FedExExrpessEarnedDiscount))*'2Day Base'!C73)*(1+ExpressFuelSurcharge),2)))*(1+FedEx_Markup),2)</f>
        <v>86.42</v>
      </c>
      <c r="D76" s="275">
        <f>ROUND((IF(MinBase2Day&gt;ROUND(((1-(TwoDayDiscount_21_Up+FedExExrpessEarnedDiscount))*'2Day Base'!D73),2),ROUND(MinBase2Day*(1+ExpressFuelSurcharge),2),ROUND(((1-(TwoDayDiscount_21_Up+FedExExrpessEarnedDiscount))*'2Day Base'!D73)*(1+ExpressFuelSurcharge),2)))*(1+FedEx_Markup),2)</f>
        <v>100.65</v>
      </c>
      <c r="E76" s="275">
        <f>ROUND((IF(MinBase2Day&gt;ROUND(((1-(TwoDayDiscount_21_Up+FedExExrpessEarnedDiscount))*'2Day Base'!E73),2),ROUND(MinBase2Day*(1+ExpressFuelSurcharge),2),ROUND(((1-(TwoDayDiscount_21_Up+FedExExrpessEarnedDiscount))*'2Day Base'!E73)*(1+ExpressFuelSurcharge),2)))*(1+FedEx_Markup),2)</f>
        <v>157.94</v>
      </c>
      <c r="F76" s="275">
        <f>ROUND((IF(MinBase2Day&gt;ROUND(((1-(TwoDayDiscount_21_Up+FedExExrpessEarnedDiscount))*'2Day Base'!F73),2),ROUND(MinBase2Day*(1+ExpressFuelSurcharge),2),ROUND(((1-(TwoDayDiscount_21_Up+FedExExrpessEarnedDiscount))*'2Day Base'!F73)*(1+ExpressFuelSurcharge),2)))*(1+FedEx_Markup),2)</f>
        <v>252.9</v>
      </c>
      <c r="G76" s="275">
        <f>ROUND((IF(MinBase2Day&gt;ROUND(((1-(TwoDayDiscount_21_Up+FedExExrpessEarnedDiscount))*'2Day Base'!G73),2),ROUND(MinBase2Day*(1+ExpressFuelSurcharge),2),ROUND(((1-(TwoDayDiscount_21_Up+FedExExrpessEarnedDiscount))*'2Day Base'!G73)*(1+ExpressFuelSurcharge),2)))*(1+FedEx_Markup),2)</f>
        <v>262.25</v>
      </c>
      <c r="H76" s="275">
        <f>ROUND((IF(MinBase2Day&gt;ROUND(((1-(TwoDayDiscount_21_Up+FedExExrpessEarnedDiscount))*'2Day Base'!H73),2),ROUND(MinBase2Day*(1+ExpressFuelSurcharge),2),ROUND(((1-(TwoDayDiscount_21_Up+FedExExrpessEarnedDiscount))*'2Day Base'!H73)*(1+ExpressFuelSurcharge),2)))*(1+FedEx_Markup),2)</f>
        <v>267.5</v>
      </c>
      <c r="I76" s="275">
        <f>ROUND((IF(MinBase2Day&gt;ROUND(((1-(TwoDayDiscount_21_Up+FedExExrpessEarnedDiscount))*'2Day Base'!I73),2),ROUND(MinBase2Day*(1+ExpressFuelSurcharge),2),ROUND(((1-(TwoDayDiscount_21_Up+FedExExrpessEarnedDiscount))*'2Day Base'!I73)*(1+ExpressFuelSurcharge),2)))*(1+FedEx_Markup),2)</f>
        <v>272.86</v>
      </c>
      <c r="J76" s="275">
        <f>ROUND((IF(MinBase2Day&gt;ROUND(((1-(TwoDayDiscount_21_Up+FedExExrpessEarnedDiscount))*'2Day Base'!J73),2),ROUND(MinBase2Day*(1+ExpressFuelSurcharge),2),ROUND(((1-(TwoDayDiscount_21_Up+FedExExrpessEarnedDiscount))*'2Day Base'!J73)*(1+ExpressFuelSurcharge),2)))*(1+FedEx_Markup),2)</f>
        <v>272.86</v>
      </c>
      <c r="K76" s="275">
        <f>ROUND((IF(MinBase2Day&gt;ROUND(((1-(TwoDayDiscount_21_Up+FedExExrpessEarnedDiscount))*'2Day Base'!K73),2),ROUND(MinBase2Day*(1+ExpressFuelSurcharge),2),ROUND(((1-(TwoDayDiscount_21_Up+FedExExrpessEarnedDiscount))*'2Day Base'!K73)*(1+ExpressFuelSurcharge),2)))*(1+FedEx_Markup),2)</f>
        <v>278.32</v>
      </c>
      <c r="L76" s="275">
        <f>ROUND((IF(MinBase2Day&gt;ROUND(((1-(TwoDayDiscount_21_Up+FedExExrpessEarnedDiscount))*'2Day Base'!L73),2),ROUND(MinBase2Day*(1+ExpressFuelSurcharge),2),ROUND(((1-(TwoDayDiscount_21_Up+FedExExrpessEarnedDiscount))*'2Day Base'!L73)*(1+ExpressFuelSurcharge),2)))*(1+FedEx_Markup),2)</f>
        <v>278.32</v>
      </c>
    </row>
    <row r="77" ht="12.75" customHeight="1">
      <c r="A77" s="274">
        <v>72.0</v>
      </c>
      <c r="B77" s="275">
        <f>ROUND((IF(MinBase2Day&gt;ROUND(((1-(TwoDayDiscount_21_Up+FedExExrpessEarnedDiscount))*'2Day Base'!B74),2),ROUND(MinBase2Day*(1+ExpressFuelSurcharge),2),ROUND(((1-(TwoDayDiscount_21_Up+FedExExrpessEarnedDiscount))*'2Day Base'!B74)*(1+ExpressFuelSurcharge),2)))*(1+FedEx_Markup),2)</f>
        <v>69.9</v>
      </c>
      <c r="C77" s="275">
        <f>ROUND((IF(MinBase2Day&gt;ROUND(((1-(TwoDayDiscount_21_Up+FedExExrpessEarnedDiscount))*'2Day Base'!C74),2),ROUND(MinBase2Day*(1+ExpressFuelSurcharge),2),ROUND(((1-(TwoDayDiscount_21_Up+FedExExrpessEarnedDiscount))*'2Day Base'!C74)*(1+ExpressFuelSurcharge),2)))*(1+FedEx_Markup),2)</f>
        <v>86.69</v>
      </c>
      <c r="D77" s="275">
        <f>ROUND((IF(MinBase2Day&gt;ROUND(((1-(TwoDayDiscount_21_Up+FedExExrpessEarnedDiscount))*'2Day Base'!D74),2),ROUND(MinBase2Day*(1+ExpressFuelSurcharge),2),ROUND(((1-(TwoDayDiscount_21_Up+FedExExrpessEarnedDiscount))*'2Day Base'!D74)*(1+ExpressFuelSurcharge),2)))*(1+FedEx_Markup),2)</f>
        <v>100.91</v>
      </c>
      <c r="E77" s="275">
        <f>ROUND((IF(MinBase2Day&gt;ROUND(((1-(TwoDayDiscount_21_Up+FedExExrpessEarnedDiscount))*'2Day Base'!E74),2),ROUND(MinBase2Day*(1+ExpressFuelSurcharge),2),ROUND(((1-(TwoDayDiscount_21_Up+FedExExrpessEarnedDiscount))*'2Day Base'!E74)*(1+ExpressFuelSurcharge),2)))*(1+FedEx_Markup),2)</f>
        <v>158.22</v>
      </c>
      <c r="F77" s="275">
        <f>ROUND((IF(MinBase2Day&gt;ROUND(((1-(TwoDayDiscount_21_Up+FedExExrpessEarnedDiscount))*'2Day Base'!F74),2),ROUND(MinBase2Day*(1+ExpressFuelSurcharge),2),ROUND(((1-(TwoDayDiscount_21_Up+FedExExrpessEarnedDiscount))*'2Day Base'!F74)*(1+ExpressFuelSurcharge),2)))*(1+FedEx_Markup),2)</f>
        <v>257.2</v>
      </c>
      <c r="G77" s="275">
        <f>ROUND((IF(MinBase2Day&gt;ROUND(((1-(TwoDayDiscount_21_Up+FedExExrpessEarnedDiscount))*'2Day Base'!G74),2),ROUND(MinBase2Day*(1+ExpressFuelSurcharge),2),ROUND(((1-(TwoDayDiscount_21_Up+FedExExrpessEarnedDiscount))*'2Day Base'!G74)*(1+ExpressFuelSurcharge),2)))*(1+FedEx_Markup),2)</f>
        <v>262.51</v>
      </c>
      <c r="H77" s="275">
        <f>ROUND((IF(MinBase2Day&gt;ROUND(((1-(TwoDayDiscount_21_Up+FedExExrpessEarnedDiscount))*'2Day Base'!H74),2),ROUND(MinBase2Day*(1+ExpressFuelSurcharge),2),ROUND(((1-(TwoDayDiscount_21_Up+FedExExrpessEarnedDiscount))*'2Day Base'!H74)*(1+ExpressFuelSurcharge),2)))*(1+FedEx_Markup),2)</f>
        <v>267.78</v>
      </c>
      <c r="I77" s="275">
        <f>ROUND((IF(MinBase2Day&gt;ROUND(((1-(TwoDayDiscount_21_Up+FedExExrpessEarnedDiscount))*'2Day Base'!I74),2),ROUND(MinBase2Day*(1+ExpressFuelSurcharge),2),ROUND(((1-(TwoDayDiscount_21_Up+FedExExrpessEarnedDiscount))*'2Day Base'!I74)*(1+ExpressFuelSurcharge),2)))*(1+FedEx_Markup),2)</f>
        <v>273.14</v>
      </c>
      <c r="J77" s="275">
        <f>ROUND((IF(MinBase2Day&gt;ROUND(((1-(TwoDayDiscount_21_Up+FedExExrpessEarnedDiscount))*'2Day Base'!J74),2),ROUND(MinBase2Day*(1+ExpressFuelSurcharge),2),ROUND(((1-(TwoDayDiscount_21_Up+FedExExrpessEarnedDiscount))*'2Day Base'!J74)*(1+ExpressFuelSurcharge),2)))*(1+FedEx_Markup),2)</f>
        <v>273.14</v>
      </c>
      <c r="K77" s="275">
        <f>ROUND((IF(MinBase2Day&gt;ROUND(((1-(TwoDayDiscount_21_Up+FedExExrpessEarnedDiscount))*'2Day Base'!K74),2),ROUND(MinBase2Day*(1+ExpressFuelSurcharge),2),ROUND(((1-(TwoDayDiscount_21_Up+FedExExrpessEarnedDiscount))*'2Day Base'!K74)*(1+ExpressFuelSurcharge),2)))*(1+FedEx_Markup),2)</f>
        <v>278.6</v>
      </c>
      <c r="L77" s="275">
        <f>ROUND((IF(MinBase2Day&gt;ROUND(((1-(TwoDayDiscount_21_Up+FedExExrpessEarnedDiscount))*'2Day Base'!L74),2),ROUND(MinBase2Day*(1+ExpressFuelSurcharge),2),ROUND(((1-(TwoDayDiscount_21_Up+FedExExrpessEarnedDiscount))*'2Day Base'!L74)*(1+ExpressFuelSurcharge),2)))*(1+FedEx_Markup),2)</f>
        <v>278.6</v>
      </c>
    </row>
    <row r="78" ht="12.75" customHeight="1">
      <c r="A78" s="274">
        <v>73.0</v>
      </c>
      <c r="B78" s="275">
        <f>ROUND((IF(MinBase2Day&gt;ROUND(((1-(TwoDayDiscount_21_Up+FedExExrpessEarnedDiscount))*'2Day Base'!B75),2),ROUND(MinBase2Day*(1+ExpressFuelSurcharge),2),ROUND(((1-(TwoDayDiscount_21_Up+FedExExrpessEarnedDiscount))*'2Day Base'!B75)*(1+ExpressFuelSurcharge),2)))*(1+FedEx_Markup),2)</f>
        <v>70.13</v>
      </c>
      <c r="C78" s="275">
        <f>ROUND((IF(MinBase2Day&gt;ROUND(((1-(TwoDayDiscount_21_Up+FedExExrpessEarnedDiscount))*'2Day Base'!C75),2),ROUND(MinBase2Day*(1+ExpressFuelSurcharge),2),ROUND(((1-(TwoDayDiscount_21_Up+FedExExrpessEarnedDiscount))*'2Day Base'!C75)*(1+ExpressFuelSurcharge),2)))*(1+FedEx_Markup),2)</f>
        <v>86.96</v>
      </c>
      <c r="D78" s="275">
        <f>ROUND((IF(MinBase2Day&gt;ROUND(((1-(TwoDayDiscount_21_Up+FedExExrpessEarnedDiscount))*'2Day Base'!D75),2),ROUND(MinBase2Day*(1+ExpressFuelSurcharge),2),ROUND(((1-(TwoDayDiscount_21_Up+FedExExrpessEarnedDiscount))*'2Day Base'!D75)*(1+ExpressFuelSurcharge),2)))*(1+FedEx_Markup),2)</f>
        <v>101.41</v>
      </c>
      <c r="E78" s="275">
        <f>ROUND((IF(MinBase2Day&gt;ROUND(((1-(TwoDayDiscount_21_Up+FedExExrpessEarnedDiscount))*'2Day Base'!E75),2),ROUND(MinBase2Day*(1+ExpressFuelSurcharge),2),ROUND(((1-(TwoDayDiscount_21_Up+FedExExrpessEarnedDiscount))*'2Day Base'!E75)*(1+ExpressFuelSurcharge),2)))*(1+FedEx_Markup),2)</f>
        <v>160.83</v>
      </c>
      <c r="F78" s="275">
        <f>ROUND((IF(MinBase2Day&gt;ROUND(((1-(TwoDayDiscount_21_Up+FedExExrpessEarnedDiscount))*'2Day Base'!F75),2),ROUND(MinBase2Day*(1+ExpressFuelSurcharge),2),ROUND(((1-(TwoDayDiscount_21_Up+FedExExrpessEarnedDiscount))*'2Day Base'!F75)*(1+ExpressFuelSurcharge),2)))*(1+FedEx_Markup),2)</f>
        <v>257.62</v>
      </c>
      <c r="G78" s="275">
        <f>ROUND((IF(MinBase2Day&gt;ROUND(((1-(TwoDayDiscount_21_Up+FedExExrpessEarnedDiscount))*'2Day Base'!G75),2),ROUND(MinBase2Day*(1+ExpressFuelSurcharge),2),ROUND(((1-(TwoDayDiscount_21_Up+FedExExrpessEarnedDiscount))*'2Day Base'!G75)*(1+ExpressFuelSurcharge),2)))*(1+FedEx_Markup),2)</f>
        <v>262.78</v>
      </c>
      <c r="H78" s="275">
        <f>ROUND((IF(MinBase2Day&gt;ROUND(((1-(TwoDayDiscount_21_Up+FedExExrpessEarnedDiscount))*'2Day Base'!H75),2),ROUND(MinBase2Day*(1+ExpressFuelSurcharge),2),ROUND(((1-(TwoDayDiscount_21_Up+FedExExrpessEarnedDiscount))*'2Day Base'!H75)*(1+ExpressFuelSurcharge),2)))*(1+FedEx_Markup),2)</f>
        <v>268.04</v>
      </c>
      <c r="I78" s="275">
        <f>ROUND((IF(MinBase2Day&gt;ROUND(((1-(TwoDayDiscount_21_Up+FedExExrpessEarnedDiscount))*'2Day Base'!I75),2),ROUND(MinBase2Day*(1+ExpressFuelSurcharge),2),ROUND(((1-(TwoDayDiscount_21_Up+FedExExrpessEarnedDiscount))*'2Day Base'!I75)*(1+ExpressFuelSurcharge),2)))*(1+FedEx_Markup),2)</f>
        <v>273.4</v>
      </c>
      <c r="J78" s="275">
        <f>ROUND((IF(MinBase2Day&gt;ROUND(((1-(TwoDayDiscount_21_Up+FedExExrpessEarnedDiscount))*'2Day Base'!J75),2),ROUND(MinBase2Day*(1+ExpressFuelSurcharge),2),ROUND(((1-(TwoDayDiscount_21_Up+FedExExrpessEarnedDiscount))*'2Day Base'!J75)*(1+ExpressFuelSurcharge),2)))*(1+FedEx_Markup),2)</f>
        <v>273.4</v>
      </c>
      <c r="K78" s="275">
        <f>ROUND((IF(MinBase2Day&gt;ROUND(((1-(TwoDayDiscount_21_Up+FedExExrpessEarnedDiscount))*'2Day Base'!K75),2),ROUND(MinBase2Day*(1+ExpressFuelSurcharge),2),ROUND(((1-(TwoDayDiscount_21_Up+FedExExrpessEarnedDiscount))*'2Day Base'!K75)*(1+ExpressFuelSurcharge),2)))*(1+FedEx_Markup),2)</f>
        <v>278.89</v>
      </c>
      <c r="L78" s="275">
        <f>ROUND((IF(MinBase2Day&gt;ROUND(((1-(TwoDayDiscount_21_Up+FedExExrpessEarnedDiscount))*'2Day Base'!L75),2),ROUND(MinBase2Day*(1+ExpressFuelSurcharge),2),ROUND(((1-(TwoDayDiscount_21_Up+FedExExrpessEarnedDiscount))*'2Day Base'!L75)*(1+ExpressFuelSurcharge),2)))*(1+FedEx_Markup),2)</f>
        <v>278.89</v>
      </c>
    </row>
    <row r="79" ht="12.75" customHeight="1">
      <c r="A79" s="274">
        <v>74.0</v>
      </c>
      <c r="B79" s="275">
        <f>ROUND((IF(MinBase2Day&gt;ROUND(((1-(TwoDayDiscount_21_Up+FedExExrpessEarnedDiscount))*'2Day Base'!B76),2),ROUND(MinBase2Day*(1+ExpressFuelSurcharge),2),ROUND(((1-(TwoDayDiscount_21_Up+FedExExrpessEarnedDiscount))*'2Day Base'!B76)*(1+ExpressFuelSurcharge),2)))*(1+FedEx_Markup),2)</f>
        <v>70.37</v>
      </c>
      <c r="C79" s="275">
        <f>ROUND((IF(MinBase2Day&gt;ROUND(((1-(TwoDayDiscount_21_Up+FedExExrpessEarnedDiscount))*'2Day Base'!C76),2),ROUND(MinBase2Day*(1+ExpressFuelSurcharge),2),ROUND(((1-(TwoDayDiscount_21_Up+FedExExrpessEarnedDiscount))*'2Day Base'!C76)*(1+ExpressFuelSurcharge),2)))*(1+FedEx_Markup),2)</f>
        <v>87.22</v>
      </c>
      <c r="D79" s="275">
        <f>ROUND((IF(MinBase2Day&gt;ROUND(((1-(TwoDayDiscount_21_Up+FedExExrpessEarnedDiscount))*'2Day Base'!D76),2),ROUND(MinBase2Day*(1+ExpressFuelSurcharge),2),ROUND(((1-(TwoDayDiscount_21_Up+FedExExrpessEarnedDiscount))*'2Day Base'!D76)*(1+ExpressFuelSurcharge),2)))*(1+FedEx_Markup),2)</f>
        <v>101.66</v>
      </c>
      <c r="E79" s="275">
        <f>ROUND((IF(MinBase2Day&gt;ROUND(((1-(TwoDayDiscount_21_Up+FedExExrpessEarnedDiscount))*'2Day Base'!E76),2),ROUND(MinBase2Day*(1+ExpressFuelSurcharge),2),ROUND(((1-(TwoDayDiscount_21_Up+FedExExrpessEarnedDiscount))*'2Day Base'!E76)*(1+ExpressFuelSurcharge),2)))*(1+FedEx_Markup),2)</f>
        <v>161.1</v>
      </c>
      <c r="F79" s="275">
        <f>ROUND((IF(MinBase2Day&gt;ROUND(((1-(TwoDayDiscount_21_Up+FedExExrpessEarnedDiscount))*'2Day Base'!F76),2),ROUND(MinBase2Day*(1+ExpressFuelSurcharge),2),ROUND(((1-(TwoDayDiscount_21_Up+FedExExrpessEarnedDiscount))*'2Day Base'!F76)*(1+ExpressFuelSurcharge),2)))*(1+FedEx_Markup),2)</f>
        <v>257.99</v>
      </c>
      <c r="G79" s="275">
        <f>ROUND((IF(MinBase2Day&gt;ROUND(((1-(TwoDayDiscount_21_Up+FedExExrpessEarnedDiscount))*'2Day Base'!G76),2),ROUND(MinBase2Day*(1+ExpressFuelSurcharge),2),ROUND(((1-(TwoDayDiscount_21_Up+FedExExrpessEarnedDiscount))*'2Day Base'!G76)*(1+ExpressFuelSurcharge),2)))*(1+FedEx_Markup),2)</f>
        <v>263.15</v>
      </c>
      <c r="H79" s="275">
        <f>ROUND((IF(MinBase2Day&gt;ROUND(((1-(TwoDayDiscount_21_Up+FedExExrpessEarnedDiscount))*'2Day Base'!H76),2),ROUND(MinBase2Day*(1+ExpressFuelSurcharge),2),ROUND(((1-(TwoDayDiscount_21_Up+FedExExrpessEarnedDiscount))*'2Day Base'!H76)*(1+ExpressFuelSurcharge),2)))*(1+FedEx_Markup),2)</f>
        <v>268.42</v>
      </c>
      <c r="I79" s="275">
        <f>ROUND((IF(MinBase2Day&gt;ROUND(((1-(TwoDayDiscount_21_Up+FedExExrpessEarnedDiscount))*'2Day Base'!I76),2),ROUND(MinBase2Day*(1+ExpressFuelSurcharge),2),ROUND(((1-(TwoDayDiscount_21_Up+FedExExrpessEarnedDiscount))*'2Day Base'!I76)*(1+ExpressFuelSurcharge),2)))*(1+FedEx_Markup),2)</f>
        <v>273.79</v>
      </c>
      <c r="J79" s="275">
        <f>ROUND((IF(MinBase2Day&gt;ROUND(((1-(TwoDayDiscount_21_Up+FedExExrpessEarnedDiscount))*'2Day Base'!J76),2),ROUND(MinBase2Day*(1+ExpressFuelSurcharge),2),ROUND(((1-(TwoDayDiscount_21_Up+FedExExrpessEarnedDiscount))*'2Day Base'!J76)*(1+ExpressFuelSurcharge),2)))*(1+FedEx_Markup),2)</f>
        <v>273.79</v>
      </c>
      <c r="K79" s="275">
        <f>ROUND((IF(MinBase2Day&gt;ROUND(((1-(TwoDayDiscount_21_Up+FedExExrpessEarnedDiscount))*'2Day Base'!K76),2),ROUND(MinBase2Day*(1+ExpressFuelSurcharge),2),ROUND(((1-(TwoDayDiscount_21_Up+FedExExrpessEarnedDiscount))*'2Day Base'!K76)*(1+ExpressFuelSurcharge),2)))*(1+FedEx_Markup),2)</f>
        <v>279.27</v>
      </c>
      <c r="L79" s="275">
        <f>ROUND((IF(MinBase2Day&gt;ROUND(((1-(TwoDayDiscount_21_Up+FedExExrpessEarnedDiscount))*'2Day Base'!L76),2),ROUND(MinBase2Day*(1+ExpressFuelSurcharge),2),ROUND(((1-(TwoDayDiscount_21_Up+FedExExrpessEarnedDiscount))*'2Day Base'!L76)*(1+ExpressFuelSurcharge),2)))*(1+FedEx_Markup),2)</f>
        <v>279.27</v>
      </c>
    </row>
    <row r="80" ht="12.75" customHeight="1">
      <c r="A80" s="274">
        <v>75.0</v>
      </c>
      <c r="B80" s="275">
        <f>ROUND((IF(MinBase2Day&gt;ROUND(((1-(TwoDayDiscount_21_Up+FedExExrpessEarnedDiscount))*'2Day Base'!B77),2),ROUND(MinBase2Day*(1+ExpressFuelSurcharge),2),ROUND(((1-(TwoDayDiscount_21_Up+FedExExrpessEarnedDiscount))*'2Day Base'!B77)*(1+ExpressFuelSurcharge),2)))*(1+FedEx_Markup),2)</f>
        <v>70.85</v>
      </c>
      <c r="C80" s="275">
        <f>ROUND((IF(MinBase2Day&gt;ROUND(((1-(TwoDayDiscount_21_Up+FedExExrpessEarnedDiscount))*'2Day Base'!C77),2),ROUND(MinBase2Day*(1+ExpressFuelSurcharge),2),ROUND(((1-(TwoDayDiscount_21_Up+FedExExrpessEarnedDiscount))*'2Day Base'!C77)*(1+ExpressFuelSurcharge),2)))*(1+FedEx_Markup),2)</f>
        <v>87.75</v>
      </c>
      <c r="D80" s="275">
        <f>ROUND((IF(MinBase2Day&gt;ROUND(((1-(TwoDayDiscount_21_Up+FedExExrpessEarnedDiscount))*'2Day Base'!D77),2),ROUND(MinBase2Day*(1+ExpressFuelSurcharge),2),ROUND(((1-(TwoDayDiscount_21_Up+FedExExrpessEarnedDiscount))*'2Day Base'!D77)*(1+ExpressFuelSurcharge),2)))*(1+FedEx_Markup),2)</f>
        <v>102.19</v>
      </c>
      <c r="E80" s="275">
        <f>ROUND((IF(MinBase2Day&gt;ROUND(((1-(TwoDayDiscount_21_Up+FedExExrpessEarnedDiscount))*'2Day Base'!E77),2),ROUND(MinBase2Day*(1+ExpressFuelSurcharge),2),ROUND(((1-(TwoDayDiscount_21_Up+FedExExrpessEarnedDiscount))*'2Day Base'!E77)*(1+ExpressFuelSurcharge),2)))*(1+FedEx_Markup),2)</f>
        <v>164.35</v>
      </c>
      <c r="F80" s="275">
        <f>ROUND((IF(MinBase2Day&gt;ROUND(((1-(TwoDayDiscount_21_Up+FedExExrpessEarnedDiscount))*'2Day Base'!F77),2),ROUND(MinBase2Day*(1+ExpressFuelSurcharge),2),ROUND(((1-(TwoDayDiscount_21_Up+FedExExrpessEarnedDiscount))*'2Day Base'!F77)*(1+ExpressFuelSurcharge),2)))*(1+FedEx_Markup),2)</f>
        <v>265.13</v>
      </c>
      <c r="G80" s="275">
        <f>ROUND((IF(MinBase2Day&gt;ROUND(((1-(TwoDayDiscount_21_Up+FedExExrpessEarnedDiscount))*'2Day Base'!G77),2),ROUND(MinBase2Day*(1+ExpressFuelSurcharge),2),ROUND(((1-(TwoDayDiscount_21_Up+FedExExrpessEarnedDiscount))*'2Day Base'!G77)*(1+ExpressFuelSurcharge),2)))*(1+FedEx_Markup),2)</f>
        <v>270.43</v>
      </c>
      <c r="H80" s="275">
        <f>ROUND((IF(MinBase2Day&gt;ROUND(((1-(TwoDayDiscount_21_Up+FedExExrpessEarnedDiscount))*'2Day Base'!H77),2),ROUND(MinBase2Day*(1+ExpressFuelSurcharge),2),ROUND(((1-(TwoDayDiscount_21_Up+FedExExrpessEarnedDiscount))*'2Day Base'!H77)*(1+ExpressFuelSurcharge),2)))*(1+FedEx_Markup),2)</f>
        <v>275.85</v>
      </c>
      <c r="I80" s="275">
        <f>ROUND((IF(MinBase2Day&gt;ROUND(((1-(TwoDayDiscount_21_Up+FedExExrpessEarnedDiscount))*'2Day Base'!I77),2),ROUND(MinBase2Day*(1+ExpressFuelSurcharge),2),ROUND(((1-(TwoDayDiscount_21_Up+FedExExrpessEarnedDiscount))*'2Day Base'!I77)*(1+ExpressFuelSurcharge),2)))*(1+FedEx_Markup),2)</f>
        <v>281.37</v>
      </c>
      <c r="J80" s="275">
        <f>ROUND((IF(MinBase2Day&gt;ROUND(((1-(TwoDayDiscount_21_Up+FedExExrpessEarnedDiscount))*'2Day Base'!J77),2),ROUND(MinBase2Day*(1+ExpressFuelSurcharge),2),ROUND(((1-(TwoDayDiscount_21_Up+FedExExrpessEarnedDiscount))*'2Day Base'!J77)*(1+ExpressFuelSurcharge),2)))*(1+FedEx_Markup),2)</f>
        <v>281.37</v>
      </c>
      <c r="K80" s="275">
        <f>ROUND((IF(MinBase2Day&gt;ROUND(((1-(TwoDayDiscount_21_Up+FedExExrpessEarnedDiscount))*'2Day Base'!K77),2),ROUND(MinBase2Day*(1+ExpressFuelSurcharge),2),ROUND(((1-(TwoDayDiscount_21_Up+FedExExrpessEarnedDiscount))*'2Day Base'!K77)*(1+ExpressFuelSurcharge),2)))*(1+FedEx_Markup),2)</f>
        <v>287.01</v>
      </c>
      <c r="L80" s="275">
        <f>ROUND((IF(MinBase2Day&gt;ROUND(((1-(TwoDayDiscount_21_Up+FedExExrpessEarnedDiscount))*'2Day Base'!L77),2),ROUND(MinBase2Day*(1+ExpressFuelSurcharge),2),ROUND(((1-(TwoDayDiscount_21_Up+FedExExrpessEarnedDiscount))*'2Day Base'!L77)*(1+ExpressFuelSurcharge),2)))*(1+FedEx_Markup),2)</f>
        <v>287.01</v>
      </c>
    </row>
    <row r="81" ht="12.75" customHeight="1">
      <c r="A81" s="274">
        <v>76.0</v>
      </c>
      <c r="B81" s="275">
        <f>ROUND((IF(MinBase2Day&gt;ROUND(((1-(TwoDayDiscount_21_Up+FedExExrpessEarnedDiscount))*'2Day Base'!B78),2),ROUND(MinBase2Day*(1+ExpressFuelSurcharge),2),ROUND(((1-(TwoDayDiscount_21_Up+FedExExrpessEarnedDiscount))*'2Day Base'!B78)*(1+ExpressFuelSurcharge),2)))*(1+FedEx_Markup),2)</f>
        <v>72.21</v>
      </c>
      <c r="C81" s="275">
        <f>ROUND((IF(MinBase2Day&gt;ROUND(((1-(TwoDayDiscount_21_Up+FedExExrpessEarnedDiscount))*'2Day Base'!C78),2),ROUND(MinBase2Day*(1+ExpressFuelSurcharge),2),ROUND(((1-(TwoDayDiscount_21_Up+FedExExrpessEarnedDiscount))*'2Day Base'!C78)*(1+ExpressFuelSurcharge),2)))*(1+FedEx_Markup),2)</f>
        <v>88.26</v>
      </c>
      <c r="D81" s="275">
        <f>ROUND((IF(MinBase2Day&gt;ROUND(((1-(TwoDayDiscount_21_Up+FedExExrpessEarnedDiscount))*'2Day Base'!D78),2),ROUND(MinBase2Day*(1+ExpressFuelSurcharge),2),ROUND(((1-(TwoDayDiscount_21_Up+FedExExrpessEarnedDiscount))*'2Day Base'!D78)*(1+ExpressFuelSurcharge),2)))*(1+FedEx_Markup),2)</f>
        <v>102.72</v>
      </c>
      <c r="E81" s="275">
        <f>ROUND((IF(MinBase2Day&gt;ROUND(((1-(TwoDayDiscount_21_Up+FedExExrpessEarnedDiscount))*'2Day Base'!E78),2),ROUND(MinBase2Day*(1+ExpressFuelSurcharge),2),ROUND(((1-(TwoDayDiscount_21_Up+FedExExrpessEarnedDiscount))*'2Day Base'!E78)*(1+ExpressFuelSurcharge),2)))*(1+FedEx_Markup),2)</f>
        <v>165.53</v>
      </c>
      <c r="F81" s="275">
        <f>ROUND((IF(MinBase2Day&gt;ROUND(((1-(TwoDayDiscount_21_Up+FedExExrpessEarnedDiscount))*'2Day Base'!F78),2),ROUND(MinBase2Day*(1+ExpressFuelSurcharge),2),ROUND(((1-(TwoDayDiscount_21_Up+FedExExrpessEarnedDiscount))*'2Day Base'!F78)*(1+ExpressFuelSurcharge),2)))*(1+FedEx_Markup),2)</f>
        <v>269.27</v>
      </c>
      <c r="G81" s="275">
        <f>ROUND((IF(MinBase2Day&gt;ROUND(((1-(TwoDayDiscount_21_Up+FedExExrpessEarnedDiscount))*'2Day Base'!G78),2),ROUND(MinBase2Day*(1+ExpressFuelSurcharge),2),ROUND(((1-(TwoDayDiscount_21_Up+FedExExrpessEarnedDiscount))*'2Day Base'!G78)*(1+ExpressFuelSurcharge),2)))*(1+FedEx_Markup),2)</f>
        <v>274.67</v>
      </c>
      <c r="H81" s="275">
        <f>ROUND((IF(MinBase2Day&gt;ROUND(((1-(TwoDayDiscount_21_Up+FedExExrpessEarnedDiscount))*'2Day Base'!H78),2),ROUND(MinBase2Day*(1+ExpressFuelSurcharge),2),ROUND(((1-(TwoDayDiscount_21_Up+FedExExrpessEarnedDiscount))*'2Day Base'!H78)*(1+ExpressFuelSurcharge),2)))*(1+FedEx_Markup),2)</f>
        <v>280.16</v>
      </c>
      <c r="I81" s="275">
        <f>ROUND((IF(MinBase2Day&gt;ROUND(((1-(TwoDayDiscount_21_Up+FedExExrpessEarnedDiscount))*'2Day Base'!I78),2),ROUND(MinBase2Day*(1+ExpressFuelSurcharge),2),ROUND(((1-(TwoDayDiscount_21_Up+FedExExrpessEarnedDiscount))*'2Day Base'!I78)*(1+ExpressFuelSurcharge),2)))*(1+FedEx_Markup),2)</f>
        <v>285.76</v>
      </c>
      <c r="J81" s="275">
        <f>ROUND((IF(MinBase2Day&gt;ROUND(((1-(TwoDayDiscount_21_Up+FedExExrpessEarnedDiscount))*'2Day Base'!J78),2),ROUND(MinBase2Day*(1+ExpressFuelSurcharge),2),ROUND(((1-(TwoDayDiscount_21_Up+FedExExrpessEarnedDiscount))*'2Day Base'!J78)*(1+ExpressFuelSurcharge),2)))*(1+FedEx_Markup),2)</f>
        <v>285.76</v>
      </c>
      <c r="K81" s="275">
        <f>ROUND((IF(MinBase2Day&gt;ROUND(((1-(TwoDayDiscount_21_Up+FedExExrpessEarnedDiscount))*'2Day Base'!K78),2),ROUND(MinBase2Day*(1+ExpressFuelSurcharge),2),ROUND(((1-(TwoDayDiscount_21_Up+FedExExrpessEarnedDiscount))*'2Day Base'!K78)*(1+ExpressFuelSurcharge),2)))*(1+FedEx_Markup),2)</f>
        <v>291.49</v>
      </c>
      <c r="L81" s="275">
        <f>ROUND((IF(MinBase2Day&gt;ROUND(((1-(TwoDayDiscount_21_Up+FedExExrpessEarnedDiscount))*'2Day Base'!L78),2),ROUND(MinBase2Day*(1+ExpressFuelSurcharge),2),ROUND(((1-(TwoDayDiscount_21_Up+FedExExrpessEarnedDiscount))*'2Day Base'!L78)*(1+ExpressFuelSurcharge),2)))*(1+FedEx_Markup),2)</f>
        <v>291.49</v>
      </c>
    </row>
    <row r="82" ht="12.75" customHeight="1">
      <c r="A82" s="274">
        <v>77.0</v>
      </c>
      <c r="B82" s="275">
        <f>ROUND((IF(MinBase2Day&gt;ROUND(((1-(TwoDayDiscount_21_Up+FedExExrpessEarnedDiscount))*'2Day Base'!B79),2),ROUND(MinBase2Day*(1+ExpressFuelSurcharge),2),ROUND(((1-(TwoDayDiscount_21_Up+FedExExrpessEarnedDiscount))*'2Day Base'!B79)*(1+ExpressFuelSurcharge),2)))*(1+FedEx_Markup),2)</f>
        <v>72.73</v>
      </c>
      <c r="C82" s="275">
        <f>ROUND((IF(MinBase2Day&gt;ROUND(((1-(TwoDayDiscount_21_Up+FedExExrpessEarnedDiscount))*'2Day Base'!C79),2),ROUND(MinBase2Day*(1+ExpressFuelSurcharge),2),ROUND(((1-(TwoDayDiscount_21_Up+FedExExrpessEarnedDiscount))*'2Day Base'!C79)*(1+ExpressFuelSurcharge),2)))*(1+FedEx_Markup),2)</f>
        <v>88.79</v>
      </c>
      <c r="D82" s="275">
        <f>ROUND((IF(MinBase2Day&gt;ROUND(((1-(TwoDayDiscount_21_Up+FedExExrpessEarnedDiscount))*'2Day Base'!D79),2),ROUND(MinBase2Day*(1+ExpressFuelSurcharge),2),ROUND(((1-(TwoDayDiscount_21_Up+FedExExrpessEarnedDiscount))*'2Day Base'!D79)*(1+ExpressFuelSurcharge),2)))*(1+FedEx_Markup),2)</f>
        <v>104.81</v>
      </c>
      <c r="E82" s="275">
        <f>ROUND((IF(MinBase2Day&gt;ROUND(((1-(TwoDayDiscount_21_Up+FedExExrpessEarnedDiscount))*'2Day Base'!E79),2),ROUND(MinBase2Day*(1+ExpressFuelSurcharge),2),ROUND(((1-(TwoDayDiscount_21_Up+FedExExrpessEarnedDiscount))*'2Day Base'!E79)*(1+ExpressFuelSurcharge),2)))*(1+FedEx_Markup),2)</f>
        <v>166.11</v>
      </c>
      <c r="F82" s="275">
        <f>ROUND((IF(MinBase2Day&gt;ROUND(((1-(TwoDayDiscount_21_Up+FedExExrpessEarnedDiscount))*'2Day Base'!F79),2),ROUND(MinBase2Day*(1+ExpressFuelSurcharge),2),ROUND(((1-(TwoDayDiscount_21_Up+FedExExrpessEarnedDiscount))*'2Day Base'!F79)*(1+ExpressFuelSurcharge),2)))*(1+FedEx_Markup),2)</f>
        <v>277.52</v>
      </c>
      <c r="G82" s="275">
        <f>ROUND((IF(MinBase2Day&gt;ROUND(((1-(TwoDayDiscount_21_Up+FedExExrpessEarnedDiscount))*'2Day Base'!G79),2),ROUND(MinBase2Day*(1+ExpressFuelSurcharge),2),ROUND(((1-(TwoDayDiscount_21_Up+FedExExrpessEarnedDiscount))*'2Day Base'!G79)*(1+ExpressFuelSurcharge),2)))*(1+FedEx_Markup),2)</f>
        <v>283.12</v>
      </c>
      <c r="H82" s="275">
        <f>ROUND((IF(MinBase2Day&gt;ROUND(((1-(TwoDayDiscount_21_Up+FedExExrpessEarnedDiscount))*'2Day Base'!H79),2),ROUND(MinBase2Day*(1+ExpressFuelSurcharge),2),ROUND(((1-(TwoDayDiscount_21_Up+FedExExrpessEarnedDiscount))*'2Day Base'!H79)*(1+ExpressFuelSurcharge),2)))*(1+FedEx_Markup),2)</f>
        <v>288.79</v>
      </c>
      <c r="I82" s="275">
        <f>ROUND((IF(MinBase2Day&gt;ROUND(((1-(TwoDayDiscount_21_Up+FedExExrpessEarnedDiscount))*'2Day Base'!I79),2),ROUND(MinBase2Day*(1+ExpressFuelSurcharge),2),ROUND(((1-(TwoDayDiscount_21_Up+FedExExrpessEarnedDiscount))*'2Day Base'!I79)*(1+ExpressFuelSurcharge),2)))*(1+FedEx_Markup),2)</f>
        <v>294.57</v>
      </c>
      <c r="J82" s="275">
        <f>ROUND((IF(MinBase2Day&gt;ROUND(((1-(TwoDayDiscount_21_Up+FedExExrpessEarnedDiscount))*'2Day Base'!J79),2),ROUND(MinBase2Day*(1+ExpressFuelSurcharge),2),ROUND(((1-(TwoDayDiscount_21_Up+FedExExrpessEarnedDiscount))*'2Day Base'!J79)*(1+ExpressFuelSurcharge),2)))*(1+FedEx_Markup),2)</f>
        <v>294.57</v>
      </c>
      <c r="K82" s="275">
        <f>ROUND((IF(MinBase2Day&gt;ROUND(((1-(TwoDayDiscount_21_Up+FedExExrpessEarnedDiscount))*'2Day Base'!K79),2),ROUND(MinBase2Day*(1+ExpressFuelSurcharge),2),ROUND(((1-(TwoDayDiscount_21_Up+FedExExrpessEarnedDiscount))*'2Day Base'!K79)*(1+ExpressFuelSurcharge),2)))*(1+FedEx_Markup),2)</f>
        <v>300.47</v>
      </c>
      <c r="L82" s="275">
        <f>ROUND((IF(MinBase2Day&gt;ROUND(((1-(TwoDayDiscount_21_Up+FedExExrpessEarnedDiscount))*'2Day Base'!L79),2),ROUND(MinBase2Day*(1+ExpressFuelSurcharge),2),ROUND(((1-(TwoDayDiscount_21_Up+FedExExrpessEarnedDiscount))*'2Day Base'!L79)*(1+ExpressFuelSurcharge),2)))*(1+FedEx_Markup),2)</f>
        <v>300.47</v>
      </c>
    </row>
    <row r="83" ht="12.75" customHeight="1">
      <c r="A83" s="274">
        <v>78.0</v>
      </c>
      <c r="B83" s="275">
        <f>ROUND((IF(MinBase2Day&gt;ROUND(((1-(TwoDayDiscount_21_Up+FedExExrpessEarnedDiscount))*'2Day Base'!B80),2),ROUND(MinBase2Day*(1+ExpressFuelSurcharge),2),ROUND(((1-(TwoDayDiscount_21_Up+FedExExrpessEarnedDiscount))*'2Day Base'!B80)*(1+ExpressFuelSurcharge),2)))*(1+FedEx_Markup),2)</f>
        <v>73.26</v>
      </c>
      <c r="C83" s="275">
        <f>ROUND((IF(MinBase2Day&gt;ROUND(((1-(TwoDayDiscount_21_Up+FedExExrpessEarnedDiscount))*'2Day Base'!C80),2),ROUND(MinBase2Day*(1+ExpressFuelSurcharge),2),ROUND(((1-(TwoDayDiscount_21_Up+FedExExrpessEarnedDiscount))*'2Day Base'!C80)*(1+ExpressFuelSurcharge),2)))*(1+FedEx_Markup),2)</f>
        <v>89.32</v>
      </c>
      <c r="D83" s="275">
        <f>ROUND((IF(MinBase2Day&gt;ROUND(((1-(TwoDayDiscount_21_Up+FedExExrpessEarnedDiscount))*'2Day Base'!D80),2),ROUND(MinBase2Day*(1+ExpressFuelSurcharge),2),ROUND(((1-(TwoDayDiscount_21_Up+FedExExrpessEarnedDiscount))*'2Day Base'!D80)*(1+ExpressFuelSurcharge),2)))*(1+FedEx_Markup),2)</f>
        <v>106.84</v>
      </c>
      <c r="E83" s="275">
        <f>ROUND((IF(MinBase2Day&gt;ROUND(((1-(TwoDayDiscount_21_Up+FedExExrpessEarnedDiscount))*'2Day Base'!E80),2),ROUND(MinBase2Day*(1+ExpressFuelSurcharge),2),ROUND(((1-(TwoDayDiscount_21_Up+FedExExrpessEarnedDiscount))*'2Day Base'!E80)*(1+ExpressFuelSurcharge),2)))*(1+FedEx_Markup),2)</f>
        <v>174.06</v>
      </c>
      <c r="F83" s="275">
        <f>ROUND((IF(MinBase2Day&gt;ROUND(((1-(TwoDayDiscount_21_Up+FedExExrpessEarnedDiscount))*'2Day Base'!F80),2),ROUND(MinBase2Day*(1+ExpressFuelSurcharge),2),ROUND(((1-(TwoDayDiscount_21_Up+FedExExrpessEarnedDiscount))*'2Day Base'!F80)*(1+ExpressFuelSurcharge),2)))*(1+FedEx_Markup),2)</f>
        <v>278.33</v>
      </c>
      <c r="G83" s="275">
        <f>ROUND((IF(MinBase2Day&gt;ROUND(((1-(TwoDayDiscount_21_Up+FedExExrpessEarnedDiscount))*'2Day Base'!G80),2),ROUND(MinBase2Day*(1+ExpressFuelSurcharge),2),ROUND(((1-(TwoDayDiscount_21_Up+FedExExrpessEarnedDiscount))*'2Day Base'!G80)*(1+ExpressFuelSurcharge),2)))*(1+FedEx_Markup),2)</f>
        <v>288.19</v>
      </c>
      <c r="H83" s="275">
        <f>ROUND((IF(MinBase2Day&gt;ROUND(((1-(TwoDayDiscount_21_Up+FedExExrpessEarnedDiscount))*'2Day Base'!H80),2),ROUND(MinBase2Day*(1+ExpressFuelSurcharge),2),ROUND(((1-(TwoDayDiscount_21_Up+FedExExrpessEarnedDiscount))*'2Day Base'!H80)*(1+ExpressFuelSurcharge),2)))*(1+FedEx_Markup),2)</f>
        <v>309.35</v>
      </c>
      <c r="I83" s="275">
        <f>ROUND((IF(MinBase2Day&gt;ROUND(((1-(TwoDayDiscount_21_Up+FedExExrpessEarnedDiscount))*'2Day Base'!I80),2),ROUND(MinBase2Day*(1+ExpressFuelSurcharge),2),ROUND(((1-(TwoDayDiscount_21_Up+FedExExrpessEarnedDiscount))*'2Day Base'!I80)*(1+ExpressFuelSurcharge),2)))*(1+FedEx_Markup),2)</f>
        <v>315.54</v>
      </c>
      <c r="J83" s="275">
        <f>ROUND((IF(MinBase2Day&gt;ROUND(((1-(TwoDayDiscount_21_Up+FedExExrpessEarnedDiscount))*'2Day Base'!J80),2),ROUND(MinBase2Day*(1+ExpressFuelSurcharge),2),ROUND(((1-(TwoDayDiscount_21_Up+FedExExrpessEarnedDiscount))*'2Day Base'!J80)*(1+ExpressFuelSurcharge),2)))*(1+FedEx_Markup),2)</f>
        <v>315.54</v>
      </c>
      <c r="K83" s="275">
        <f>ROUND((IF(MinBase2Day&gt;ROUND(((1-(TwoDayDiscount_21_Up+FedExExrpessEarnedDiscount))*'2Day Base'!K80),2),ROUND(MinBase2Day*(1+ExpressFuelSurcharge),2),ROUND(((1-(TwoDayDiscount_21_Up+FedExExrpessEarnedDiscount))*'2Day Base'!K80)*(1+ExpressFuelSurcharge),2)))*(1+FedEx_Markup),2)</f>
        <v>321.86</v>
      </c>
      <c r="L83" s="275">
        <f>ROUND((IF(MinBase2Day&gt;ROUND(((1-(TwoDayDiscount_21_Up+FedExExrpessEarnedDiscount))*'2Day Base'!L80),2),ROUND(MinBase2Day*(1+ExpressFuelSurcharge),2),ROUND(((1-(TwoDayDiscount_21_Up+FedExExrpessEarnedDiscount))*'2Day Base'!L80)*(1+ExpressFuelSurcharge),2)))*(1+FedEx_Markup),2)</f>
        <v>321.86</v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274">
        <v>79.0</v>
      </c>
      <c r="B84" s="275">
        <f>ROUND((IF(MinBase2Day&gt;ROUND(((1-(TwoDayDiscount_21_Up+FedExExrpessEarnedDiscount))*'2Day Base'!B81),2),ROUND(MinBase2Day*(1+ExpressFuelSurcharge),2),ROUND(((1-(TwoDayDiscount_21_Up+FedExExrpessEarnedDiscount))*'2Day Base'!B81)*(1+ExpressFuelSurcharge),2)))*(1+FedEx_Markup),2)</f>
        <v>73.78</v>
      </c>
      <c r="C84" s="275">
        <f>ROUND((IF(MinBase2Day&gt;ROUND(((1-(TwoDayDiscount_21_Up+FedExExrpessEarnedDiscount))*'2Day Base'!C81),2),ROUND(MinBase2Day*(1+ExpressFuelSurcharge),2),ROUND(((1-(TwoDayDiscount_21_Up+FedExExrpessEarnedDiscount))*'2Day Base'!C81)*(1+ExpressFuelSurcharge),2)))*(1+FedEx_Markup),2)</f>
        <v>89.85</v>
      </c>
      <c r="D84" s="275">
        <f>ROUND((IF(MinBase2Day&gt;ROUND(((1-(TwoDayDiscount_21_Up+FedExExrpessEarnedDiscount))*'2Day Base'!D81),2),ROUND(MinBase2Day*(1+ExpressFuelSurcharge),2),ROUND(((1-(TwoDayDiscount_21_Up+FedExExrpessEarnedDiscount))*'2Day Base'!D81)*(1+ExpressFuelSurcharge),2)))*(1+FedEx_Markup),2)</f>
        <v>107.35</v>
      </c>
      <c r="E84" s="275">
        <f>ROUND((IF(MinBase2Day&gt;ROUND(((1-(TwoDayDiscount_21_Up+FedExExrpessEarnedDiscount))*'2Day Base'!E81),2),ROUND(MinBase2Day*(1+ExpressFuelSurcharge),2),ROUND(((1-(TwoDayDiscount_21_Up+FedExExrpessEarnedDiscount))*'2Day Base'!E81)*(1+ExpressFuelSurcharge),2)))*(1+FedEx_Markup),2)</f>
        <v>174.87</v>
      </c>
      <c r="F84" s="275">
        <f>ROUND((IF(MinBase2Day&gt;ROUND(((1-(TwoDayDiscount_21_Up+FedExExrpessEarnedDiscount))*'2Day Base'!F81),2),ROUND(MinBase2Day*(1+ExpressFuelSurcharge),2),ROUND(((1-(TwoDayDiscount_21_Up+FedExExrpessEarnedDiscount))*'2Day Base'!F81)*(1+ExpressFuelSurcharge),2)))*(1+FedEx_Markup),2)</f>
        <v>279.83</v>
      </c>
      <c r="G84" s="275">
        <f>ROUND((IF(MinBase2Day&gt;ROUND(((1-(TwoDayDiscount_21_Up+FedExExrpessEarnedDiscount))*'2Day Base'!G81),2),ROUND(MinBase2Day*(1+ExpressFuelSurcharge),2),ROUND(((1-(TwoDayDiscount_21_Up+FedExExrpessEarnedDiscount))*'2Day Base'!G81)*(1+ExpressFuelSurcharge),2)))*(1+FedEx_Markup),2)</f>
        <v>305.29</v>
      </c>
      <c r="H84" s="275">
        <f>ROUND((IF(MinBase2Day&gt;ROUND(((1-(TwoDayDiscount_21_Up+FedExExrpessEarnedDiscount))*'2Day Base'!H81),2),ROUND(MinBase2Day*(1+ExpressFuelSurcharge),2),ROUND(((1-(TwoDayDiscount_21_Up+FedExExrpessEarnedDiscount))*'2Day Base'!H81)*(1+ExpressFuelSurcharge),2)))*(1+FedEx_Markup),2)</f>
        <v>311.42</v>
      </c>
      <c r="I84" s="275">
        <f>ROUND((IF(MinBase2Day&gt;ROUND(((1-(TwoDayDiscount_21_Up+FedExExrpessEarnedDiscount))*'2Day Base'!I81),2),ROUND(MinBase2Day*(1+ExpressFuelSurcharge),2),ROUND(((1-(TwoDayDiscount_21_Up+FedExExrpessEarnedDiscount))*'2Day Base'!I81)*(1+ExpressFuelSurcharge),2)))*(1+FedEx_Markup),2)</f>
        <v>317.64</v>
      </c>
      <c r="J84" s="275">
        <f>ROUND((IF(MinBase2Day&gt;ROUND(((1-(TwoDayDiscount_21_Up+FedExExrpessEarnedDiscount))*'2Day Base'!J81),2),ROUND(MinBase2Day*(1+ExpressFuelSurcharge),2),ROUND(((1-(TwoDayDiscount_21_Up+FedExExrpessEarnedDiscount))*'2Day Base'!J81)*(1+ExpressFuelSurcharge),2)))*(1+FedEx_Markup),2)</f>
        <v>317.64</v>
      </c>
      <c r="K84" s="275">
        <f>ROUND((IF(MinBase2Day&gt;ROUND(((1-(TwoDayDiscount_21_Up+FedExExrpessEarnedDiscount))*'2Day Base'!K81),2),ROUND(MinBase2Day*(1+ExpressFuelSurcharge),2),ROUND(((1-(TwoDayDiscount_21_Up+FedExExrpessEarnedDiscount))*'2Day Base'!K81)*(1+ExpressFuelSurcharge),2)))*(1+FedEx_Markup),2)</f>
        <v>324</v>
      </c>
      <c r="L84" s="275">
        <f>ROUND((IF(MinBase2Day&gt;ROUND(((1-(TwoDayDiscount_21_Up+FedExExrpessEarnedDiscount))*'2Day Base'!L81),2),ROUND(MinBase2Day*(1+ExpressFuelSurcharge),2),ROUND(((1-(TwoDayDiscount_21_Up+FedExExrpessEarnedDiscount))*'2Day Base'!L81)*(1+ExpressFuelSurcharge),2)))*(1+FedEx_Markup),2)</f>
        <v>324</v>
      </c>
    </row>
    <row r="85" ht="12.75" customHeight="1">
      <c r="A85" s="274">
        <v>80.0</v>
      </c>
      <c r="B85" s="275">
        <f>ROUND((IF(MinBase2Day&gt;ROUND(((1-(TwoDayDiscount_21_Up+FedExExrpessEarnedDiscount))*'2Day Base'!B82),2),ROUND(MinBase2Day*(1+ExpressFuelSurcharge),2),ROUND(((1-(TwoDayDiscount_21_Up+FedExExrpessEarnedDiscount))*'2Day Base'!B82)*(1+ExpressFuelSurcharge),2)))*(1+FedEx_Markup),2)</f>
        <v>74.31</v>
      </c>
      <c r="C85" s="275">
        <f>ROUND((IF(MinBase2Day&gt;ROUND(((1-(TwoDayDiscount_21_Up+FedExExrpessEarnedDiscount))*'2Day Base'!C82),2),ROUND(MinBase2Day*(1+ExpressFuelSurcharge),2),ROUND(((1-(TwoDayDiscount_21_Up+FedExExrpessEarnedDiscount))*'2Day Base'!C82)*(1+ExpressFuelSurcharge),2)))*(1+FedEx_Markup),2)</f>
        <v>90.23</v>
      </c>
      <c r="D85" s="275">
        <f>ROUND((IF(MinBase2Day&gt;ROUND(((1-(TwoDayDiscount_21_Up+FedExExrpessEarnedDiscount))*'2Day Base'!D82),2),ROUND(MinBase2Day*(1+ExpressFuelSurcharge),2),ROUND(((1-(TwoDayDiscount_21_Up+FedExExrpessEarnedDiscount))*'2Day Base'!D82)*(1+ExpressFuelSurcharge),2)))*(1+FedEx_Markup),2)</f>
        <v>107.88</v>
      </c>
      <c r="E85" s="275">
        <f>ROUND((IF(MinBase2Day&gt;ROUND(((1-(TwoDayDiscount_21_Up+FedExExrpessEarnedDiscount))*'2Day Base'!E82),2),ROUND(MinBase2Day*(1+ExpressFuelSurcharge),2),ROUND(((1-(TwoDayDiscount_21_Up+FedExExrpessEarnedDiscount))*'2Day Base'!E82)*(1+ExpressFuelSurcharge),2)))*(1+FedEx_Markup),2)</f>
        <v>175.43</v>
      </c>
      <c r="F85" s="275">
        <f>ROUND((IF(MinBase2Day&gt;ROUND(((1-(TwoDayDiscount_21_Up+FedExExrpessEarnedDiscount))*'2Day Base'!F82),2),ROUND(MinBase2Day*(1+ExpressFuelSurcharge),2),ROUND(((1-(TwoDayDiscount_21_Up+FedExExrpessEarnedDiscount))*'2Day Base'!F82)*(1+ExpressFuelSurcharge),2)))*(1+FedEx_Markup),2)</f>
        <v>295.06</v>
      </c>
      <c r="G85" s="275">
        <f>ROUND((IF(MinBase2Day&gt;ROUND(((1-(TwoDayDiscount_21_Up+FedExExrpessEarnedDiscount))*'2Day Base'!G82),2),ROUND(MinBase2Day*(1+ExpressFuelSurcharge),2),ROUND(((1-(TwoDayDiscount_21_Up+FedExExrpessEarnedDiscount))*'2Day Base'!G82)*(1+ExpressFuelSurcharge),2)))*(1+FedEx_Markup),2)</f>
        <v>307</v>
      </c>
      <c r="H85" s="275">
        <f>ROUND((IF(MinBase2Day&gt;ROUND(((1-(TwoDayDiscount_21_Up+FedExExrpessEarnedDiscount))*'2Day Base'!H82),2),ROUND(MinBase2Day*(1+ExpressFuelSurcharge),2),ROUND(((1-(TwoDayDiscount_21_Up+FedExExrpessEarnedDiscount))*'2Day Base'!H82)*(1+ExpressFuelSurcharge),2)))*(1+FedEx_Markup),2)</f>
        <v>313.15</v>
      </c>
      <c r="I85" s="275">
        <f>ROUND((IF(MinBase2Day&gt;ROUND(((1-(TwoDayDiscount_21_Up+FedExExrpessEarnedDiscount))*'2Day Base'!I82),2),ROUND(MinBase2Day*(1+ExpressFuelSurcharge),2),ROUND(((1-(TwoDayDiscount_21_Up+FedExExrpessEarnedDiscount))*'2Day Base'!I82)*(1+ExpressFuelSurcharge),2)))*(1+FedEx_Markup),2)</f>
        <v>319.84</v>
      </c>
      <c r="J85" s="275">
        <f>ROUND((IF(MinBase2Day&gt;ROUND(((1-(TwoDayDiscount_21_Up+FedExExrpessEarnedDiscount))*'2Day Base'!J82),2),ROUND(MinBase2Day*(1+ExpressFuelSurcharge),2),ROUND(((1-(TwoDayDiscount_21_Up+FedExExrpessEarnedDiscount))*'2Day Base'!J82)*(1+ExpressFuelSurcharge),2)))*(1+FedEx_Markup),2)</f>
        <v>319.84</v>
      </c>
      <c r="K85" s="275">
        <f>ROUND((IF(MinBase2Day&gt;ROUND(((1-(TwoDayDiscount_21_Up+FedExExrpessEarnedDiscount))*'2Day Base'!K82),2),ROUND(MinBase2Day*(1+ExpressFuelSurcharge),2),ROUND(((1-(TwoDayDiscount_21_Up+FedExExrpessEarnedDiscount))*'2Day Base'!K82)*(1+ExpressFuelSurcharge),2)))*(1+FedEx_Markup),2)</f>
        <v>326.24</v>
      </c>
      <c r="L85" s="275">
        <f>ROUND((IF(MinBase2Day&gt;ROUND(((1-(TwoDayDiscount_21_Up+FedExExrpessEarnedDiscount))*'2Day Base'!L82),2),ROUND(MinBase2Day*(1+ExpressFuelSurcharge),2),ROUND(((1-(TwoDayDiscount_21_Up+FedExExrpessEarnedDiscount))*'2Day Base'!L82)*(1+ExpressFuelSurcharge),2)))*(1+FedEx_Markup),2)</f>
        <v>326.24</v>
      </c>
    </row>
    <row r="86" ht="12.75" customHeight="1">
      <c r="A86" s="274">
        <v>81.0</v>
      </c>
      <c r="B86" s="275">
        <f>ROUND((IF(MinBase2Day&gt;ROUND(((1-(TwoDayDiscount_21_Up+FedExExrpessEarnedDiscount))*'2Day Base'!B83),2),ROUND(MinBase2Day*(1+ExpressFuelSurcharge),2),ROUND(((1-(TwoDayDiscount_21_Up+FedExExrpessEarnedDiscount))*'2Day Base'!B83)*(1+ExpressFuelSurcharge),2)))*(1+FedEx_Markup),2)</f>
        <v>76.89</v>
      </c>
      <c r="C86" s="275">
        <f>ROUND((IF(MinBase2Day&gt;ROUND(((1-(TwoDayDiscount_21_Up+FedExExrpessEarnedDiscount))*'2Day Base'!C83),2),ROUND(MinBase2Day*(1+ExpressFuelSurcharge),2),ROUND(((1-(TwoDayDiscount_21_Up+FedExExrpessEarnedDiscount))*'2Day Base'!C83)*(1+ExpressFuelSurcharge),2)))*(1+FedEx_Markup),2)</f>
        <v>90.85</v>
      </c>
      <c r="D86" s="275">
        <f>ROUND((IF(MinBase2Day&gt;ROUND(((1-(TwoDayDiscount_21_Up+FedExExrpessEarnedDiscount))*'2Day Base'!D83),2),ROUND(MinBase2Day*(1+ExpressFuelSurcharge),2),ROUND(((1-(TwoDayDiscount_21_Up+FedExExrpessEarnedDiscount))*'2Day Base'!D83)*(1+ExpressFuelSurcharge),2)))*(1+FedEx_Markup),2)</f>
        <v>108.4</v>
      </c>
      <c r="E86" s="275">
        <f>ROUND((IF(MinBase2Day&gt;ROUND(((1-(TwoDayDiscount_21_Up+FedExExrpessEarnedDiscount))*'2Day Base'!E83),2),ROUND(MinBase2Day*(1+ExpressFuelSurcharge),2),ROUND(((1-(TwoDayDiscount_21_Up+FedExExrpessEarnedDiscount))*'2Day Base'!E83)*(1+ExpressFuelSurcharge),2)))*(1+FedEx_Markup),2)</f>
        <v>176.01</v>
      </c>
      <c r="F86" s="275">
        <f>ROUND((IF(MinBase2Day&gt;ROUND(((1-(TwoDayDiscount_21_Up+FedExExrpessEarnedDiscount))*'2Day Base'!F83),2),ROUND(MinBase2Day*(1+ExpressFuelSurcharge),2),ROUND(((1-(TwoDayDiscount_21_Up+FedExExrpessEarnedDiscount))*'2Day Base'!F83)*(1+ExpressFuelSurcharge),2)))*(1+FedEx_Markup),2)</f>
        <v>296.59</v>
      </c>
      <c r="G86" s="275">
        <f>ROUND((IF(MinBase2Day&gt;ROUND(((1-(TwoDayDiscount_21_Up+FedExExrpessEarnedDiscount))*'2Day Base'!G83),2),ROUND(MinBase2Day*(1+ExpressFuelSurcharge),2),ROUND(((1-(TwoDayDiscount_21_Up+FedExExrpessEarnedDiscount))*'2Day Base'!G83)*(1+ExpressFuelSurcharge),2)))*(1+FedEx_Markup),2)</f>
        <v>307.95</v>
      </c>
      <c r="H86" s="275">
        <f>ROUND((IF(MinBase2Day&gt;ROUND(((1-(TwoDayDiscount_21_Up+FedExExrpessEarnedDiscount))*'2Day Base'!H83),2),ROUND(MinBase2Day*(1+ExpressFuelSurcharge),2),ROUND(((1-(TwoDayDiscount_21_Up+FedExExrpessEarnedDiscount))*'2Day Base'!H83)*(1+ExpressFuelSurcharge),2)))*(1+FedEx_Markup),2)</f>
        <v>314.1</v>
      </c>
      <c r="I86" s="275">
        <f>ROUND((IF(MinBase2Day&gt;ROUND(((1-(TwoDayDiscount_21_Up+FedExExrpessEarnedDiscount))*'2Day Base'!I83),2),ROUND(MinBase2Day*(1+ExpressFuelSurcharge),2),ROUND(((1-(TwoDayDiscount_21_Up+FedExExrpessEarnedDiscount))*'2Day Base'!I83)*(1+ExpressFuelSurcharge),2)))*(1+FedEx_Markup),2)</f>
        <v>320.39</v>
      </c>
      <c r="J86" s="275">
        <f>ROUND((IF(MinBase2Day&gt;ROUND(((1-(TwoDayDiscount_21_Up+FedExExrpessEarnedDiscount))*'2Day Base'!J83),2),ROUND(MinBase2Day*(1+ExpressFuelSurcharge),2),ROUND(((1-(TwoDayDiscount_21_Up+FedExExrpessEarnedDiscount))*'2Day Base'!J83)*(1+ExpressFuelSurcharge),2)))*(1+FedEx_Markup),2)</f>
        <v>320.39</v>
      </c>
      <c r="K86" s="275">
        <f>ROUND((IF(MinBase2Day&gt;ROUND(((1-(TwoDayDiscount_21_Up+FedExExrpessEarnedDiscount))*'2Day Base'!K83),2),ROUND(MinBase2Day*(1+ExpressFuelSurcharge),2),ROUND(((1-(TwoDayDiscount_21_Up+FedExExrpessEarnedDiscount))*'2Day Base'!K83)*(1+ExpressFuelSurcharge),2)))*(1+FedEx_Markup),2)</f>
        <v>326.81</v>
      </c>
      <c r="L86" s="275">
        <f>ROUND((IF(MinBase2Day&gt;ROUND(((1-(TwoDayDiscount_21_Up+FedExExrpessEarnedDiscount))*'2Day Base'!L83),2),ROUND(MinBase2Day*(1+ExpressFuelSurcharge),2),ROUND(((1-(TwoDayDiscount_21_Up+FedExExrpessEarnedDiscount))*'2Day Base'!L83)*(1+ExpressFuelSurcharge),2)))*(1+FedEx_Markup),2)</f>
        <v>326.81</v>
      </c>
    </row>
    <row r="87" ht="12.75" customHeight="1">
      <c r="A87" s="274">
        <v>82.0</v>
      </c>
      <c r="B87" s="275">
        <f>ROUND((IF(MinBase2Day&gt;ROUND(((1-(TwoDayDiscount_21_Up+FedExExrpessEarnedDiscount))*'2Day Base'!B84),2),ROUND(MinBase2Day*(1+ExpressFuelSurcharge),2),ROUND(((1-(TwoDayDiscount_21_Up+FedExExrpessEarnedDiscount))*'2Day Base'!B84)*(1+ExpressFuelSurcharge),2)))*(1+FedEx_Markup),2)</f>
        <v>77.64</v>
      </c>
      <c r="C87" s="275">
        <f>ROUND((IF(MinBase2Day&gt;ROUND(((1-(TwoDayDiscount_21_Up+FedExExrpessEarnedDiscount))*'2Day Base'!C84),2),ROUND(MinBase2Day*(1+ExpressFuelSurcharge),2),ROUND(((1-(TwoDayDiscount_21_Up+FedExExrpessEarnedDiscount))*'2Day Base'!C84)*(1+ExpressFuelSurcharge),2)))*(1+FedEx_Markup),2)</f>
        <v>91.33</v>
      </c>
      <c r="D87" s="275">
        <f>ROUND((IF(MinBase2Day&gt;ROUND(((1-(TwoDayDiscount_21_Up+FedExExrpessEarnedDiscount))*'2Day Base'!D84),2),ROUND(MinBase2Day*(1+ExpressFuelSurcharge),2),ROUND(((1-(TwoDayDiscount_21_Up+FedExExrpessEarnedDiscount))*'2Day Base'!D84)*(1+ExpressFuelSurcharge),2)))*(1+FedEx_Markup),2)</f>
        <v>108.94</v>
      </c>
      <c r="E87" s="275">
        <f>ROUND((IF(MinBase2Day&gt;ROUND(((1-(TwoDayDiscount_21_Up+FedExExrpessEarnedDiscount))*'2Day Base'!E84),2),ROUND(MinBase2Day*(1+ExpressFuelSurcharge),2),ROUND(((1-(TwoDayDiscount_21_Up+FedExExrpessEarnedDiscount))*'2Day Base'!E84)*(1+ExpressFuelSurcharge),2)))*(1+FedEx_Markup),2)</f>
        <v>176.56</v>
      </c>
      <c r="F87" s="275">
        <f>ROUND((IF(MinBase2Day&gt;ROUND(((1-(TwoDayDiscount_21_Up+FedExExrpessEarnedDiscount))*'2Day Base'!F84),2),ROUND(MinBase2Day*(1+ExpressFuelSurcharge),2),ROUND(((1-(TwoDayDiscount_21_Up+FedExExrpessEarnedDiscount))*'2Day Base'!F84)*(1+ExpressFuelSurcharge),2)))*(1+FedEx_Markup),2)</f>
        <v>297.15</v>
      </c>
      <c r="G87" s="275">
        <f>ROUND((IF(MinBase2Day&gt;ROUND(((1-(TwoDayDiscount_21_Up+FedExExrpessEarnedDiscount))*'2Day Base'!G84),2),ROUND(MinBase2Day*(1+ExpressFuelSurcharge),2),ROUND(((1-(TwoDayDiscount_21_Up+FedExExrpessEarnedDiscount))*'2Day Base'!G84)*(1+ExpressFuelSurcharge),2)))*(1+FedEx_Markup),2)</f>
        <v>308.48</v>
      </c>
      <c r="H87" s="275">
        <f>ROUND((IF(MinBase2Day&gt;ROUND(((1-(TwoDayDiscount_21_Up+FedExExrpessEarnedDiscount))*'2Day Base'!H84),2),ROUND(MinBase2Day*(1+ExpressFuelSurcharge),2),ROUND(((1-(TwoDayDiscount_21_Up+FedExExrpessEarnedDiscount))*'2Day Base'!H84)*(1+ExpressFuelSurcharge),2)))*(1+FedEx_Markup),2)</f>
        <v>314.64</v>
      </c>
      <c r="I87" s="275">
        <f>ROUND((IF(MinBase2Day&gt;ROUND(((1-(TwoDayDiscount_21_Up+FedExExrpessEarnedDiscount))*'2Day Base'!I84),2),ROUND(MinBase2Day*(1+ExpressFuelSurcharge),2),ROUND(((1-(TwoDayDiscount_21_Up+FedExExrpessEarnedDiscount))*'2Day Base'!I84)*(1+ExpressFuelSurcharge),2)))*(1+FedEx_Markup),2)</f>
        <v>320.94</v>
      </c>
      <c r="J87" s="275">
        <f>ROUND((IF(MinBase2Day&gt;ROUND(((1-(TwoDayDiscount_21_Up+FedExExrpessEarnedDiscount))*'2Day Base'!J84),2),ROUND(MinBase2Day*(1+ExpressFuelSurcharge),2),ROUND(((1-(TwoDayDiscount_21_Up+FedExExrpessEarnedDiscount))*'2Day Base'!J84)*(1+ExpressFuelSurcharge),2)))*(1+FedEx_Markup),2)</f>
        <v>320.94</v>
      </c>
      <c r="K87" s="275">
        <f>ROUND((IF(MinBase2Day&gt;ROUND(((1-(TwoDayDiscount_21_Up+FedExExrpessEarnedDiscount))*'2Day Base'!K84),2),ROUND(MinBase2Day*(1+ExpressFuelSurcharge),2),ROUND(((1-(TwoDayDiscount_21_Up+FedExExrpessEarnedDiscount))*'2Day Base'!K84)*(1+ExpressFuelSurcharge),2)))*(1+FedEx_Markup),2)</f>
        <v>327.37</v>
      </c>
      <c r="L87" s="275">
        <f>ROUND((IF(MinBase2Day&gt;ROUND(((1-(TwoDayDiscount_21_Up+FedExExrpessEarnedDiscount))*'2Day Base'!L84),2),ROUND(MinBase2Day*(1+ExpressFuelSurcharge),2),ROUND(((1-(TwoDayDiscount_21_Up+FedExExrpessEarnedDiscount))*'2Day Base'!L84)*(1+ExpressFuelSurcharge),2)))*(1+FedEx_Markup),2)</f>
        <v>327.37</v>
      </c>
    </row>
    <row r="88" ht="12.75" customHeight="1">
      <c r="A88" s="274">
        <v>83.0</v>
      </c>
      <c r="B88" s="275">
        <f>ROUND((IF(MinBase2Day&gt;ROUND(((1-(TwoDayDiscount_21_Up+FedExExrpessEarnedDiscount))*'2Day Base'!B85),2),ROUND(MinBase2Day*(1+ExpressFuelSurcharge),2),ROUND(((1-(TwoDayDiscount_21_Up+FedExExrpessEarnedDiscount))*'2Day Base'!B85)*(1+ExpressFuelSurcharge),2)))*(1+FedEx_Markup),2)</f>
        <v>78.68</v>
      </c>
      <c r="C88" s="275">
        <f>ROUND((IF(MinBase2Day&gt;ROUND(((1-(TwoDayDiscount_21_Up+FedExExrpessEarnedDiscount))*'2Day Base'!C85),2),ROUND(MinBase2Day*(1+ExpressFuelSurcharge),2),ROUND(((1-(TwoDayDiscount_21_Up+FedExExrpessEarnedDiscount))*'2Day Base'!C85)*(1+ExpressFuelSurcharge),2)))*(1+FedEx_Markup),2)</f>
        <v>92.76</v>
      </c>
      <c r="D88" s="275">
        <f>ROUND((IF(MinBase2Day&gt;ROUND(((1-(TwoDayDiscount_21_Up+FedExExrpessEarnedDiscount))*'2Day Base'!D85),2),ROUND(MinBase2Day*(1+ExpressFuelSurcharge),2),ROUND(((1-(TwoDayDiscount_21_Up+FedExExrpessEarnedDiscount))*'2Day Base'!D85)*(1+ExpressFuelSurcharge),2)))*(1+FedEx_Markup),2)</f>
        <v>109.46</v>
      </c>
      <c r="E88" s="275">
        <f>ROUND((IF(MinBase2Day&gt;ROUND(((1-(TwoDayDiscount_21_Up+FedExExrpessEarnedDiscount))*'2Day Base'!E85),2),ROUND(MinBase2Day*(1+ExpressFuelSurcharge),2),ROUND(((1-(TwoDayDiscount_21_Up+FedExExrpessEarnedDiscount))*'2Day Base'!E85)*(1+ExpressFuelSurcharge),2)))*(1+FedEx_Markup),2)</f>
        <v>177.13</v>
      </c>
      <c r="F88" s="275">
        <f>ROUND((IF(MinBase2Day&gt;ROUND(((1-(TwoDayDiscount_21_Up+FedExExrpessEarnedDiscount))*'2Day Base'!F85),2),ROUND(MinBase2Day*(1+ExpressFuelSurcharge),2),ROUND(((1-(TwoDayDiscount_21_Up+FedExExrpessEarnedDiscount))*'2Day Base'!F85)*(1+ExpressFuelSurcharge),2)))*(1+FedEx_Markup),2)</f>
        <v>301.84</v>
      </c>
      <c r="G88" s="275">
        <f>ROUND((IF(MinBase2Day&gt;ROUND(((1-(TwoDayDiscount_21_Up+FedExExrpessEarnedDiscount))*'2Day Base'!G85),2),ROUND(MinBase2Day*(1+ExpressFuelSurcharge),2),ROUND(((1-(TwoDayDiscount_21_Up+FedExExrpessEarnedDiscount))*'2Day Base'!G85)*(1+ExpressFuelSurcharge),2)))*(1+FedEx_Markup),2)</f>
        <v>309.01</v>
      </c>
      <c r="H88" s="275">
        <f>ROUND((IF(MinBase2Day&gt;ROUND(((1-(TwoDayDiscount_21_Up+FedExExrpessEarnedDiscount))*'2Day Base'!H85),2),ROUND(MinBase2Day*(1+ExpressFuelSurcharge),2),ROUND(((1-(TwoDayDiscount_21_Up+FedExExrpessEarnedDiscount))*'2Day Base'!H85)*(1+ExpressFuelSurcharge),2)))*(1+FedEx_Markup),2)</f>
        <v>315.19</v>
      </c>
      <c r="I88" s="275">
        <f>ROUND((IF(MinBase2Day&gt;ROUND(((1-(TwoDayDiscount_21_Up+FedExExrpessEarnedDiscount))*'2Day Base'!I85),2),ROUND(MinBase2Day*(1+ExpressFuelSurcharge),2),ROUND(((1-(TwoDayDiscount_21_Up+FedExExrpessEarnedDiscount))*'2Day Base'!I85)*(1+ExpressFuelSurcharge),2)))*(1+FedEx_Markup),2)</f>
        <v>321.49</v>
      </c>
      <c r="J88" s="275">
        <f>ROUND((IF(MinBase2Day&gt;ROUND(((1-(TwoDayDiscount_21_Up+FedExExrpessEarnedDiscount))*'2Day Base'!J85),2),ROUND(MinBase2Day*(1+ExpressFuelSurcharge),2),ROUND(((1-(TwoDayDiscount_21_Up+FedExExrpessEarnedDiscount))*'2Day Base'!J85)*(1+ExpressFuelSurcharge),2)))*(1+FedEx_Markup),2)</f>
        <v>321.49</v>
      </c>
      <c r="K88" s="275">
        <f>ROUND((IF(MinBase2Day&gt;ROUND(((1-(TwoDayDiscount_21_Up+FedExExrpessEarnedDiscount))*'2Day Base'!K85),2),ROUND(MinBase2Day*(1+ExpressFuelSurcharge),2),ROUND(((1-(TwoDayDiscount_21_Up+FedExExrpessEarnedDiscount))*'2Day Base'!K85)*(1+ExpressFuelSurcharge),2)))*(1+FedEx_Markup),2)</f>
        <v>327.93</v>
      </c>
      <c r="L88" s="275">
        <f>ROUND((IF(MinBase2Day&gt;ROUND(((1-(TwoDayDiscount_21_Up+FedExExrpessEarnedDiscount))*'2Day Base'!L85),2),ROUND(MinBase2Day*(1+ExpressFuelSurcharge),2),ROUND(((1-(TwoDayDiscount_21_Up+FedExExrpessEarnedDiscount))*'2Day Base'!L85)*(1+ExpressFuelSurcharge),2)))*(1+FedEx_Markup),2)</f>
        <v>327.93</v>
      </c>
    </row>
    <row r="89" ht="12.75" customHeight="1">
      <c r="A89" s="274">
        <v>84.0</v>
      </c>
      <c r="B89" s="275">
        <f>ROUND((IF(MinBase2Day&gt;ROUND(((1-(TwoDayDiscount_21_Up+FedExExrpessEarnedDiscount))*'2Day Base'!B86),2),ROUND(MinBase2Day*(1+ExpressFuelSurcharge),2),ROUND(((1-(TwoDayDiscount_21_Up+FedExExrpessEarnedDiscount))*'2Day Base'!B86)*(1+ExpressFuelSurcharge),2)))*(1+FedEx_Markup),2)</f>
        <v>79.21</v>
      </c>
      <c r="C89" s="275">
        <f>ROUND((IF(MinBase2Day&gt;ROUND(((1-(TwoDayDiscount_21_Up+FedExExrpessEarnedDiscount))*'2Day Base'!C86),2),ROUND(MinBase2Day*(1+ExpressFuelSurcharge),2),ROUND(((1-(TwoDayDiscount_21_Up+FedExExrpessEarnedDiscount))*'2Day Base'!C86)*(1+ExpressFuelSurcharge),2)))*(1+FedEx_Markup),2)</f>
        <v>93.3</v>
      </c>
      <c r="D89" s="275">
        <f>ROUND((IF(MinBase2Day&gt;ROUND(((1-(TwoDayDiscount_21_Up+FedExExrpessEarnedDiscount))*'2Day Base'!D86),2),ROUND(MinBase2Day*(1+ExpressFuelSurcharge),2),ROUND(((1-(TwoDayDiscount_21_Up+FedExExrpessEarnedDiscount))*'2Day Base'!D86)*(1+ExpressFuelSurcharge),2)))*(1+FedEx_Markup),2)</f>
        <v>111.09</v>
      </c>
      <c r="E89" s="275">
        <f>ROUND((IF(MinBase2Day&gt;ROUND(((1-(TwoDayDiscount_21_Up+FedExExrpessEarnedDiscount))*'2Day Base'!E86),2),ROUND(MinBase2Day*(1+ExpressFuelSurcharge),2),ROUND(((1-(TwoDayDiscount_21_Up+FedExExrpessEarnedDiscount))*'2Day Base'!E86)*(1+ExpressFuelSurcharge),2)))*(1+FedEx_Markup),2)</f>
        <v>177.7</v>
      </c>
      <c r="F89" s="275">
        <f>ROUND((IF(MinBase2Day&gt;ROUND(((1-(TwoDayDiscount_21_Up+FedExExrpessEarnedDiscount))*'2Day Base'!F86),2),ROUND(MinBase2Day*(1+ExpressFuelSurcharge),2),ROUND(((1-(TwoDayDiscount_21_Up+FedExExrpessEarnedDiscount))*'2Day Base'!F86)*(1+ExpressFuelSurcharge),2)))*(1+FedEx_Markup),2)</f>
        <v>305.07</v>
      </c>
      <c r="G89" s="275">
        <f>ROUND((IF(MinBase2Day&gt;ROUND(((1-(TwoDayDiscount_21_Up+FedExExrpessEarnedDiscount))*'2Day Base'!G86),2),ROUND(MinBase2Day*(1+ExpressFuelSurcharge),2),ROUND(((1-(TwoDayDiscount_21_Up+FedExExrpessEarnedDiscount))*'2Day Base'!G86)*(1+ExpressFuelSurcharge),2)))*(1+FedEx_Markup),2)</f>
        <v>314.21</v>
      </c>
      <c r="H89" s="275">
        <f>ROUND((IF(MinBase2Day&gt;ROUND(((1-(TwoDayDiscount_21_Up+FedExExrpessEarnedDiscount))*'2Day Base'!H86),2),ROUND(MinBase2Day*(1+ExpressFuelSurcharge),2),ROUND(((1-(TwoDayDiscount_21_Up+FedExExrpessEarnedDiscount))*'2Day Base'!H86)*(1+ExpressFuelSurcharge),2)))*(1+FedEx_Markup),2)</f>
        <v>320.51</v>
      </c>
      <c r="I89" s="275">
        <f>ROUND((IF(MinBase2Day&gt;ROUND(((1-(TwoDayDiscount_21_Up+FedExExrpessEarnedDiscount))*'2Day Base'!I86),2),ROUND(MinBase2Day*(1+ExpressFuelSurcharge),2),ROUND(((1-(TwoDayDiscount_21_Up+FedExExrpessEarnedDiscount))*'2Day Base'!I86)*(1+ExpressFuelSurcharge),2)))*(1+FedEx_Markup),2)</f>
        <v>326.92</v>
      </c>
      <c r="J89" s="275">
        <f>ROUND((IF(MinBase2Day&gt;ROUND(((1-(TwoDayDiscount_21_Up+FedExExrpessEarnedDiscount))*'2Day Base'!J86),2),ROUND(MinBase2Day*(1+ExpressFuelSurcharge),2),ROUND(((1-(TwoDayDiscount_21_Up+FedExExrpessEarnedDiscount))*'2Day Base'!J86)*(1+ExpressFuelSurcharge),2)))*(1+FedEx_Markup),2)</f>
        <v>326.92</v>
      </c>
      <c r="K89" s="275">
        <f>ROUND((IF(MinBase2Day&gt;ROUND(((1-(TwoDayDiscount_21_Up+FedExExrpessEarnedDiscount))*'2Day Base'!K86),2),ROUND(MinBase2Day*(1+ExpressFuelSurcharge),2),ROUND(((1-(TwoDayDiscount_21_Up+FedExExrpessEarnedDiscount))*'2Day Base'!K86)*(1+ExpressFuelSurcharge),2)))*(1+FedEx_Markup),2)</f>
        <v>333.48</v>
      </c>
      <c r="L89" s="275">
        <f>ROUND((IF(MinBase2Day&gt;ROUND(((1-(TwoDayDiscount_21_Up+FedExExrpessEarnedDiscount))*'2Day Base'!L86),2),ROUND(MinBase2Day*(1+ExpressFuelSurcharge),2),ROUND(((1-(TwoDayDiscount_21_Up+FedExExrpessEarnedDiscount))*'2Day Base'!L86)*(1+ExpressFuelSurcharge),2)))*(1+FedEx_Markup),2)</f>
        <v>333.48</v>
      </c>
    </row>
    <row r="90" ht="12.75" customHeight="1">
      <c r="A90" s="274">
        <v>85.0</v>
      </c>
      <c r="B90" s="275">
        <f>ROUND((IF(MinBase2Day&gt;ROUND(((1-(TwoDayDiscount_21_Up+FedExExrpessEarnedDiscount))*'2Day Base'!B87),2),ROUND(MinBase2Day*(1+ExpressFuelSurcharge),2),ROUND(((1-(TwoDayDiscount_21_Up+FedExExrpessEarnedDiscount))*'2Day Base'!B87)*(1+ExpressFuelSurcharge),2)))*(1+FedEx_Markup),2)</f>
        <v>82.87</v>
      </c>
      <c r="C90" s="275">
        <f>ROUND((IF(MinBase2Day&gt;ROUND(((1-(TwoDayDiscount_21_Up+FedExExrpessEarnedDiscount))*'2Day Base'!C87),2),ROUND(MinBase2Day*(1+ExpressFuelSurcharge),2),ROUND(((1-(TwoDayDiscount_21_Up+FedExExrpessEarnedDiscount))*'2Day Base'!C87)*(1+ExpressFuelSurcharge),2)))*(1+FedEx_Markup),2)</f>
        <v>95.42</v>
      </c>
      <c r="D90" s="275">
        <f>ROUND((IF(MinBase2Day&gt;ROUND(((1-(TwoDayDiscount_21_Up+FedExExrpessEarnedDiscount))*'2Day Base'!D87),2),ROUND(MinBase2Day*(1+ExpressFuelSurcharge),2),ROUND(((1-(TwoDayDiscount_21_Up+FedExExrpessEarnedDiscount))*'2Day Base'!D87)*(1+ExpressFuelSurcharge),2)))*(1+FedEx_Markup),2)</f>
        <v>116.77</v>
      </c>
      <c r="E90" s="275">
        <f>ROUND((IF(MinBase2Day&gt;ROUND(((1-(TwoDayDiscount_21_Up+FedExExrpessEarnedDiscount))*'2Day Base'!E87),2),ROUND(MinBase2Day*(1+ExpressFuelSurcharge),2),ROUND(((1-(TwoDayDiscount_21_Up+FedExExrpessEarnedDiscount))*'2Day Base'!E87)*(1+ExpressFuelSurcharge),2)))*(1+FedEx_Markup),2)</f>
        <v>184.97</v>
      </c>
      <c r="F90" s="275">
        <f>ROUND((IF(MinBase2Day&gt;ROUND(((1-(TwoDayDiscount_21_Up+FedExExrpessEarnedDiscount))*'2Day Base'!F87),2),ROUND(MinBase2Day*(1+ExpressFuelSurcharge),2),ROUND(((1-(TwoDayDiscount_21_Up+FedExExrpessEarnedDiscount))*'2Day Base'!F87)*(1+ExpressFuelSurcharge),2)))*(1+FedEx_Markup),2)</f>
        <v>305.64</v>
      </c>
      <c r="G90" s="275">
        <f>ROUND((IF(MinBase2Day&gt;ROUND(((1-(TwoDayDiscount_21_Up+FedExExrpessEarnedDiscount))*'2Day Base'!G87),2),ROUND(MinBase2Day*(1+ExpressFuelSurcharge),2),ROUND(((1-(TwoDayDiscount_21_Up+FedExExrpessEarnedDiscount))*'2Day Base'!G87)*(1+ExpressFuelSurcharge),2)))*(1+FedEx_Markup),2)</f>
        <v>314.76</v>
      </c>
      <c r="H90" s="275">
        <f>ROUND((IF(MinBase2Day&gt;ROUND(((1-(TwoDayDiscount_21_Up+FedExExrpessEarnedDiscount))*'2Day Base'!H87),2),ROUND(MinBase2Day*(1+ExpressFuelSurcharge),2),ROUND(((1-(TwoDayDiscount_21_Up+FedExExrpessEarnedDiscount))*'2Day Base'!H87)*(1+ExpressFuelSurcharge),2)))*(1+FedEx_Markup),2)</f>
        <v>321.06</v>
      </c>
      <c r="I90" s="275">
        <f>ROUND((IF(MinBase2Day&gt;ROUND(((1-(TwoDayDiscount_21_Up+FedExExrpessEarnedDiscount))*'2Day Base'!I87),2),ROUND(MinBase2Day*(1+ExpressFuelSurcharge),2),ROUND(((1-(TwoDayDiscount_21_Up+FedExExrpessEarnedDiscount))*'2Day Base'!I87)*(1+ExpressFuelSurcharge),2)))*(1+FedEx_Markup),2)</f>
        <v>327.47</v>
      </c>
      <c r="J90" s="275">
        <f>ROUND((IF(MinBase2Day&gt;ROUND(((1-(TwoDayDiscount_21_Up+FedExExrpessEarnedDiscount))*'2Day Base'!J87),2),ROUND(MinBase2Day*(1+ExpressFuelSurcharge),2),ROUND(((1-(TwoDayDiscount_21_Up+FedExExrpessEarnedDiscount))*'2Day Base'!J87)*(1+ExpressFuelSurcharge),2)))*(1+FedEx_Markup),2)</f>
        <v>327.47</v>
      </c>
      <c r="K90" s="275">
        <f>ROUND((IF(MinBase2Day&gt;ROUND(((1-(TwoDayDiscount_21_Up+FedExExrpessEarnedDiscount))*'2Day Base'!K87),2),ROUND(MinBase2Day*(1+ExpressFuelSurcharge),2),ROUND(((1-(TwoDayDiscount_21_Up+FedExExrpessEarnedDiscount))*'2Day Base'!K87)*(1+ExpressFuelSurcharge),2)))*(1+FedEx_Markup),2)</f>
        <v>334.25</v>
      </c>
      <c r="L90" s="275">
        <f>ROUND((IF(MinBase2Day&gt;ROUND(((1-(TwoDayDiscount_21_Up+FedExExrpessEarnedDiscount))*'2Day Base'!L87),2),ROUND(MinBase2Day*(1+ExpressFuelSurcharge),2),ROUND(((1-(TwoDayDiscount_21_Up+FedExExrpessEarnedDiscount))*'2Day Base'!L87)*(1+ExpressFuelSurcharge),2)))*(1+FedEx_Markup),2)</f>
        <v>334.25</v>
      </c>
    </row>
    <row r="91" ht="12.75" customHeight="1">
      <c r="A91" s="274">
        <v>86.0</v>
      </c>
      <c r="B91" s="275">
        <f>ROUND((IF(MinBase2Day&gt;ROUND(((1-(TwoDayDiscount_21_Up+FedExExrpessEarnedDiscount))*'2Day Base'!B88),2),ROUND(MinBase2Day*(1+ExpressFuelSurcharge),2),ROUND(((1-(TwoDayDiscount_21_Up+FedExExrpessEarnedDiscount))*'2Day Base'!B88)*(1+ExpressFuelSurcharge),2)))*(1+FedEx_Markup),2)</f>
        <v>83.4</v>
      </c>
      <c r="C91" s="275">
        <f>ROUND((IF(MinBase2Day&gt;ROUND(((1-(TwoDayDiscount_21_Up+FedExExrpessEarnedDiscount))*'2Day Base'!C88),2),ROUND(MinBase2Day*(1+ExpressFuelSurcharge),2),ROUND(((1-(TwoDayDiscount_21_Up+FedExExrpessEarnedDiscount))*'2Day Base'!C88)*(1+ExpressFuelSurcharge),2)))*(1+FedEx_Markup),2)</f>
        <v>98.36</v>
      </c>
      <c r="D91" s="275">
        <f>ROUND((IF(MinBase2Day&gt;ROUND(((1-(TwoDayDiscount_21_Up+FedExExrpessEarnedDiscount))*'2Day Base'!D88),2),ROUND(MinBase2Day*(1+ExpressFuelSurcharge),2),ROUND(((1-(TwoDayDiscount_21_Up+FedExExrpessEarnedDiscount))*'2Day Base'!D88)*(1+ExpressFuelSurcharge),2)))*(1+FedEx_Markup),2)</f>
        <v>117.36</v>
      </c>
      <c r="E91" s="275">
        <f>ROUND((IF(MinBase2Day&gt;ROUND(((1-(TwoDayDiscount_21_Up+FedExExrpessEarnedDiscount))*'2Day Base'!E88),2),ROUND(MinBase2Day*(1+ExpressFuelSurcharge),2),ROUND(((1-(TwoDayDiscount_21_Up+FedExExrpessEarnedDiscount))*'2Day Base'!E88)*(1+ExpressFuelSurcharge),2)))*(1+FedEx_Markup),2)</f>
        <v>185.69</v>
      </c>
      <c r="F91" s="275">
        <f>ROUND((IF(MinBase2Day&gt;ROUND(((1-(TwoDayDiscount_21_Up+FedExExrpessEarnedDiscount))*'2Day Base'!F88),2),ROUND(MinBase2Day*(1+ExpressFuelSurcharge),2),ROUND(((1-(TwoDayDiscount_21_Up+FedExExrpessEarnedDiscount))*'2Day Base'!F88)*(1+ExpressFuelSurcharge),2)))*(1+FedEx_Markup),2)</f>
        <v>306.19</v>
      </c>
      <c r="G91" s="275">
        <f>ROUND((IF(MinBase2Day&gt;ROUND(((1-(TwoDayDiscount_21_Up+FedExExrpessEarnedDiscount))*'2Day Base'!G88),2),ROUND(MinBase2Day*(1+ExpressFuelSurcharge),2),ROUND(((1-(TwoDayDiscount_21_Up+FedExExrpessEarnedDiscount))*'2Day Base'!G88)*(1+ExpressFuelSurcharge),2)))*(1+FedEx_Markup),2)</f>
        <v>315.24</v>
      </c>
      <c r="H91" s="275">
        <f>ROUND((IF(MinBase2Day&gt;ROUND(((1-(TwoDayDiscount_21_Up+FedExExrpessEarnedDiscount))*'2Day Base'!H88),2),ROUND(MinBase2Day*(1+ExpressFuelSurcharge),2),ROUND(((1-(TwoDayDiscount_21_Up+FedExExrpessEarnedDiscount))*'2Day Base'!H88)*(1+ExpressFuelSurcharge),2)))*(1+FedEx_Markup),2)</f>
        <v>321.56</v>
      </c>
      <c r="I91" s="275">
        <f>ROUND((IF(MinBase2Day&gt;ROUND(((1-(TwoDayDiscount_21_Up+FedExExrpessEarnedDiscount))*'2Day Base'!I88),2),ROUND(MinBase2Day*(1+ExpressFuelSurcharge),2),ROUND(((1-(TwoDayDiscount_21_Up+FedExExrpessEarnedDiscount))*'2Day Base'!I88)*(1+ExpressFuelSurcharge),2)))*(1+FedEx_Markup),2)</f>
        <v>328.18</v>
      </c>
      <c r="J91" s="275">
        <f>ROUND((IF(MinBase2Day&gt;ROUND(((1-(TwoDayDiscount_21_Up+FedExExrpessEarnedDiscount))*'2Day Base'!J88),2),ROUND(MinBase2Day*(1+ExpressFuelSurcharge),2),ROUND(((1-(TwoDayDiscount_21_Up+FedExExrpessEarnedDiscount))*'2Day Base'!J88)*(1+ExpressFuelSurcharge),2)))*(1+FedEx_Markup),2)</f>
        <v>328.18</v>
      </c>
      <c r="K91" s="275">
        <f>ROUND((IF(MinBase2Day&gt;ROUND(((1-(TwoDayDiscount_21_Up+FedExExrpessEarnedDiscount))*'2Day Base'!K88),2),ROUND(MinBase2Day*(1+ExpressFuelSurcharge),2),ROUND(((1-(TwoDayDiscount_21_Up+FedExExrpessEarnedDiscount))*'2Day Base'!K88)*(1+ExpressFuelSurcharge),2)))*(1+FedEx_Markup),2)</f>
        <v>334.75</v>
      </c>
      <c r="L91" s="275">
        <f>ROUND((IF(MinBase2Day&gt;ROUND(((1-(TwoDayDiscount_21_Up+FedExExrpessEarnedDiscount))*'2Day Base'!L88),2),ROUND(MinBase2Day*(1+ExpressFuelSurcharge),2),ROUND(((1-(TwoDayDiscount_21_Up+FedExExrpessEarnedDiscount))*'2Day Base'!L88)*(1+ExpressFuelSurcharge),2)))*(1+FedEx_Markup),2)</f>
        <v>334.75</v>
      </c>
    </row>
    <row r="92" ht="12.75" customHeight="1">
      <c r="A92" s="274">
        <v>87.0</v>
      </c>
      <c r="B92" s="275">
        <f>ROUND((IF(MinBase2Day&gt;ROUND(((1-(TwoDayDiscount_21_Up+FedExExrpessEarnedDiscount))*'2Day Base'!B89),2),ROUND(MinBase2Day*(1+ExpressFuelSurcharge),2),ROUND(((1-(TwoDayDiscount_21_Up+FedExExrpessEarnedDiscount))*'2Day Base'!B89)*(1+ExpressFuelSurcharge),2)))*(1+FedEx_Markup),2)</f>
        <v>83.93</v>
      </c>
      <c r="C92" s="275">
        <f>ROUND((IF(MinBase2Day&gt;ROUND(((1-(TwoDayDiscount_21_Up+FedExExrpessEarnedDiscount))*'2Day Base'!C89),2),ROUND(MinBase2Day*(1+ExpressFuelSurcharge),2),ROUND(((1-(TwoDayDiscount_21_Up+FedExExrpessEarnedDiscount))*'2Day Base'!C89)*(1+ExpressFuelSurcharge),2)))*(1+FedEx_Markup),2)</f>
        <v>98.88</v>
      </c>
      <c r="D92" s="275">
        <f>ROUND((IF(MinBase2Day&gt;ROUND(((1-(TwoDayDiscount_21_Up+FedExExrpessEarnedDiscount))*'2Day Base'!D89),2),ROUND(MinBase2Day*(1+ExpressFuelSurcharge),2),ROUND(((1-(TwoDayDiscount_21_Up+FedExExrpessEarnedDiscount))*'2Day Base'!D89)*(1+ExpressFuelSurcharge),2)))*(1+FedEx_Markup),2)</f>
        <v>117.88</v>
      </c>
      <c r="E92" s="275">
        <f>ROUND((IF(MinBase2Day&gt;ROUND(((1-(TwoDayDiscount_21_Up+FedExExrpessEarnedDiscount))*'2Day Base'!E89),2),ROUND(MinBase2Day*(1+ExpressFuelSurcharge),2),ROUND(((1-(TwoDayDiscount_21_Up+FedExExrpessEarnedDiscount))*'2Day Base'!E89)*(1+ExpressFuelSurcharge),2)))*(1+FedEx_Markup),2)</f>
        <v>186.27</v>
      </c>
      <c r="F92" s="275">
        <f>ROUND((IF(MinBase2Day&gt;ROUND(((1-(TwoDayDiscount_21_Up+FedExExrpessEarnedDiscount))*'2Day Base'!F89),2),ROUND(MinBase2Day*(1+ExpressFuelSurcharge),2),ROUND(((1-(TwoDayDiscount_21_Up+FedExExrpessEarnedDiscount))*'2Day Base'!F89)*(1+ExpressFuelSurcharge),2)))*(1+FedEx_Markup),2)</f>
        <v>306.75</v>
      </c>
      <c r="G92" s="275">
        <f>ROUND((IF(MinBase2Day&gt;ROUND(((1-(TwoDayDiscount_21_Up+FedExExrpessEarnedDiscount))*'2Day Base'!G89),2),ROUND(MinBase2Day*(1+ExpressFuelSurcharge),2),ROUND(((1-(TwoDayDiscount_21_Up+FedExExrpessEarnedDiscount))*'2Day Base'!G89)*(1+ExpressFuelSurcharge),2)))*(1+FedEx_Markup),2)</f>
        <v>317.37</v>
      </c>
      <c r="H92" s="275">
        <f>ROUND((IF(MinBase2Day&gt;ROUND(((1-(TwoDayDiscount_21_Up+FedExExrpessEarnedDiscount))*'2Day Base'!H89),2),ROUND(MinBase2Day*(1+ExpressFuelSurcharge),2),ROUND(((1-(TwoDayDiscount_21_Up+FedExExrpessEarnedDiscount))*'2Day Base'!H89)*(1+ExpressFuelSurcharge),2)))*(1+FedEx_Markup),2)</f>
        <v>323.73</v>
      </c>
      <c r="I92" s="275">
        <f>ROUND((IF(MinBase2Day&gt;ROUND(((1-(TwoDayDiscount_21_Up+FedExExrpessEarnedDiscount))*'2Day Base'!I89),2),ROUND(MinBase2Day*(1+ExpressFuelSurcharge),2),ROUND(((1-(TwoDayDiscount_21_Up+FedExExrpessEarnedDiscount))*'2Day Base'!I89)*(1+ExpressFuelSurcharge),2)))*(1+FedEx_Markup),2)</f>
        <v>330.2</v>
      </c>
      <c r="J92" s="275">
        <f>ROUND((IF(MinBase2Day&gt;ROUND(((1-(TwoDayDiscount_21_Up+FedExExrpessEarnedDiscount))*'2Day Base'!J89),2),ROUND(MinBase2Day*(1+ExpressFuelSurcharge),2),ROUND(((1-(TwoDayDiscount_21_Up+FedExExrpessEarnedDiscount))*'2Day Base'!J89)*(1+ExpressFuelSurcharge),2)))*(1+FedEx_Markup),2)</f>
        <v>330.2</v>
      </c>
      <c r="K92" s="275">
        <f>ROUND((IF(MinBase2Day&gt;ROUND(((1-(TwoDayDiscount_21_Up+FedExExrpessEarnedDiscount))*'2Day Base'!K89),2),ROUND(MinBase2Day*(1+ExpressFuelSurcharge),2),ROUND(((1-(TwoDayDiscount_21_Up+FedExExrpessEarnedDiscount))*'2Day Base'!K89)*(1+ExpressFuelSurcharge),2)))*(1+FedEx_Markup),2)</f>
        <v>336.81</v>
      </c>
      <c r="L92" s="275">
        <f>ROUND((IF(MinBase2Day&gt;ROUND(((1-(TwoDayDiscount_21_Up+FedExExrpessEarnedDiscount))*'2Day Base'!L89),2),ROUND(MinBase2Day*(1+ExpressFuelSurcharge),2),ROUND(((1-(TwoDayDiscount_21_Up+FedExExrpessEarnedDiscount))*'2Day Base'!L89)*(1+ExpressFuelSurcharge),2)))*(1+FedEx_Markup),2)</f>
        <v>336.81</v>
      </c>
    </row>
    <row r="93" ht="12.75" customHeight="1">
      <c r="A93" s="274">
        <v>88.0</v>
      </c>
      <c r="B93" s="275">
        <f>ROUND((IF(MinBase2Day&gt;ROUND(((1-(TwoDayDiscount_21_Up+FedExExrpessEarnedDiscount))*'2Day Base'!B90),2),ROUND(MinBase2Day*(1+ExpressFuelSurcharge),2),ROUND(((1-(TwoDayDiscount_21_Up+FedExExrpessEarnedDiscount))*'2Day Base'!B90)*(1+ExpressFuelSurcharge),2)))*(1+FedEx_Markup),2)</f>
        <v>84.46</v>
      </c>
      <c r="C93" s="275">
        <f>ROUND((IF(MinBase2Day&gt;ROUND(((1-(TwoDayDiscount_21_Up+FedExExrpessEarnedDiscount))*'2Day Base'!C90),2),ROUND(MinBase2Day*(1+ExpressFuelSurcharge),2),ROUND(((1-(TwoDayDiscount_21_Up+FedExExrpessEarnedDiscount))*'2Day Base'!C90)*(1+ExpressFuelSurcharge),2)))*(1+FedEx_Markup),2)</f>
        <v>99.42</v>
      </c>
      <c r="D93" s="275">
        <f>ROUND((IF(MinBase2Day&gt;ROUND(((1-(TwoDayDiscount_21_Up+FedExExrpessEarnedDiscount))*'2Day Base'!D90),2),ROUND(MinBase2Day*(1+ExpressFuelSurcharge),2),ROUND(((1-(TwoDayDiscount_21_Up+FedExExrpessEarnedDiscount))*'2Day Base'!D90)*(1+ExpressFuelSurcharge),2)))*(1+FedEx_Markup),2)</f>
        <v>118.4</v>
      </c>
      <c r="E93" s="275">
        <f>ROUND((IF(MinBase2Day&gt;ROUND(((1-(TwoDayDiscount_21_Up+FedExExrpessEarnedDiscount))*'2Day Base'!E90),2),ROUND(MinBase2Day*(1+ExpressFuelSurcharge),2),ROUND(((1-(TwoDayDiscount_21_Up+FedExExrpessEarnedDiscount))*'2Day Base'!E90)*(1+ExpressFuelSurcharge),2)))*(1+FedEx_Markup),2)</f>
        <v>186.84</v>
      </c>
      <c r="F93" s="275">
        <f>ROUND((IF(MinBase2Day&gt;ROUND(((1-(TwoDayDiscount_21_Up+FedExExrpessEarnedDiscount))*'2Day Base'!F90),2),ROUND(MinBase2Day*(1+ExpressFuelSurcharge),2),ROUND(((1-(TwoDayDiscount_21_Up+FedExExrpessEarnedDiscount))*'2Day Base'!F90)*(1+ExpressFuelSurcharge),2)))*(1+FedEx_Markup),2)</f>
        <v>307.31</v>
      </c>
      <c r="G93" s="275">
        <f>ROUND((IF(MinBase2Day&gt;ROUND(((1-(TwoDayDiscount_21_Up+FedExExrpessEarnedDiscount))*'2Day Base'!G90),2),ROUND(MinBase2Day*(1+ExpressFuelSurcharge),2),ROUND(((1-(TwoDayDiscount_21_Up+FedExExrpessEarnedDiscount))*'2Day Base'!G90)*(1+ExpressFuelSurcharge),2)))*(1+FedEx_Markup),2)</f>
        <v>319.83</v>
      </c>
      <c r="H93" s="275">
        <f>ROUND((IF(MinBase2Day&gt;ROUND(((1-(TwoDayDiscount_21_Up+FedExExrpessEarnedDiscount))*'2Day Base'!H90),2),ROUND(MinBase2Day*(1+ExpressFuelSurcharge),2),ROUND(((1-(TwoDayDiscount_21_Up+FedExExrpessEarnedDiscount))*'2Day Base'!H90)*(1+ExpressFuelSurcharge),2)))*(1+FedEx_Markup),2)</f>
        <v>326.23</v>
      </c>
      <c r="I93" s="275">
        <f>ROUND((IF(MinBase2Day&gt;ROUND(((1-(TwoDayDiscount_21_Up+FedExExrpessEarnedDiscount))*'2Day Base'!I90),2),ROUND(MinBase2Day*(1+ExpressFuelSurcharge),2),ROUND(((1-(TwoDayDiscount_21_Up+FedExExrpessEarnedDiscount))*'2Day Base'!I90)*(1+ExpressFuelSurcharge),2)))*(1+FedEx_Markup),2)</f>
        <v>332.76</v>
      </c>
      <c r="J93" s="275">
        <f>ROUND((IF(MinBase2Day&gt;ROUND(((1-(TwoDayDiscount_21_Up+FedExExrpessEarnedDiscount))*'2Day Base'!J90),2),ROUND(MinBase2Day*(1+ExpressFuelSurcharge),2),ROUND(((1-(TwoDayDiscount_21_Up+FedExExrpessEarnedDiscount))*'2Day Base'!J90)*(1+ExpressFuelSurcharge),2)))*(1+FedEx_Markup),2)</f>
        <v>332.76</v>
      </c>
      <c r="K93" s="275">
        <f>ROUND((IF(MinBase2Day&gt;ROUND(((1-(TwoDayDiscount_21_Up+FedExExrpessEarnedDiscount))*'2Day Base'!K90),2),ROUND(MinBase2Day*(1+ExpressFuelSurcharge),2),ROUND(((1-(TwoDayDiscount_21_Up+FedExExrpessEarnedDiscount))*'2Day Base'!K90)*(1+ExpressFuelSurcharge),2)))*(1+FedEx_Markup),2)</f>
        <v>339.42</v>
      </c>
      <c r="L93" s="275">
        <f>ROUND((IF(MinBase2Day&gt;ROUND(((1-(TwoDayDiscount_21_Up+FedExExrpessEarnedDiscount))*'2Day Base'!L90),2),ROUND(MinBase2Day*(1+ExpressFuelSurcharge),2),ROUND(((1-(TwoDayDiscount_21_Up+FedExExrpessEarnedDiscount))*'2Day Base'!L90)*(1+ExpressFuelSurcharge),2)))*(1+FedEx_Markup),2)</f>
        <v>339.42</v>
      </c>
    </row>
    <row r="94" ht="12.75" customHeight="1">
      <c r="A94" s="274">
        <v>89.0</v>
      </c>
      <c r="B94" s="275">
        <f>ROUND((IF(MinBase2Day&gt;ROUND(((1-(TwoDayDiscount_21_Up+FedExExrpessEarnedDiscount))*'2Day Base'!B91),2),ROUND(MinBase2Day*(1+ExpressFuelSurcharge),2),ROUND(((1-(TwoDayDiscount_21_Up+FedExExrpessEarnedDiscount))*'2Day Base'!B91)*(1+ExpressFuelSurcharge),2)))*(1+FedEx_Markup),2)</f>
        <v>84.97</v>
      </c>
      <c r="C94" s="275">
        <f>ROUND((IF(MinBase2Day&gt;ROUND(((1-(TwoDayDiscount_21_Up+FedExExrpessEarnedDiscount))*'2Day Base'!C91),2),ROUND(MinBase2Day*(1+ExpressFuelSurcharge),2),ROUND(((1-(TwoDayDiscount_21_Up+FedExExrpessEarnedDiscount))*'2Day Base'!C91)*(1+ExpressFuelSurcharge),2)))*(1+FedEx_Markup),2)</f>
        <v>99.94</v>
      </c>
      <c r="D94" s="275">
        <f>ROUND((IF(MinBase2Day&gt;ROUND(((1-(TwoDayDiscount_21_Up+FedExExrpessEarnedDiscount))*'2Day Base'!D91),2),ROUND(MinBase2Day*(1+ExpressFuelSurcharge),2),ROUND(((1-(TwoDayDiscount_21_Up+FedExExrpessEarnedDiscount))*'2Day Base'!D91)*(1+ExpressFuelSurcharge),2)))*(1+FedEx_Markup),2)</f>
        <v>118.93</v>
      </c>
      <c r="E94" s="275">
        <f>ROUND((IF(MinBase2Day&gt;ROUND(((1-(TwoDayDiscount_21_Up+FedExExrpessEarnedDiscount))*'2Day Base'!E91),2),ROUND(MinBase2Day*(1+ExpressFuelSurcharge),2),ROUND(((1-(TwoDayDiscount_21_Up+FedExExrpessEarnedDiscount))*'2Day Base'!E91)*(1+ExpressFuelSurcharge),2)))*(1+FedEx_Markup),2)</f>
        <v>187.39</v>
      </c>
      <c r="F94" s="275">
        <f>ROUND((IF(MinBase2Day&gt;ROUND(((1-(TwoDayDiscount_21_Up+FedExExrpessEarnedDiscount))*'2Day Base'!F91),2),ROUND(MinBase2Day*(1+ExpressFuelSurcharge),2),ROUND(((1-(TwoDayDiscount_21_Up+FedExExrpessEarnedDiscount))*'2Day Base'!F91)*(1+ExpressFuelSurcharge),2)))*(1+FedEx_Markup),2)</f>
        <v>311.1</v>
      </c>
      <c r="G94" s="275">
        <f>ROUND((IF(MinBase2Day&gt;ROUND(((1-(TwoDayDiscount_21_Up+FedExExrpessEarnedDiscount))*'2Day Base'!G91),2),ROUND(MinBase2Day*(1+ExpressFuelSurcharge),2),ROUND(((1-(TwoDayDiscount_21_Up+FedExExrpessEarnedDiscount))*'2Day Base'!G91)*(1+ExpressFuelSurcharge),2)))*(1+FedEx_Markup),2)</f>
        <v>320.36</v>
      </c>
      <c r="H94" s="275">
        <f>ROUND((IF(MinBase2Day&gt;ROUND(((1-(TwoDayDiscount_21_Up+FedExExrpessEarnedDiscount))*'2Day Base'!H91),2),ROUND(MinBase2Day*(1+ExpressFuelSurcharge),2),ROUND(((1-(TwoDayDiscount_21_Up+FedExExrpessEarnedDiscount))*'2Day Base'!H91)*(1+ExpressFuelSurcharge),2)))*(1+FedEx_Markup),2)</f>
        <v>326.77</v>
      </c>
      <c r="I94" s="275">
        <f>ROUND((IF(MinBase2Day&gt;ROUND(((1-(TwoDayDiscount_21_Up+FedExExrpessEarnedDiscount))*'2Day Base'!I91),2),ROUND(MinBase2Day*(1+ExpressFuelSurcharge),2),ROUND(((1-(TwoDayDiscount_21_Up+FedExExrpessEarnedDiscount))*'2Day Base'!I91)*(1+ExpressFuelSurcharge),2)))*(1+FedEx_Markup),2)</f>
        <v>333.32</v>
      </c>
      <c r="J94" s="275">
        <f>ROUND((IF(MinBase2Day&gt;ROUND(((1-(TwoDayDiscount_21_Up+FedExExrpessEarnedDiscount))*'2Day Base'!J91),2),ROUND(MinBase2Day*(1+ExpressFuelSurcharge),2),ROUND(((1-(TwoDayDiscount_21_Up+FedExExrpessEarnedDiscount))*'2Day Base'!J91)*(1+ExpressFuelSurcharge),2)))*(1+FedEx_Markup),2)</f>
        <v>333.32</v>
      </c>
      <c r="K94" s="275">
        <f>ROUND((IF(MinBase2Day&gt;ROUND(((1-(TwoDayDiscount_21_Up+FedExExrpessEarnedDiscount))*'2Day Base'!K91),2),ROUND(MinBase2Day*(1+ExpressFuelSurcharge),2),ROUND(((1-(TwoDayDiscount_21_Up+FedExExrpessEarnedDiscount))*'2Day Base'!K91)*(1+ExpressFuelSurcharge),2)))*(1+FedEx_Markup),2)</f>
        <v>339.99</v>
      </c>
      <c r="L94" s="275">
        <f>ROUND((IF(MinBase2Day&gt;ROUND(((1-(TwoDayDiscount_21_Up+FedExExrpessEarnedDiscount))*'2Day Base'!L91),2),ROUND(MinBase2Day*(1+ExpressFuelSurcharge),2),ROUND(((1-(TwoDayDiscount_21_Up+FedExExrpessEarnedDiscount))*'2Day Base'!L91)*(1+ExpressFuelSurcharge),2)))*(1+FedEx_Markup),2)</f>
        <v>339.99</v>
      </c>
    </row>
    <row r="95" ht="12.75" customHeight="1">
      <c r="A95" s="274">
        <v>90.0</v>
      </c>
      <c r="B95" s="275">
        <f>ROUND((IF(MinBase2Day&gt;ROUND(((1-(TwoDayDiscount_21_Up+FedExExrpessEarnedDiscount))*'2Day Base'!B92),2),ROUND(MinBase2Day*(1+ExpressFuelSurcharge),2),ROUND(((1-(TwoDayDiscount_21_Up+FedExExrpessEarnedDiscount))*'2Day Base'!B92)*(1+ExpressFuelSurcharge),2)))*(1+FedEx_Markup),2)</f>
        <v>85.51</v>
      </c>
      <c r="C95" s="275">
        <f>ROUND((IF(MinBase2Day&gt;ROUND(((1-(TwoDayDiscount_21_Up+FedExExrpessEarnedDiscount))*'2Day Base'!C92),2),ROUND(MinBase2Day*(1+ExpressFuelSurcharge),2),ROUND(((1-(TwoDayDiscount_21_Up+FedExExrpessEarnedDiscount))*'2Day Base'!C92)*(1+ExpressFuelSurcharge),2)))*(1+FedEx_Markup),2)</f>
        <v>100.46</v>
      </c>
      <c r="D95" s="275">
        <f>ROUND((IF(MinBase2Day&gt;ROUND(((1-(TwoDayDiscount_21_Up+FedExExrpessEarnedDiscount))*'2Day Base'!D92),2),ROUND(MinBase2Day*(1+ExpressFuelSurcharge),2),ROUND(((1-(TwoDayDiscount_21_Up+FedExExrpessEarnedDiscount))*'2Day Base'!D92)*(1+ExpressFuelSurcharge),2)))*(1+FedEx_Markup),2)</f>
        <v>119.46</v>
      </c>
      <c r="E95" s="275">
        <f>ROUND((IF(MinBase2Day&gt;ROUND(((1-(TwoDayDiscount_21_Up+FedExExrpessEarnedDiscount))*'2Day Base'!E92),2),ROUND(MinBase2Day*(1+ExpressFuelSurcharge),2),ROUND(((1-(TwoDayDiscount_21_Up+FedExExrpessEarnedDiscount))*'2Day Base'!E92)*(1+ExpressFuelSurcharge),2)))*(1+FedEx_Markup),2)</f>
        <v>187.97</v>
      </c>
      <c r="F95" s="275">
        <f>ROUND((IF(MinBase2Day&gt;ROUND(((1-(TwoDayDiscount_21_Up+FedExExrpessEarnedDiscount))*'2Day Base'!F92),2),ROUND(MinBase2Day*(1+ExpressFuelSurcharge),2),ROUND(((1-(TwoDayDiscount_21_Up+FedExExrpessEarnedDiscount))*'2Day Base'!F92)*(1+ExpressFuelSurcharge),2)))*(1+FedEx_Markup),2)</f>
        <v>314.33</v>
      </c>
      <c r="G95" s="275">
        <f>ROUND((IF(MinBase2Day&gt;ROUND(((1-(TwoDayDiscount_21_Up+FedExExrpessEarnedDiscount))*'2Day Base'!G92),2),ROUND(MinBase2Day*(1+ExpressFuelSurcharge),2),ROUND(((1-(TwoDayDiscount_21_Up+FedExExrpessEarnedDiscount))*'2Day Base'!G92)*(1+ExpressFuelSurcharge),2)))*(1+FedEx_Markup),2)</f>
        <v>320.9</v>
      </c>
      <c r="H95" s="275">
        <f>ROUND((IF(MinBase2Day&gt;ROUND(((1-(TwoDayDiscount_21_Up+FedExExrpessEarnedDiscount))*'2Day Base'!H92),2),ROUND(MinBase2Day*(1+ExpressFuelSurcharge),2),ROUND(((1-(TwoDayDiscount_21_Up+FedExExrpessEarnedDiscount))*'2Day Base'!H92)*(1+ExpressFuelSurcharge),2)))*(1+FedEx_Markup),2)</f>
        <v>327.31</v>
      </c>
      <c r="I95" s="275">
        <f>ROUND((IF(MinBase2Day&gt;ROUND(((1-(TwoDayDiscount_21_Up+FedExExrpessEarnedDiscount))*'2Day Base'!I92),2),ROUND(MinBase2Day*(1+ExpressFuelSurcharge),2),ROUND(((1-(TwoDayDiscount_21_Up+FedExExrpessEarnedDiscount))*'2Day Base'!I92)*(1+ExpressFuelSurcharge),2)))*(1+FedEx_Markup),2)</f>
        <v>333.87</v>
      </c>
      <c r="J95" s="275">
        <f>ROUND((IF(MinBase2Day&gt;ROUND(((1-(TwoDayDiscount_21_Up+FedExExrpessEarnedDiscount))*'2Day Base'!J92),2),ROUND(MinBase2Day*(1+ExpressFuelSurcharge),2),ROUND(((1-(TwoDayDiscount_21_Up+FedExExrpessEarnedDiscount))*'2Day Base'!J92)*(1+ExpressFuelSurcharge),2)))*(1+FedEx_Markup),2)</f>
        <v>333.87</v>
      </c>
      <c r="K95" s="275">
        <f>ROUND((IF(MinBase2Day&gt;ROUND(((1-(TwoDayDiscount_21_Up+FedExExrpessEarnedDiscount))*'2Day Base'!K92),2),ROUND(MinBase2Day*(1+ExpressFuelSurcharge),2),ROUND(((1-(TwoDayDiscount_21_Up+FedExExrpessEarnedDiscount))*'2Day Base'!K92)*(1+ExpressFuelSurcharge),2)))*(1+FedEx_Markup),2)</f>
        <v>340.55</v>
      </c>
      <c r="L95" s="275">
        <f>ROUND((IF(MinBase2Day&gt;ROUND(((1-(TwoDayDiscount_21_Up+FedExExrpessEarnedDiscount))*'2Day Base'!L92),2),ROUND(MinBase2Day*(1+ExpressFuelSurcharge),2),ROUND(((1-(TwoDayDiscount_21_Up+FedExExrpessEarnedDiscount))*'2Day Base'!L92)*(1+ExpressFuelSurcharge),2)))*(1+FedEx_Markup),2)</f>
        <v>340.55</v>
      </c>
    </row>
    <row r="96" ht="12.75" customHeight="1">
      <c r="A96" s="274">
        <v>91.0</v>
      </c>
      <c r="B96" s="275">
        <f>ROUND((IF(MinBase2Day&gt;ROUND(((1-(TwoDayDiscount_21_Up+FedExExrpessEarnedDiscount))*'2Day Base'!B93),2),ROUND(MinBase2Day*(1+ExpressFuelSurcharge),2),ROUND(((1-(TwoDayDiscount_21_Up+FedExExrpessEarnedDiscount))*'2Day Base'!B93)*(1+ExpressFuelSurcharge),2)))*(1+FedEx_Markup),2)</f>
        <v>86.03</v>
      </c>
      <c r="C96" s="275">
        <f>ROUND((IF(MinBase2Day&gt;ROUND(((1-(TwoDayDiscount_21_Up+FedExExrpessEarnedDiscount))*'2Day Base'!C93),2),ROUND(MinBase2Day*(1+ExpressFuelSurcharge),2),ROUND(((1-(TwoDayDiscount_21_Up+FedExExrpessEarnedDiscount))*'2Day Base'!C93)*(1+ExpressFuelSurcharge),2)))*(1+FedEx_Markup),2)</f>
        <v>100.99</v>
      </c>
      <c r="D96" s="275">
        <f>ROUND((IF(MinBase2Day&gt;ROUND(((1-(TwoDayDiscount_21_Up+FedExExrpessEarnedDiscount))*'2Day Base'!D93),2),ROUND(MinBase2Day*(1+ExpressFuelSurcharge),2),ROUND(((1-(TwoDayDiscount_21_Up+FedExExrpessEarnedDiscount))*'2Day Base'!D93)*(1+ExpressFuelSurcharge),2)))*(1+FedEx_Markup),2)</f>
        <v>119.98</v>
      </c>
      <c r="E96" s="275">
        <f>ROUND((IF(MinBase2Day&gt;ROUND(((1-(TwoDayDiscount_21_Up+FedExExrpessEarnedDiscount))*'2Day Base'!E93),2),ROUND(MinBase2Day*(1+ExpressFuelSurcharge),2),ROUND(((1-(TwoDayDiscount_21_Up+FedExExrpessEarnedDiscount))*'2Day Base'!E93)*(1+ExpressFuelSurcharge),2)))*(1+FedEx_Markup),2)</f>
        <v>188.53</v>
      </c>
      <c r="F96" s="275">
        <f>ROUND((IF(MinBase2Day&gt;ROUND(((1-(TwoDayDiscount_21_Up+FedExExrpessEarnedDiscount))*'2Day Base'!F93),2),ROUND(MinBase2Day*(1+ExpressFuelSurcharge),2),ROUND(((1-(TwoDayDiscount_21_Up+FedExExrpessEarnedDiscount))*'2Day Base'!F93)*(1+ExpressFuelSurcharge),2)))*(1+FedEx_Markup),2)</f>
        <v>314.88</v>
      </c>
      <c r="G96" s="275">
        <f>ROUND((IF(MinBase2Day&gt;ROUND(((1-(TwoDayDiscount_21_Up+FedExExrpessEarnedDiscount))*'2Day Base'!G93),2),ROUND(MinBase2Day*(1+ExpressFuelSurcharge),2),ROUND(((1-(TwoDayDiscount_21_Up+FedExExrpessEarnedDiscount))*'2Day Base'!G93)*(1+ExpressFuelSurcharge),2)))*(1+FedEx_Markup),2)</f>
        <v>321.44</v>
      </c>
      <c r="H96" s="275">
        <f>ROUND((IF(MinBase2Day&gt;ROUND(((1-(TwoDayDiscount_21_Up+FedExExrpessEarnedDiscount))*'2Day Base'!H93),2),ROUND(MinBase2Day*(1+ExpressFuelSurcharge),2),ROUND(((1-(TwoDayDiscount_21_Up+FedExExrpessEarnedDiscount))*'2Day Base'!H93)*(1+ExpressFuelSurcharge),2)))*(1+FedEx_Markup),2)</f>
        <v>327.87</v>
      </c>
      <c r="I96" s="275">
        <f>ROUND((IF(MinBase2Day&gt;ROUND(((1-(TwoDayDiscount_21_Up+FedExExrpessEarnedDiscount))*'2Day Base'!I93),2),ROUND(MinBase2Day*(1+ExpressFuelSurcharge),2),ROUND(((1-(TwoDayDiscount_21_Up+FedExExrpessEarnedDiscount))*'2Day Base'!I93)*(1+ExpressFuelSurcharge),2)))*(1+FedEx_Markup),2)</f>
        <v>334.42</v>
      </c>
      <c r="J96" s="275">
        <f>ROUND((IF(MinBase2Day&gt;ROUND(((1-(TwoDayDiscount_21_Up+FedExExrpessEarnedDiscount))*'2Day Base'!J93),2),ROUND(MinBase2Day*(1+ExpressFuelSurcharge),2),ROUND(((1-(TwoDayDiscount_21_Up+FedExExrpessEarnedDiscount))*'2Day Base'!J93)*(1+ExpressFuelSurcharge),2)))*(1+FedEx_Markup),2)</f>
        <v>334.42</v>
      </c>
      <c r="K96" s="275">
        <f>ROUND((IF(MinBase2Day&gt;ROUND(((1-(TwoDayDiscount_21_Up+FedExExrpessEarnedDiscount))*'2Day Base'!K93),2),ROUND(MinBase2Day*(1+ExpressFuelSurcharge),2),ROUND(((1-(TwoDayDiscount_21_Up+FedExExrpessEarnedDiscount))*'2Day Base'!K93)*(1+ExpressFuelSurcharge),2)))*(1+FedEx_Markup),2)</f>
        <v>341.11</v>
      </c>
      <c r="L96" s="275">
        <f>ROUND((IF(MinBase2Day&gt;ROUND(((1-(TwoDayDiscount_21_Up+FedExExrpessEarnedDiscount))*'2Day Base'!L93),2),ROUND(MinBase2Day*(1+ExpressFuelSurcharge),2),ROUND(((1-(TwoDayDiscount_21_Up+FedExExrpessEarnedDiscount))*'2Day Base'!L93)*(1+ExpressFuelSurcharge),2)))*(1+FedEx_Markup),2)</f>
        <v>341.11</v>
      </c>
    </row>
    <row r="97" ht="12.75" customHeight="1">
      <c r="A97" s="274">
        <v>92.0</v>
      </c>
      <c r="B97" s="275">
        <f>ROUND((IF(MinBase2Day&gt;ROUND(((1-(TwoDayDiscount_21_Up+FedExExrpessEarnedDiscount))*'2Day Base'!B94),2),ROUND(MinBase2Day*(1+ExpressFuelSurcharge),2),ROUND(((1-(TwoDayDiscount_21_Up+FedExExrpessEarnedDiscount))*'2Day Base'!B94)*(1+ExpressFuelSurcharge),2)))*(1+FedEx_Markup),2)</f>
        <v>86.56</v>
      </c>
      <c r="C97" s="275">
        <f>ROUND((IF(MinBase2Day&gt;ROUND(((1-(TwoDayDiscount_21_Up+FedExExrpessEarnedDiscount))*'2Day Base'!C94),2),ROUND(MinBase2Day*(1+ExpressFuelSurcharge),2),ROUND(((1-(TwoDayDiscount_21_Up+FedExExrpessEarnedDiscount))*'2Day Base'!C94)*(1+ExpressFuelSurcharge),2)))*(1+FedEx_Markup),2)</f>
        <v>101.51</v>
      </c>
      <c r="D97" s="275">
        <f>ROUND((IF(MinBase2Day&gt;ROUND(((1-(TwoDayDiscount_21_Up+FedExExrpessEarnedDiscount))*'2Day Base'!D94),2),ROUND(MinBase2Day*(1+ExpressFuelSurcharge),2),ROUND(((1-(TwoDayDiscount_21_Up+FedExExrpessEarnedDiscount))*'2Day Base'!D94)*(1+ExpressFuelSurcharge),2)))*(1+FedEx_Markup),2)</f>
        <v>120.51</v>
      </c>
      <c r="E97" s="275">
        <f>ROUND((IF(MinBase2Day&gt;ROUND(((1-(TwoDayDiscount_21_Up+FedExExrpessEarnedDiscount))*'2Day Base'!E94),2),ROUND(MinBase2Day*(1+ExpressFuelSurcharge),2),ROUND(((1-(TwoDayDiscount_21_Up+FedExExrpessEarnedDiscount))*'2Day Base'!E94)*(1+ExpressFuelSurcharge),2)))*(1+FedEx_Markup),2)</f>
        <v>189.09</v>
      </c>
      <c r="F97" s="275">
        <f>ROUND((IF(MinBase2Day&gt;ROUND(((1-(TwoDayDiscount_21_Up+FedExExrpessEarnedDiscount))*'2Day Base'!F94),2),ROUND(MinBase2Day*(1+ExpressFuelSurcharge),2),ROUND(((1-(TwoDayDiscount_21_Up+FedExExrpessEarnedDiscount))*'2Day Base'!F94)*(1+ExpressFuelSurcharge),2)))*(1+FedEx_Markup),2)</f>
        <v>315.45</v>
      </c>
      <c r="G97" s="275">
        <f>ROUND((IF(MinBase2Day&gt;ROUND(((1-(TwoDayDiscount_21_Up+FedExExrpessEarnedDiscount))*'2Day Base'!G94),2),ROUND(MinBase2Day*(1+ExpressFuelSurcharge),2),ROUND(((1-(TwoDayDiscount_21_Up+FedExExrpessEarnedDiscount))*'2Day Base'!G94)*(1+ExpressFuelSurcharge),2)))*(1+FedEx_Markup),2)</f>
        <v>321.95</v>
      </c>
      <c r="H97" s="275">
        <f>ROUND((IF(MinBase2Day&gt;ROUND(((1-(TwoDayDiscount_21_Up+FedExExrpessEarnedDiscount))*'2Day Base'!H94),2),ROUND(MinBase2Day*(1+ExpressFuelSurcharge),2),ROUND(((1-(TwoDayDiscount_21_Up+FedExExrpessEarnedDiscount))*'2Day Base'!H94)*(1+ExpressFuelSurcharge),2)))*(1+FedEx_Markup),2)</f>
        <v>328.41</v>
      </c>
      <c r="I97" s="275">
        <f>ROUND((IF(MinBase2Day&gt;ROUND(((1-(TwoDayDiscount_21_Up+FedExExrpessEarnedDiscount))*'2Day Base'!I94),2),ROUND(MinBase2Day*(1+ExpressFuelSurcharge),2),ROUND(((1-(TwoDayDiscount_21_Up+FedExExrpessEarnedDiscount))*'2Day Base'!I94)*(1+ExpressFuelSurcharge),2)))*(1+FedEx_Markup),2)</f>
        <v>334.97</v>
      </c>
      <c r="J97" s="275">
        <f>ROUND((IF(MinBase2Day&gt;ROUND(((1-(TwoDayDiscount_21_Up+FedExExrpessEarnedDiscount))*'2Day Base'!J94),2),ROUND(MinBase2Day*(1+ExpressFuelSurcharge),2),ROUND(((1-(TwoDayDiscount_21_Up+FedExExrpessEarnedDiscount))*'2Day Base'!J94)*(1+ExpressFuelSurcharge),2)))*(1+FedEx_Markup),2)</f>
        <v>334.97</v>
      </c>
      <c r="K97" s="275">
        <f>ROUND((IF(MinBase2Day&gt;ROUND(((1-(TwoDayDiscount_21_Up+FedExExrpessEarnedDiscount))*'2Day Base'!K94),2),ROUND(MinBase2Day*(1+ExpressFuelSurcharge),2),ROUND(((1-(TwoDayDiscount_21_Up+FedExExrpessEarnedDiscount))*'2Day Base'!K94)*(1+ExpressFuelSurcharge),2)))*(1+FedEx_Markup),2)</f>
        <v>341.68</v>
      </c>
      <c r="L97" s="275">
        <f>ROUND((IF(MinBase2Day&gt;ROUND(((1-(TwoDayDiscount_21_Up+FedExExrpessEarnedDiscount))*'2Day Base'!L94),2),ROUND(MinBase2Day*(1+ExpressFuelSurcharge),2),ROUND(((1-(TwoDayDiscount_21_Up+FedExExrpessEarnedDiscount))*'2Day Base'!L94)*(1+ExpressFuelSurcharge),2)))*(1+FedEx_Markup),2)</f>
        <v>341.68</v>
      </c>
    </row>
    <row r="98" ht="12.75" customHeight="1">
      <c r="A98" s="274">
        <v>93.0</v>
      </c>
      <c r="B98" s="275">
        <f>ROUND((IF(MinBase2Day&gt;ROUND(((1-(TwoDayDiscount_21_Up+FedExExrpessEarnedDiscount))*'2Day Base'!B95),2),ROUND(MinBase2Day*(1+ExpressFuelSurcharge),2),ROUND(((1-(TwoDayDiscount_21_Up+FedExExrpessEarnedDiscount))*'2Day Base'!B95)*(1+ExpressFuelSurcharge),2)))*(1+FedEx_Markup),2)</f>
        <v>87.09</v>
      </c>
      <c r="C98" s="275">
        <f>ROUND((IF(MinBase2Day&gt;ROUND(((1-(TwoDayDiscount_21_Up+FedExExrpessEarnedDiscount))*'2Day Base'!C95),2),ROUND(MinBase2Day*(1+ExpressFuelSurcharge),2),ROUND(((1-(TwoDayDiscount_21_Up+FedExExrpessEarnedDiscount))*'2Day Base'!C95)*(1+ExpressFuelSurcharge),2)))*(1+FedEx_Markup),2)</f>
        <v>102.04</v>
      </c>
      <c r="D98" s="275">
        <f>ROUND((IF(MinBase2Day&gt;ROUND(((1-(TwoDayDiscount_21_Up+FedExExrpessEarnedDiscount))*'2Day Base'!D95),2),ROUND(MinBase2Day*(1+ExpressFuelSurcharge),2),ROUND(((1-(TwoDayDiscount_21_Up+FedExExrpessEarnedDiscount))*'2Day Base'!D95)*(1+ExpressFuelSurcharge),2)))*(1+FedEx_Markup),2)</f>
        <v>121.03</v>
      </c>
      <c r="E98" s="275">
        <f>ROUND((IF(MinBase2Day&gt;ROUND(((1-(TwoDayDiscount_21_Up+FedExExrpessEarnedDiscount))*'2Day Base'!E95),2),ROUND(MinBase2Day*(1+ExpressFuelSurcharge),2),ROUND(((1-(TwoDayDiscount_21_Up+FedExExrpessEarnedDiscount))*'2Day Base'!E95)*(1+ExpressFuelSurcharge),2)))*(1+FedEx_Markup),2)</f>
        <v>189.66</v>
      </c>
      <c r="F98" s="275">
        <f>ROUND((IF(MinBase2Day&gt;ROUND(((1-(TwoDayDiscount_21_Up+FedExExrpessEarnedDiscount))*'2Day Base'!F95),2),ROUND(MinBase2Day*(1+ExpressFuelSurcharge),2),ROUND(((1-(TwoDayDiscount_21_Up+FedExExrpessEarnedDiscount))*'2Day Base'!F95)*(1+ExpressFuelSurcharge),2)))*(1+FedEx_Markup),2)</f>
        <v>316.01</v>
      </c>
      <c r="G98" s="275">
        <f>ROUND((IF(MinBase2Day&gt;ROUND(((1-(TwoDayDiscount_21_Up+FedExExrpessEarnedDiscount))*'2Day Base'!G95),2),ROUND(MinBase2Day*(1+ExpressFuelSurcharge),2),ROUND(((1-(TwoDayDiscount_21_Up+FedExExrpessEarnedDiscount))*'2Day Base'!G95)*(1+ExpressFuelSurcharge),2)))*(1+FedEx_Markup),2)</f>
        <v>322.48</v>
      </c>
      <c r="H98" s="275">
        <f>ROUND((IF(MinBase2Day&gt;ROUND(((1-(TwoDayDiscount_21_Up+FedExExrpessEarnedDiscount))*'2Day Base'!H95),2),ROUND(MinBase2Day*(1+ExpressFuelSurcharge),2),ROUND(((1-(TwoDayDiscount_21_Up+FedExExrpessEarnedDiscount))*'2Day Base'!H95)*(1+ExpressFuelSurcharge),2)))*(1+FedEx_Markup),2)</f>
        <v>328.93</v>
      </c>
      <c r="I98" s="275">
        <f>ROUND((IF(MinBase2Day&gt;ROUND(((1-(TwoDayDiscount_21_Up+FedExExrpessEarnedDiscount))*'2Day Base'!I95),2),ROUND(MinBase2Day*(1+ExpressFuelSurcharge),2),ROUND(((1-(TwoDayDiscount_21_Up+FedExExrpessEarnedDiscount))*'2Day Base'!I95)*(1+ExpressFuelSurcharge),2)))*(1+FedEx_Markup),2)</f>
        <v>335.52</v>
      </c>
      <c r="J98" s="275">
        <f>ROUND((IF(MinBase2Day&gt;ROUND(((1-(TwoDayDiscount_21_Up+FedExExrpessEarnedDiscount))*'2Day Base'!J95),2),ROUND(MinBase2Day*(1+ExpressFuelSurcharge),2),ROUND(((1-(TwoDayDiscount_21_Up+FedExExrpessEarnedDiscount))*'2Day Base'!J95)*(1+ExpressFuelSurcharge),2)))*(1+FedEx_Markup),2)</f>
        <v>335.52</v>
      </c>
      <c r="K98" s="275">
        <f>ROUND((IF(MinBase2Day&gt;ROUND(((1-(TwoDayDiscount_21_Up+FedExExrpessEarnedDiscount))*'2Day Base'!K95),2),ROUND(MinBase2Day*(1+ExpressFuelSurcharge),2),ROUND(((1-(TwoDayDiscount_21_Up+FedExExrpessEarnedDiscount))*'2Day Base'!K95)*(1+ExpressFuelSurcharge),2)))*(1+FedEx_Markup),2)</f>
        <v>342.24</v>
      </c>
      <c r="L98" s="275">
        <f>ROUND((IF(MinBase2Day&gt;ROUND(((1-(TwoDayDiscount_21_Up+FedExExrpessEarnedDiscount))*'2Day Base'!L95),2),ROUND(MinBase2Day*(1+ExpressFuelSurcharge),2),ROUND(((1-(TwoDayDiscount_21_Up+FedExExrpessEarnedDiscount))*'2Day Base'!L95)*(1+ExpressFuelSurcharge),2)))*(1+FedEx_Markup),2)</f>
        <v>342.24</v>
      </c>
    </row>
    <row r="99" ht="12.75" customHeight="1">
      <c r="A99" s="274">
        <v>94.0</v>
      </c>
      <c r="B99" s="275">
        <f>ROUND((IF(MinBase2Day&gt;ROUND(((1-(TwoDayDiscount_21_Up+FedExExrpessEarnedDiscount))*'2Day Base'!B96),2),ROUND(MinBase2Day*(1+ExpressFuelSurcharge),2),ROUND(((1-(TwoDayDiscount_21_Up+FedExExrpessEarnedDiscount))*'2Day Base'!B96)*(1+ExpressFuelSurcharge),2)))*(1+FedEx_Markup),2)</f>
        <v>87.62</v>
      </c>
      <c r="C99" s="275">
        <f>ROUND((IF(MinBase2Day&gt;ROUND(((1-(TwoDayDiscount_21_Up+FedExExrpessEarnedDiscount))*'2Day Base'!C96),2),ROUND(MinBase2Day*(1+ExpressFuelSurcharge),2),ROUND(((1-(TwoDayDiscount_21_Up+FedExExrpessEarnedDiscount))*'2Day Base'!C96)*(1+ExpressFuelSurcharge),2)))*(1+FedEx_Markup),2)</f>
        <v>102.58</v>
      </c>
      <c r="D99" s="275">
        <f>ROUND((IF(MinBase2Day&gt;ROUND(((1-(TwoDayDiscount_21_Up+FedExExrpessEarnedDiscount))*'2Day Base'!D96),2),ROUND(MinBase2Day*(1+ExpressFuelSurcharge),2),ROUND(((1-(TwoDayDiscount_21_Up+FedExExrpessEarnedDiscount))*'2Day Base'!D96)*(1+ExpressFuelSurcharge),2)))*(1+FedEx_Markup),2)</f>
        <v>121.57</v>
      </c>
      <c r="E99" s="275">
        <f>ROUND((IF(MinBase2Day&gt;ROUND(((1-(TwoDayDiscount_21_Up+FedExExrpessEarnedDiscount))*'2Day Base'!E96),2),ROUND(MinBase2Day*(1+ExpressFuelSurcharge),2),ROUND(((1-(TwoDayDiscount_21_Up+FedExExrpessEarnedDiscount))*'2Day Base'!E96)*(1+ExpressFuelSurcharge),2)))*(1+FedEx_Markup),2)</f>
        <v>190.22</v>
      </c>
      <c r="F99" s="275">
        <f>ROUND((IF(MinBase2Day&gt;ROUND(((1-(TwoDayDiscount_21_Up+FedExExrpessEarnedDiscount))*'2Day Base'!F96),2),ROUND(MinBase2Day*(1+ExpressFuelSurcharge),2),ROUND(((1-(TwoDayDiscount_21_Up+FedExExrpessEarnedDiscount))*'2Day Base'!F96)*(1+ExpressFuelSurcharge),2)))*(1+FedEx_Markup),2)</f>
        <v>316.57</v>
      </c>
      <c r="G99" s="275">
        <f>ROUND((IF(MinBase2Day&gt;ROUND(((1-(TwoDayDiscount_21_Up+FedExExrpessEarnedDiscount))*'2Day Base'!G96),2),ROUND(MinBase2Day*(1+ExpressFuelSurcharge),2),ROUND(((1-(TwoDayDiscount_21_Up+FedExExrpessEarnedDiscount))*'2Day Base'!G96)*(1+ExpressFuelSurcharge),2)))*(1+FedEx_Markup),2)</f>
        <v>323.02</v>
      </c>
      <c r="H99" s="275">
        <f>ROUND((IF(MinBase2Day&gt;ROUND(((1-(TwoDayDiscount_21_Up+FedExExrpessEarnedDiscount))*'2Day Base'!H96),2),ROUND(MinBase2Day*(1+ExpressFuelSurcharge),2),ROUND(((1-(TwoDayDiscount_21_Up+FedExExrpessEarnedDiscount))*'2Day Base'!H96)*(1+ExpressFuelSurcharge),2)))*(1+FedEx_Markup),2)</f>
        <v>329.49</v>
      </c>
      <c r="I99" s="275">
        <f>ROUND((IF(MinBase2Day&gt;ROUND(((1-(TwoDayDiscount_21_Up+FedExExrpessEarnedDiscount))*'2Day Base'!I96),2),ROUND(MinBase2Day*(1+ExpressFuelSurcharge),2),ROUND(((1-(TwoDayDiscount_21_Up+FedExExrpessEarnedDiscount))*'2Day Base'!I96)*(1+ExpressFuelSurcharge),2)))*(1+FedEx_Markup),2)</f>
        <v>336.08</v>
      </c>
      <c r="J99" s="275">
        <f>ROUND((IF(MinBase2Day&gt;ROUND(((1-(TwoDayDiscount_21_Up+FedExExrpessEarnedDiscount))*'2Day Base'!J96),2),ROUND(MinBase2Day*(1+ExpressFuelSurcharge),2),ROUND(((1-(TwoDayDiscount_21_Up+FedExExrpessEarnedDiscount))*'2Day Base'!J96)*(1+ExpressFuelSurcharge),2)))*(1+FedEx_Markup),2)</f>
        <v>336.08</v>
      </c>
      <c r="K99" s="275">
        <f>ROUND((IF(MinBase2Day&gt;ROUND(((1-(TwoDayDiscount_21_Up+FedExExrpessEarnedDiscount))*'2Day Base'!K96),2),ROUND(MinBase2Day*(1+ExpressFuelSurcharge),2),ROUND(((1-(TwoDayDiscount_21_Up+FedExExrpessEarnedDiscount))*'2Day Base'!K96)*(1+ExpressFuelSurcharge),2)))*(1+FedEx_Markup),2)</f>
        <v>342.8</v>
      </c>
      <c r="L99" s="275">
        <f>ROUND((IF(MinBase2Day&gt;ROUND(((1-(TwoDayDiscount_21_Up+FedExExrpessEarnedDiscount))*'2Day Base'!L96),2),ROUND(MinBase2Day*(1+ExpressFuelSurcharge),2),ROUND(((1-(TwoDayDiscount_21_Up+FedExExrpessEarnedDiscount))*'2Day Base'!L96)*(1+ExpressFuelSurcharge),2)))*(1+FedEx_Markup),2)</f>
        <v>342.8</v>
      </c>
    </row>
    <row r="100" ht="12.75" customHeight="1">
      <c r="A100" s="274">
        <v>95.0</v>
      </c>
      <c r="B100" s="275">
        <f>ROUND((IF(MinBase2Day&gt;ROUND(((1-(TwoDayDiscount_21_Up+FedExExrpessEarnedDiscount))*'2Day Base'!B97),2),ROUND(MinBase2Day*(1+ExpressFuelSurcharge),2),ROUND(((1-(TwoDayDiscount_21_Up+FedExExrpessEarnedDiscount))*'2Day Base'!B97)*(1+ExpressFuelSurcharge),2)))*(1+FedEx_Markup),2)</f>
        <v>88.14</v>
      </c>
      <c r="C100" s="275">
        <f>ROUND((IF(MinBase2Day&gt;ROUND(((1-(TwoDayDiscount_21_Up+FedExExrpessEarnedDiscount))*'2Day Base'!C97),2),ROUND(MinBase2Day*(1+ExpressFuelSurcharge),2),ROUND(((1-(TwoDayDiscount_21_Up+FedExExrpessEarnedDiscount))*'2Day Base'!C97)*(1+ExpressFuelSurcharge),2)))*(1+FedEx_Markup),2)</f>
        <v>103.1</v>
      </c>
      <c r="D100" s="275">
        <f>ROUND((IF(MinBase2Day&gt;ROUND(((1-(TwoDayDiscount_21_Up+FedExExrpessEarnedDiscount))*'2Day Base'!D97),2),ROUND(MinBase2Day*(1+ExpressFuelSurcharge),2),ROUND(((1-(TwoDayDiscount_21_Up+FedExExrpessEarnedDiscount))*'2Day Base'!D97)*(1+ExpressFuelSurcharge),2)))*(1+FedEx_Markup),2)</f>
        <v>122.1</v>
      </c>
      <c r="E100" s="275">
        <f>ROUND((IF(MinBase2Day&gt;ROUND(((1-(TwoDayDiscount_21_Up+FedExExrpessEarnedDiscount))*'2Day Base'!E97),2),ROUND(MinBase2Day*(1+ExpressFuelSurcharge),2),ROUND(((1-(TwoDayDiscount_21_Up+FedExExrpessEarnedDiscount))*'2Day Base'!E97)*(1+ExpressFuelSurcharge),2)))*(1+FedEx_Markup),2)</f>
        <v>190.81</v>
      </c>
      <c r="F100" s="275">
        <f>ROUND((IF(MinBase2Day&gt;ROUND(((1-(TwoDayDiscount_21_Up+FedExExrpessEarnedDiscount))*'2Day Base'!F97),2),ROUND(MinBase2Day*(1+ExpressFuelSurcharge),2),ROUND(((1-(TwoDayDiscount_21_Up+FedExExrpessEarnedDiscount))*'2Day Base'!F97)*(1+ExpressFuelSurcharge),2)))*(1+FedEx_Markup),2)</f>
        <v>317.53</v>
      </c>
      <c r="G100" s="275">
        <f>ROUND((IF(MinBase2Day&gt;ROUND(((1-(TwoDayDiscount_21_Up+FedExExrpessEarnedDiscount))*'2Day Base'!G97),2),ROUND(MinBase2Day*(1+ExpressFuelSurcharge),2),ROUND(((1-(TwoDayDiscount_21_Up+FedExExrpessEarnedDiscount))*'2Day Base'!G97)*(1+ExpressFuelSurcharge),2)))*(1+FedEx_Markup),2)</f>
        <v>325.89</v>
      </c>
      <c r="H100" s="275">
        <f>ROUND((IF(MinBase2Day&gt;ROUND(((1-(TwoDayDiscount_21_Up+FedExExrpessEarnedDiscount))*'2Day Base'!H97),2),ROUND(MinBase2Day*(1+ExpressFuelSurcharge),2),ROUND(((1-(TwoDayDiscount_21_Up+FedExExrpessEarnedDiscount))*'2Day Base'!H97)*(1+ExpressFuelSurcharge),2)))*(1+FedEx_Markup),2)</f>
        <v>332.42</v>
      </c>
      <c r="I100" s="275">
        <f>ROUND((IF(MinBase2Day&gt;ROUND(((1-(TwoDayDiscount_21_Up+FedExExrpessEarnedDiscount))*'2Day Base'!I97),2),ROUND(MinBase2Day*(1+ExpressFuelSurcharge),2),ROUND(((1-(TwoDayDiscount_21_Up+FedExExrpessEarnedDiscount))*'2Day Base'!I97)*(1+ExpressFuelSurcharge),2)))*(1+FedEx_Markup),2)</f>
        <v>339.07</v>
      </c>
      <c r="J100" s="275">
        <f>ROUND((IF(MinBase2Day&gt;ROUND(((1-(TwoDayDiscount_21_Up+FedExExrpessEarnedDiscount))*'2Day Base'!J97),2),ROUND(MinBase2Day*(1+ExpressFuelSurcharge),2),ROUND(((1-(TwoDayDiscount_21_Up+FedExExrpessEarnedDiscount))*'2Day Base'!J97)*(1+ExpressFuelSurcharge),2)))*(1+FedEx_Markup),2)</f>
        <v>339.07</v>
      </c>
      <c r="K100" s="275">
        <f>ROUND((IF(MinBase2Day&gt;ROUND(((1-(TwoDayDiscount_21_Up+FedExExrpessEarnedDiscount))*'2Day Base'!K97),2),ROUND(MinBase2Day*(1+ExpressFuelSurcharge),2),ROUND(((1-(TwoDayDiscount_21_Up+FedExExrpessEarnedDiscount))*'2Day Base'!K97)*(1+ExpressFuelSurcharge),2)))*(1+FedEx_Markup),2)</f>
        <v>345.85</v>
      </c>
      <c r="L100" s="275">
        <f>ROUND((IF(MinBase2Day&gt;ROUND(((1-(TwoDayDiscount_21_Up+FedExExrpessEarnedDiscount))*'2Day Base'!L97),2),ROUND(MinBase2Day*(1+ExpressFuelSurcharge),2),ROUND(((1-(TwoDayDiscount_21_Up+FedExExrpessEarnedDiscount))*'2Day Base'!L97)*(1+ExpressFuelSurcharge),2)))*(1+FedEx_Markup),2)</f>
        <v>345.85</v>
      </c>
    </row>
    <row r="101" ht="12.75" customHeight="1">
      <c r="A101" s="274">
        <v>96.0</v>
      </c>
      <c r="B101" s="275">
        <f>ROUND((IF(MinBase2Day&gt;ROUND(((1-(TwoDayDiscount_21_Up+FedExExrpessEarnedDiscount))*'2Day Base'!B98),2),ROUND(MinBase2Day*(1+ExpressFuelSurcharge),2),ROUND(((1-(TwoDayDiscount_21_Up+FedExExrpessEarnedDiscount))*'2Day Base'!B98)*(1+ExpressFuelSurcharge),2)))*(1+FedEx_Markup),2)</f>
        <v>89.19</v>
      </c>
      <c r="C101" s="275">
        <f>ROUND((IF(MinBase2Day&gt;ROUND(((1-(TwoDayDiscount_21_Up+FedExExrpessEarnedDiscount))*'2Day Base'!C98),2),ROUND(MinBase2Day*(1+ExpressFuelSurcharge),2),ROUND(((1-(TwoDayDiscount_21_Up+FedExExrpessEarnedDiscount))*'2Day Base'!C98)*(1+ExpressFuelSurcharge),2)))*(1+FedEx_Markup),2)</f>
        <v>103.57</v>
      </c>
      <c r="D101" s="275">
        <f>ROUND((IF(MinBase2Day&gt;ROUND(((1-(TwoDayDiscount_21_Up+FedExExrpessEarnedDiscount))*'2Day Base'!D98),2),ROUND(MinBase2Day*(1+ExpressFuelSurcharge),2),ROUND(((1-(TwoDayDiscount_21_Up+FedExExrpessEarnedDiscount))*'2Day Base'!D98)*(1+ExpressFuelSurcharge),2)))*(1+FedEx_Markup),2)</f>
        <v>125.58</v>
      </c>
      <c r="E101" s="275">
        <f>ROUND((IF(MinBase2Day&gt;ROUND(((1-(TwoDayDiscount_21_Up+FedExExrpessEarnedDiscount))*'2Day Base'!E98),2),ROUND(MinBase2Day*(1+ExpressFuelSurcharge),2),ROUND(((1-(TwoDayDiscount_21_Up+FedExExrpessEarnedDiscount))*'2Day Base'!E98)*(1+ExpressFuelSurcharge),2)))*(1+FedEx_Markup),2)</f>
        <v>194.18</v>
      </c>
      <c r="F101" s="275">
        <f>ROUND((IF(MinBase2Day&gt;ROUND(((1-(TwoDayDiscount_21_Up+FedExExrpessEarnedDiscount))*'2Day Base'!F98),2),ROUND(MinBase2Day*(1+ExpressFuelSurcharge),2),ROUND(((1-(TwoDayDiscount_21_Up+FedExExrpessEarnedDiscount))*'2Day Base'!F98)*(1+ExpressFuelSurcharge),2)))*(1+FedEx_Markup),2)</f>
        <v>320.02</v>
      </c>
      <c r="G101" s="275">
        <f>ROUND((IF(MinBase2Day&gt;ROUND(((1-(TwoDayDiscount_21_Up+FedExExrpessEarnedDiscount))*'2Day Base'!G98),2),ROUND(MinBase2Day*(1+ExpressFuelSurcharge),2),ROUND(((1-(TwoDayDiscount_21_Up+FedExExrpessEarnedDiscount))*'2Day Base'!G98)*(1+ExpressFuelSurcharge),2)))*(1+FedEx_Markup),2)</f>
        <v>326.42</v>
      </c>
      <c r="H101" s="275">
        <f>ROUND((IF(MinBase2Day&gt;ROUND(((1-(TwoDayDiscount_21_Up+FedExExrpessEarnedDiscount))*'2Day Base'!H98),2),ROUND(MinBase2Day*(1+ExpressFuelSurcharge),2),ROUND(((1-(TwoDayDiscount_21_Up+FedExExrpessEarnedDiscount))*'2Day Base'!H98)*(1+ExpressFuelSurcharge),2)))*(1+FedEx_Markup),2)</f>
        <v>332.95</v>
      </c>
      <c r="I101" s="275">
        <f>ROUND((IF(MinBase2Day&gt;ROUND(((1-(TwoDayDiscount_21_Up+FedExExrpessEarnedDiscount))*'2Day Base'!I98),2),ROUND(MinBase2Day*(1+ExpressFuelSurcharge),2),ROUND(((1-(TwoDayDiscount_21_Up+FedExExrpessEarnedDiscount))*'2Day Base'!I98)*(1+ExpressFuelSurcharge),2)))*(1+FedEx_Markup),2)</f>
        <v>339.62</v>
      </c>
      <c r="J101" s="275">
        <f>ROUND((IF(MinBase2Day&gt;ROUND(((1-(TwoDayDiscount_21_Up+FedExExrpessEarnedDiscount))*'2Day Base'!J98),2),ROUND(MinBase2Day*(1+ExpressFuelSurcharge),2),ROUND(((1-(TwoDayDiscount_21_Up+FedExExrpessEarnedDiscount))*'2Day Base'!J98)*(1+ExpressFuelSurcharge),2)))*(1+FedEx_Markup),2)</f>
        <v>339.62</v>
      </c>
      <c r="K101" s="275">
        <f>ROUND((IF(MinBase2Day&gt;ROUND(((1-(TwoDayDiscount_21_Up+FedExExrpessEarnedDiscount))*'2Day Base'!K98),2),ROUND(MinBase2Day*(1+ExpressFuelSurcharge),2),ROUND(((1-(TwoDayDiscount_21_Up+FedExExrpessEarnedDiscount))*'2Day Base'!K98)*(1+ExpressFuelSurcharge),2)))*(1+FedEx_Markup),2)</f>
        <v>346.41</v>
      </c>
      <c r="L101" s="275">
        <f>ROUND((IF(MinBase2Day&gt;ROUND(((1-(TwoDayDiscount_21_Up+FedExExrpessEarnedDiscount))*'2Day Base'!L98),2),ROUND(MinBase2Day*(1+ExpressFuelSurcharge),2),ROUND(((1-(TwoDayDiscount_21_Up+FedExExrpessEarnedDiscount))*'2Day Base'!L98)*(1+ExpressFuelSurcharge),2)))*(1+FedEx_Markup),2)</f>
        <v>346.41</v>
      </c>
    </row>
    <row r="102" ht="12.75" customHeight="1">
      <c r="A102" s="274">
        <v>97.0</v>
      </c>
      <c r="B102" s="275">
        <f>ROUND((IF(MinBase2Day&gt;ROUND(((1-(TwoDayDiscount_21_Up+FedExExrpessEarnedDiscount))*'2Day Base'!B99),2),ROUND(MinBase2Day*(1+ExpressFuelSurcharge),2),ROUND(((1-(TwoDayDiscount_21_Up+FedExExrpessEarnedDiscount))*'2Day Base'!B99)*(1+ExpressFuelSurcharge),2)))*(1+FedEx_Markup),2)</f>
        <v>89.57</v>
      </c>
      <c r="C102" s="275">
        <f>ROUND((IF(MinBase2Day&gt;ROUND(((1-(TwoDayDiscount_21_Up+FedExExrpessEarnedDiscount))*'2Day Base'!C99),2),ROUND(MinBase2Day*(1+ExpressFuelSurcharge),2),ROUND(((1-(TwoDayDiscount_21_Up+FedExExrpessEarnedDiscount))*'2Day Base'!C99)*(1+ExpressFuelSurcharge),2)))*(1+FedEx_Markup),2)</f>
        <v>104.16</v>
      </c>
      <c r="D102" s="275">
        <f>ROUND((IF(MinBase2Day&gt;ROUND(((1-(TwoDayDiscount_21_Up+FedExExrpessEarnedDiscount))*'2Day Base'!D99),2),ROUND(MinBase2Day*(1+ExpressFuelSurcharge),2),ROUND(((1-(TwoDayDiscount_21_Up+FedExExrpessEarnedDiscount))*'2Day Base'!D99)*(1+ExpressFuelSurcharge),2)))*(1+FedEx_Markup),2)</f>
        <v>128.62</v>
      </c>
      <c r="E102" s="275">
        <f>ROUND((IF(MinBase2Day&gt;ROUND(((1-(TwoDayDiscount_21_Up+FedExExrpessEarnedDiscount))*'2Day Base'!E99),2),ROUND(MinBase2Day*(1+ExpressFuelSurcharge),2),ROUND(((1-(TwoDayDiscount_21_Up+FedExExrpessEarnedDiscount))*'2Day Base'!E99)*(1+ExpressFuelSurcharge),2)))*(1+FedEx_Markup),2)</f>
        <v>194.74</v>
      </c>
      <c r="F102" s="275">
        <f>ROUND((IF(MinBase2Day&gt;ROUND(((1-(TwoDayDiscount_21_Up+FedExExrpessEarnedDiscount))*'2Day Base'!F99),2),ROUND(MinBase2Day*(1+ExpressFuelSurcharge),2),ROUND(((1-(TwoDayDiscount_21_Up+FedExExrpessEarnedDiscount))*'2Day Base'!F99)*(1+ExpressFuelSurcharge),2)))*(1+FedEx_Markup),2)</f>
        <v>326.75</v>
      </c>
      <c r="G102" s="275">
        <f>ROUND((IF(MinBase2Day&gt;ROUND(((1-(TwoDayDiscount_21_Up+FedExExrpessEarnedDiscount))*'2Day Base'!G99),2),ROUND(MinBase2Day*(1+ExpressFuelSurcharge),2),ROUND(((1-(TwoDayDiscount_21_Up+FedExExrpessEarnedDiscount))*'2Day Base'!G99)*(1+ExpressFuelSurcharge),2)))*(1+FedEx_Markup),2)</f>
        <v>333.28</v>
      </c>
      <c r="H102" s="275">
        <f>ROUND((IF(MinBase2Day&gt;ROUND(((1-(TwoDayDiscount_21_Up+FedExExrpessEarnedDiscount))*'2Day Base'!H99),2),ROUND(MinBase2Day*(1+ExpressFuelSurcharge),2),ROUND(((1-(TwoDayDiscount_21_Up+FedExExrpessEarnedDiscount))*'2Day Base'!H99)*(1+ExpressFuelSurcharge),2)))*(1+FedEx_Markup),2)</f>
        <v>339.95</v>
      </c>
      <c r="I102" s="275">
        <f>ROUND((IF(MinBase2Day&gt;ROUND(((1-(TwoDayDiscount_21_Up+FedExExrpessEarnedDiscount))*'2Day Base'!I99),2),ROUND(MinBase2Day*(1+ExpressFuelSurcharge),2),ROUND(((1-(TwoDayDiscount_21_Up+FedExExrpessEarnedDiscount))*'2Day Base'!I99)*(1+ExpressFuelSurcharge),2)))*(1+FedEx_Markup),2)</f>
        <v>346.76</v>
      </c>
      <c r="J102" s="275">
        <f>ROUND((IF(MinBase2Day&gt;ROUND(((1-(TwoDayDiscount_21_Up+FedExExrpessEarnedDiscount))*'2Day Base'!J99),2),ROUND(MinBase2Day*(1+ExpressFuelSurcharge),2),ROUND(((1-(TwoDayDiscount_21_Up+FedExExrpessEarnedDiscount))*'2Day Base'!J99)*(1+ExpressFuelSurcharge),2)))*(1+FedEx_Markup),2)</f>
        <v>346.76</v>
      </c>
      <c r="K102" s="275">
        <f>ROUND((IF(MinBase2Day&gt;ROUND(((1-(TwoDayDiscount_21_Up+FedExExrpessEarnedDiscount))*'2Day Base'!K99),2),ROUND(MinBase2Day*(1+ExpressFuelSurcharge),2),ROUND(((1-(TwoDayDiscount_21_Up+FedExExrpessEarnedDiscount))*'2Day Base'!K99)*(1+ExpressFuelSurcharge),2)))*(1+FedEx_Markup),2)</f>
        <v>353.71</v>
      </c>
      <c r="L102" s="275">
        <f>ROUND((IF(MinBase2Day&gt;ROUND(((1-(TwoDayDiscount_21_Up+FedExExrpessEarnedDiscount))*'2Day Base'!L99),2),ROUND(MinBase2Day*(1+ExpressFuelSurcharge),2),ROUND(((1-(TwoDayDiscount_21_Up+FedExExrpessEarnedDiscount))*'2Day Base'!L99)*(1+ExpressFuelSurcharge),2)))*(1+FedEx_Markup),2)</f>
        <v>353.71</v>
      </c>
    </row>
    <row r="103" ht="12.75" customHeight="1">
      <c r="A103" s="274">
        <v>98.0</v>
      </c>
      <c r="B103" s="275">
        <f>ROUND((IF(MinBase2Day&gt;ROUND(((1-(TwoDayDiscount_21_Up+FedExExrpessEarnedDiscount))*'2Day Base'!B100),2),ROUND(MinBase2Day*(1+ExpressFuelSurcharge),2),ROUND(((1-(TwoDayDiscount_21_Up+FedExExrpessEarnedDiscount))*'2Day Base'!B100)*(1+ExpressFuelSurcharge),2)))*(1+FedEx_Markup),2)</f>
        <v>89.95</v>
      </c>
      <c r="C103" s="275">
        <f>ROUND((IF(MinBase2Day&gt;ROUND(((1-(TwoDayDiscount_21_Up+FedExExrpessEarnedDiscount))*'2Day Base'!C100),2),ROUND(MinBase2Day*(1+ExpressFuelSurcharge),2),ROUND(((1-(TwoDayDiscount_21_Up+FedExExrpessEarnedDiscount))*'2Day Base'!C100)*(1+ExpressFuelSurcharge),2)))*(1+FedEx_Markup),2)</f>
        <v>104.54</v>
      </c>
      <c r="D103" s="275">
        <f>ROUND((IF(MinBase2Day&gt;ROUND(((1-(TwoDayDiscount_21_Up+FedExExrpessEarnedDiscount))*'2Day Base'!D100),2),ROUND(MinBase2Day*(1+ExpressFuelSurcharge),2),ROUND(((1-(TwoDayDiscount_21_Up+FedExExrpessEarnedDiscount))*'2Day Base'!D100)*(1+ExpressFuelSurcharge),2)))*(1+FedEx_Markup),2)</f>
        <v>129.13</v>
      </c>
      <c r="E103" s="275">
        <f>ROUND((IF(MinBase2Day&gt;ROUND(((1-(TwoDayDiscount_21_Up+FedExExrpessEarnedDiscount))*'2Day Base'!E100),2),ROUND(MinBase2Day*(1+ExpressFuelSurcharge),2),ROUND(((1-(TwoDayDiscount_21_Up+FedExExrpessEarnedDiscount))*'2Day Base'!E100)*(1+ExpressFuelSurcharge),2)))*(1+FedEx_Markup),2)</f>
        <v>195.3</v>
      </c>
      <c r="F103" s="275">
        <f>ROUND((IF(MinBase2Day&gt;ROUND(((1-(TwoDayDiscount_21_Up+FedExExrpessEarnedDiscount))*'2Day Base'!F100),2),ROUND(MinBase2Day*(1+ExpressFuelSurcharge),2),ROUND(((1-(TwoDayDiscount_21_Up+FedExExrpessEarnedDiscount))*'2Day Base'!F100)*(1+ExpressFuelSurcharge),2)))*(1+FedEx_Markup),2)</f>
        <v>334.4</v>
      </c>
      <c r="G103" s="275">
        <f>ROUND((IF(MinBase2Day&gt;ROUND(((1-(TwoDayDiscount_21_Up+FedExExrpessEarnedDiscount))*'2Day Base'!G100),2),ROUND(MinBase2Day*(1+ExpressFuelSurcharge),2),ROUND(((1-(TwoDayDiscount_21_Up+FedExExrpessEarnedDiscount))*'2Day Base'!G100)*(1+ExpressFuelSurcharge),2)))*(1+FedEx_Markup),2)</f>
        <v>341.09</v>
      </c>
      <c r="H103" s="275">
        <f>ROUND((IF(MinBase2Day&gt;ROUND(((1-(TwoDayDiscount_21_Up+FedExExrpessEarnedDiscount))*'2Day Base'!H100),2),ROUND(MinBase2Day*(1+ExpressFuelSurcharge),2),ROUND(((1-(TwoDayDiscount_21_Up+FedExExrpessEarnedDiscount))*'2Day Base'!H100)*(1+ExpressFuelSurcharge),2)))*(1+FedEx_Markup),2)</f>
        <v>347.92</v>
      </c>
      <c r="I103" s="275">
        <f>ROUND((IF(MinBase2Day&gt;ROUND(((1-(TwoDayDiscount_21_Up+FedExExrpessEarnedDiscount))*'2Day Base'!I100),2),ROUND(MinBase2Day*(1+ExpressFuelSurcharge),2),ROUND(((1-(TwoDayDiscount_21_Up+FedExExrpessEarnedDiscount))*'2Day Base'!I100)*(1+ExpressFuelSurcharge),2)))*(1+FedEx_Markup),2)</f>
        <v>354.88</v>
      </c>
      <c r="J103" s="275">
        <f>ROUND((IF(MinBase2Day&gt;ROUND(((1-(TwoDayDiscount_21_Up+FedExExrpessEarnedDiscount))*'2Day Base'!J100),2),ROUND(MinBase2Day*(1+ExpressFuelSurcharge),2),ROUND(((1-(TwoDayDiscount_21_Up+FedExExrpessEarnedDiscount))*'2Day Base'!J100)*(1+ExpressFuelSurcharge),2)))*(1+FedEx_Markup),2)</f>
        <v>354.88</v>
      </c>
      <c r="K103" s="275">
        <f>ROUND((IF(MinBase2Day&gt;ROUND(((1-(TwoDayDiscount_21_Up+FedExExrpessEarnedDiscount))*'2Day Base'!K100),2),ROUND(MinBase2Day*(1+ExpressFuelSurcharge),2),ROUND(((1-(TwoDayDiscount_21_Up+FedExExrpessEarnedDiscount))*'2Day Base'!K100)*(1+ExpressFuelSurcharge),2)))*(1+FedEx_Markup),2)</f>
        <v>361.99</v>
      </c>
      <c r="L103" s="275">
        <f>ROUND((IF(MinBase2Day&gt;ROUND(((1-(TwoDayDiscount_21_Up+FedExExrpessEarnedDiscount))*'2Day Base'!L100),2),ROUND(MinBase2Day*(1+ExpressFuelSurcharge),2),ROUND(((1-(TwoDayDiscount_21_Up+FedExExrpessEarnedDiscount))*'2Day Base'!L100)*(1+ExpressFuelSurcharge),2)))*(1+FedEx_Markup),2)</f>
        <v>361.99</v>
      </c>
    </row>
    <row r="104" ht="12.75" customHeight="1">
      <c r="A104" s="274">
        <v>99.0</v>
      </c>
      <c r="B104" s="275">
        <f>ROUND((IF(MinBase2Day&gt;ROUND(((1-(TwoDayDiscount_21_Up+FedExExrpessEarnedDiscount))*'2Day Base'!B101),2),ROUND(MinBase2Day*(1+ExpressFuelSurcharge),2),ROUND(((1-(TwoDayDiscount_21_Up+FedExExrpessEarnedDiscount))*'2Day Base'!B101)*(1+ExpressFuelSurcharge),2)))*(1+FedEx_Markup),2)</f>
        <v>90.33</v>
      </c>
      <c r="C104" s="275">
        <f>ROUND((IF(MinBase2Day&gt;ROUND(((1-(TwoDayDiscount_21_Up+FedExExrpessEarnedDiscount))*'2Day Base'!C101),2),ROUND(MinBase2Day*(1+ExpressFuelSurcharge),2),ROUND(((1-(TwoDayDiscount_21_Up+FedExExrpessEarnedDiscount))*'2Day Base'!C101)*(1+ExpressFuelSurcharge),2)))*(1+FedEx_Markup),2)</f>
        <v>105.21</v>
      </c>
      <c r="D104" s="275">
        <f>ROUND((IF(MinBase2Day&gt;ROUND(((1-(TwoDayDiscount_21_Up+FedExExrpessEarnedDiscount))*'2Day Base'!D101),2),ROUND(MinBase2Day*(1+ExpressFuelSurcharge),2),ROUND(((1-(TwoDayDiscount_21_Up+FedExExrpessEarnedDiscount))*'2Day Base'!D101)*(1+ExpressFuelSurcharge),2)))*(1+FedEx_Markup),2)</f>
        <v>132.19</v>
      </c>
      <c r="E104" s="275">
        <f>ROUND((IF(MinBase2Day&gt;ROUND(((1-(TwoDayDiscount_21_Up+FedExExrpessEarnedDiscount))*'2Day Base'!E101),2),ROUND(MinBase2Day*(1+ExpressFuelSurcharge),2),ROUND(((1-(TwoDayDiscount_21_Up+FedExExrpessEarnedDiscount))*'2Day Base'!E101)*(1+ExpressFuelSurcharge),2)))*(1+FedEx_Markup),2)</f>
        <v>206.68</v>
      </c>
      <c r="F104" s="275">
        <f>ROUND((IF(MinBase2Day&gt;ROUND(((1-(TwoDayDiscount_21_Up+FedExExrpessEarnedDiscount))*'2Day Base'!F101),2),ROUND(MinBase2Day*(1+ExpressFuelSurcharge),2),ROUND(((1-(TwoDayDiscount_21_Up+FedExExrpessEarnedDiscount))*'2Day Base'!F101)*(1+ExpressFuelSurcharge),2)))*(1+FedEx_Markup),2)</f>
        <v>340.15</v>
      </c>
      <c r="G104" s="275">
        <f>ROUND((IF(MinBase2Day&gt;ROUND(((1-(TwoDayDiscount_21_Up+FedExExrpessEarnedDiscount))*'2Day Base'!G101),2),ROUND(MinBase2Day*(1+ExpressFuelSurcharge),2),ROUND(((1-(TwoDayDiscount_21_Up+FedExExrpessEarnedDiscount))*'2Day Base'!G101)*(1+ExpressFuelSurcharge),2)))*(1+FedEx_Markup),2)</f>
        <v>356.43</v>
      </c>
      <c r="H104" s="275">
        <f>ROUND((IF(MinBase2Day&gt;ROUND(((1-(TwoDayDiscount_21_Up+FedExExrpessEarnedDiscount))*'2Day Base'!H101),2),ROUND(MinBase2Day*(1+ExpressFuelSurcharge),2),ROUND(((1-(TwoDayDiscount_21_Up+FedExExrpessEarnedDiscount))*'2Day Base'!H101)*(1+ExpressFuelSurcharge),2)))*(1+FedEx_Markup),2)</f>
        <v>367.63</v>
      </c>
      <c r="I104" s="275">
        <f>ROUND((IF(MinBase2Day&gt;ROUND(((1-(TwoDayDiscount_21_Up+FedExExrpessEarnedDiscount))*'2Day Base'!I101),2),ROUND(MinBase2Day*(1+ExpressFuelSurcharge),2),ROUND(((1-(TwoDayDiscount_21_Up+FedExExrpessEarnedDiscount))*'2Day Base'!I101)*(1+ExpressFuelSurcharge),2)))*(1+FedEx_Markup),2)</f>
        <v>374.99</v>
      </c>
      <c r="J104" s="275">
        <f>ROUND((IF(MinBase2Day&gt;ROUND(((1-(TwoDayDiscount_21_Up+FedExExrpessEarnedDiscount))*'2Day Base'!J101),2),ROUND(MinBase2Day*(1+ExpressFuelSurcharge),2),ROUND(((1-(TwoDayDiscount_21_Up+FedExExrpessEarnedDiscount))*'2Day Base'!J101)*(1+ExpressFuelSurcharge),2)))*(1+FedEx_Markup),2)</f>
        <v>374.99</v>
      </c>
      <c r="K104" s="275">
        <f>ROUND((IF(MinBase2Day&gt;ROUND(((1-(TwoDayDiscount_21_Up+FedExExrpessEarnedDiscount))*'2Day Base'!K101),2),ROUND(MinBase2Day*(1+ExpressFuelSurcharge),2),ROUND(((1-(TwoDayDiscount_21_Up+FedExExrpessEarnedDiscount))*'2Day Base'!K101)*(1+ExpressFuelSurcharge),2)))*(1+FedEx_Markup),2)</f>
        <v>382.49</v>
      </c>
      <c r="L104" s="275">
        <f>ROUND((IF(MinBase2Day&gt;ROUND(((1-(TwoDayDiscount_21_Up+FedExExrpessEarnedDiscount))*'2Day Base'!L101),2),ROUND(MinBase2Day*(1+ExpressFuelSurcharge),2),ROUND(((1-(TwoDayDiscount_21_Up+FedExExrpessEarnedDiscount))*'2Day Base'!L101)*(1+ExpressFuelSurcharge),2)))*(1+FedEx_Markup),2)</f>
        <v>382.49</v>
      </c>
    </row>
    <row r="105" ht="12.75" customHeight="1">
      <c r="A105" s="274">
        <v>100.0</v>
      </c>
      <c r="B105" s="275">
        <f>ROUND((IF(MinBase2Day&gt;ROUND(((1-(TwoDayDiscount_21_Up+FedExExrpessEarnedDiscount))*'2Day Base'!B102),2),ROUND(MinBase2Day*(1+ExpressFuelSurcharge),2),ROUND(((1-(TwoDayDiscount_21_Up+FedExExrpessEarnedDiscount))*'2Day Base'!B102)*(1+ExpressFuelSurcharge),2)))*(1+FedEx_Markup),2)</f>
        <v>90.71</v>
      </c>
      <c r="C105" s="275">
        <f>ROUND((IF(MinBase2Day&gt;ROUND(((1-(TwoDayDiscount_21_Up+FedExExrpessEarnedDiscount))*'2Day Base'!C102),2),ROUND(MinBase2Day*(1+ExpressFuelSurcharge),2),ROUND(((1-(TwoDayDiscount_21_Up+FedExExrpessEarnedDiscount))*'2Day Base'!C102)*(1+ExpressFuelSurcharge),2)))*(1+FedEx_Markup),2)</f>
        <v>113.52</v>
      </c>
      <c r="D105" s="275">
        <f>ROUND((IF(MinBase2Day&gt;ROUND(((1-(TwoDayDiscount_21_Up+FedExExrpessEarnedDiscount))*'2Day Base'!D102),2),ROUND(MinBase2Day*(1+ExpressFuelSurcharge),2),ROUND(((1-(TwoDayDiscount_21_Up+FedExExrpessEarnedDiscount))*'2Day Base'!D102)*(1+ExpressFuelSurcharge),2)))*(1+FedEx_Markup),2)</f>
        <v>146.28</v>
      </c>
      <c r="E105" s="275">
        <f>ROUND((IF(MinBase2Day&gt;ROUND(((1-(TwoDayDiscount_21_Up+FedExExrpessEarnedDiscount))*'2Day Base'!E102),2),ROUND(MinBase2Day*(1+ExpressFuelSurcharge),2),ROUND(((1-(TwoDayDiscount_21_Up+FedExExrpessEarnedDiscount))*'2Day Base'!E102)*(1+ExpressFuelSurcharge),2)))*(1+FedEx_Markup),2)</f>
        <v>217.52</v>
      </c>
      <c r="F105" s="275">
        <f>ROUND((IF(MinBase2Day&gt;ROUND(((1-(TwoDayDiscount_21_Up+FedExExrpessEarnedDiscount))*'2Day Base'!F102),2),ROUND(MinBase2Day*(1+ExpressFuelSurcharge),2),ROUND(((1-(TwoDayDiscount_21_Up+FedExExrpessEarnedDiscount))*'2Day Base'!F102)*(1+ExpressFuelSurcharge),2)))*(1+FedEx_Markup),2)</f>
        <v>345.29</v>
      </c>
      <c r="G105" s="275">
        <f>ROUND((IF(MinBase2Day&gt;ROUND(((1-(TwoDayDiscount_21_Up+FedExExrpessEarnedDiscount))*'2Day Base'!G102),2),ROUND(MinBase2Day*(1+ExpressFuelSurcharge),2),ROUND(((1-(TwoDayDiscount_21_Up+FedExExrpessEarnedDiscount))*'2Day Base'!G102)*(1+ExpressFuelSurcharge),2)))*(1+FedEx_Markup),2)</f>
        <v>394.21</v>
      </c>
      <c r="H105" s="275">
        <f>ROUND((IF(MinBase2Day&gt;ROUND(((1-(TwoDayDiscount_21_Up+FedExExrpessEarnedDiscount))*'2Day Base'!H102),2),ROUND(MinBase2Day*(1+ExpressFuelSurcharge),2),ROUND(((1-(TwoDayDiscount_21_Up+FedExExrpessEarnedDiscount))*'2Day Base'!H102)*(1+ExpressFuelSurcharge),2)))*(1+FedEx_Markup),2)</f>
        <v>406.09</v>
      </c>
      <c r="I105" s="275">
        <f>ROUND((IF(MinBase2Day&gt;ROUND(((1-(TwoDayDiscount_21_Up+FedExExrpessEarnedDiscount))*'2Day Base'!I102),2),ROUND(MinBase2Day*(1+ExpressFuelSurcharge),2),ROUND(((1-(TwoDayDiscount_21_Up+FedExExrpessEarnedDiscount))*'2Day Base'!I102)*(1+ExpressFuelSurcharge),2)))*(1+FedEx_Markup),2)</f>
        <v>414.63</v>
      </c>
      <c r="J105" s="275">
        <f>ROUND((IF(MinBase2Day&gt;ROUND(((1-(TwoDayDiscount_21_Up+FedExExrpessEarnedDiscount))*'2Day Base'!J102),2),ROUND(MinBase2Day*(1+ExpressFuelSurcharge),2),ROUND(((1-(TwoDayDiscount_21_Up+FedExExrpessEarnedDiscount))*'2Day Base'!J102)*(1+ExpressFuelSurcharge),2)))*(1+FedEx_Markup),2)</f>
        <v>414.63</v>
      </c>
      <c r="K105" s="275">
        <f>ROUND((IF(MinBase2Day&gt;ROUND(((1-(TwoDayDiscount_21_Up+FedExExrpessEarnedDiscount))*'2Day Base'!K102),2),ROUND(MinBase2Day*(1+ExpressFuelSurcharge),2),ROUND(((1-(TwoDayDiscount_21_Up+FedExExrpessEarnedDiscount))*'2Day Base'!K102)*(1+ExpressFuelSurcharge),2)))*(1+FedEx_Markup),2)</f>
        <v>423.66</v>
      </c>
      <c r="L105" s="275">
        <f>ROUND((IF(MinBase2Day&gt;ROUND(((1-(TwoDayDiscount_21_Up+FedExExrpessEarnedDiscount))*'2Day Base'!L102),2),ROUND(MinBase2Day*(1+ExpressFuelSurcharge),2),ROUND(((1-(TwoDayDiscount_21_Up+FedExExrpessEarnedDiscount))*'2Day Base'!L102)*(1+ExpressFuelSurcharge),2)))*(1+FedEx_Markup),2)</f>
        <v>423.66</v>
      </c>
    </row>
    <row r="106" ht="12.75" customHeight="1">
      <c r="A106" s="274">
        <v>101.0</v>
      </c>
      <c r="B106" s="275">
        <f>ROUND((IF(MinBase2Day&gt;ROUND(((1-(TwoDayDiscount_21_Up+FedExExrpessEarnedDiscount))*'2Day Base'!B103),2),ROUND(MinBase2Day*(1+ExpressFuelSurcharge),2),ROUND(((1-(TwoDayDiscount_21_Up+FedExExrpessEarnedDiscount))*'2Day Base'!B103)*(1+ExpressFuelSurcharge),2)))*(1+FedEx_Markup),2)</f>
        <v>91.62</v>
      </c>
      <c r="C106" s="275">
        <f>ROUND((IF(MinBase2Day&gt;ROUND(((1-(TwoDayDiscount_21_Up+FedExExrpessEarnedDiscount))*'2Day Base'!C103),2),ROUND(MinBase2Day*(1+ExpressFuelSurcharge),2),ROUND(((1-(TwoDayDiscount_21_Up+FedExExrpessEarnedDiscount))*'2Day Base'!C103)*(1+ExpressFuelSurcharge),2)))*(1+FedEx_Markup),2)</f>
        <v>114.64</v>
      </c>
      <c r="D106" s="275">
        <f>ROUND((IF(MinBase2Day&gt;ROUND(((1-(TwoDayDiscount_21_Up+FedExExrpessEarnedDiscount))*'2Day Base'!D103),2),ROUND(MinBase2Day*(1+ExpressFuelSurcharge),2),ROUND(((1-(TwoDayDiscount_21_Up+FedExExrpessEarnedDiscount))*'2Day Base'!D103)*(1+ExpressFuelSurcharge),2)))*(1+FedEx_Markup),2)</f>
        <v>147.75</v>
      </c>
      <c r="E106" s="275">
        <f>ROUND((IF(MinBase2Day&gt;ROUND(((1-(TwoDayDiscount_21_Up+FedExExrpessEarnedDiscount))*'2Day Base'!E103),2),ROUND(MinBase2Day*(1+ExpressFuelSurcharge),2),ROUND(((1-(TwoDayDiscount_21_Up+FedExExrpessEarnedDiscount))*'2Day Base'!E103)*(1+ExpressFuelSurcharge),2)))*(1+FedEx_Markup),2)</f>
        <v>219.71</v>
      </c>
      <c r="F106" s="275">
        <f>ROUND((IF(MinBase2Day&gt;ROUND(((1-(TwoDayDiscount_21_Up+FedExExrpessEarnedDiscount))*'2Day Base'!F103),2),ROUND(MinBase2Day*(1+ExpressFuelSurcharge),2),ROUND(((1-(TwoDayDiscount_21_Up+FedExExrpessEarnedDiscount))*'2Day Base'!F103)*(1+ExpressFuelSurcharge),2)))*(1+FedEx_Markup),2)</f>
        <v>348.74</v>
      </c>
      <c r="G106" s="275">
        <f>ROUND((IF(MinBase2Day&gt;ROUND(((1-(TwoDayDiscount_21_Up+FedExExrpessEarnedDiscount))*'2Day Base'!G103),2),ROUND(MinBase2Day*(1+ExpressFuelSurcharge),2),ROUND(((1-(TwoDayDiscount_21_Up+FedExExrpessEarnedDiscount))*'2Day Base'!G103)*(1+ExpressFuelSurcharge),2)))*(1+FedEx_Markup),2)</f>
        <v>398.15</v>
      </c>
      <c r="H106" s="275">
        <f>ROUND((IF(MinBase2Day&gt;ROUND(((1-(TwoDayDiscount_21_Up+FedExExrpessEarnedDiscount))*'2Day Base'!H103),2),ROUND(MinBase2Day*(1+ExpressFuelSurcharge),2),ROUND(((1-(TwoDayDiscount_21_Up+FedExExrpessEarnedDiscount))*'2Day Base'!H103)*(1+ExpressFuelSurcharge),2)))*(1+FedEx_Markup),2)</f>
        <v>410.15</v>
      </c>
      <c r="I106" s="275">
        <f>ROUND((IF(MinBase2Day&gt;ROUND(((1-(TwoDayDiscount_21_Up+FedExExrpessEarnedDiscount))*'2Day Base'!I103),2),ROUND(MinBase2Day*(1+ExpressFuelSurcharge),2),ROUND(((1-(TwoDayDiscount_21_Up+FedExExrpessEarnedDiscount))*'2Day Base'!I103)*(1+ExpressFuelSurcharge),2)))*(1+FedEx_Markup),2)</f>
        <v>418.77</v>
      </c>
      <c r="J106" s="275">
        <f>ROUND((IF(MinBase2Day&gt;ROUND(((1-(TwoDayDiscount_21_Up+FedExExrpessEarnedDiscount))*'2Day Base'!J103),2),ROUND(MinBase2Day*(1+ExpressFuelSurcharge),2),ROUND(((1-(TwoDayDiscount_21_Up+FedExExrpessEarnedDiscount))*'2Day Base'!J103)*(1+ExpressFuelSurcharge),2)))*(1+FedEx_Markup),2)</f>
        <v>418.77</v>
      </c>
      <c r="K106" s="275">
        <f>ROUND((IF(MinBase2Day&gt;ROUND(((1-(TwoDayDiscount_21_Up+FedExExrpessEarnedDiscount))*'2Day Base'!K103),2),ROUND(MinBase2Day*(1+ExpressFuelSurcharge),2),ROUND(((1-(TwoDayDiscount_21_Up+FedExExrpessEarnedDiscount))*'2Day Base'!K103)*(1+ExpressFuelSurcharge),2)))*(1+FedEx_Markup),2)</f>
        <v>427.89</v>
      </c>
      <c r="L106" s="275">
        <f>ROUND((IF(MinBase2Day&gt;ROUND(((1-(TwoDayDiscount_21_Up+FedExExrpessEarnedDiscount))*'2Day Base'!L103),2),ROUND(MinBase2Day*(1+ExpressFuelSurcharge),2),ROUND(((1-(TwoDayDiscount_21_Up+FedExExrpessEarnedDiscount))*'2Day Base'!L103)*(1+ExpressFuelSurcharge),2)))*(1+FedEx_Markup),2)</f>
        <v>427.89</v>
      </c>
    </row>
    <row r="107" ht="12.75" customHeight="1">
      <c r="A107" s="274">
        <v>102.0</v>
      </c>
      <c r="B107" s="275">
        <f>ROUND((IF(MinBase2Day&gt;ROUND(((1-(TwoDayDiscount_21_Up+FedExExrpessEarnedDiscount))*'2Day Base'!B104),2),ROUND(MinBase2Day*(1+ExpressFuelSurcharge),2),ROUND(((1-(TwoDayDiscount_21_Up+FedExExrpessEarnedDiscount))*'2Day Base'!B104)*(1+ExpressFuelSurcharge),2)))*(1+FedEx_Markup),2)</f>
        <v>92.53</v>
      </c>
      <c r="C107" s="275">
        <f>ROUND((IF(MinBase2Day&gt;ROUND(((1-(TwoDayDiscount_21_Up+FedExExrpessEarnedDiscount))*'2Day Base'!C104),2),ROUND(MinBase2Day*(1+ExpressFuelSurcharge),2),ROUND(((1-(TwoDayDiscount_21_Up+FedExExrpessEarnedDiscount))*'2Day Base'!C104)*(1+ExpressFuelSurcharge),2)))*(1+FedEx_Markup),2)</f>
        <v>115.78</v>
      </c>
      <c r="D107" s="275">
        <f>ROUND((IF(MinBase2Day&gt;ROUND(((1-(TwoDayDiscount_21_Up+FedExExrpessEarnedDiscount))*'2Day Base'!D104),2),ROUND(MinBase2Day*(1+ExpressFuelSurcharge),2),ROUND(((1-(TwoDayDiscount_21_Up+FedExExrpessEarnedDiscount))*'2Day Base'!D104)*(1+ExpressFuelSurcharge),2)))*(1+FedEx_Markup),2)</f>
        <v>149.21</v>
      </c>
      <c r="E107" s="275">
        <f>ROUND((IF(MinBase2Day&gt;ROUND(((1-(TwoDayDiscount_21_Up+FedExExrpessEarnedDiscount))*'2Day Base'!E104),2),ROUND(MinBase2Day*(1+ExpressFuelSurcharge),2),ROUND(((1-(TwoDayDiscount_21_Up+FedExExrpessEarnedDiscount))*'2Day Base'!E104)*(1+ExpressFuelSurcharge),2)))*(1+FedEx_Markup),2)</f>
        <v>221.88</v>
      </c>
      <c r="F107" s="275">
        <f>ROUND((IF(MinBase2Day&gt;ROUND(((1-(TwoDayDiscount_21_Up+FedExExrpessEarnedDiscount))*'2Day Base'!F104),2),ROUND(MinBase2Day*(1+ExpressFuelSurcharge),2),ROUND(((1-(TwoDayDiscount_21_Up+FedExExrpessEarnedDiscount))*'2Day Base'!F104)*(1+ExpressFuelSurcharge),2)))*(1+FedEx_Markup),2)</f>
        <v>352.2</v>
      </c>
      <c r="G107" s="275">
        <f>ROUND((IF(MinBase2Day&gt;ROUND(((1-(TwoDayDiscount_21_Up+FedExExrpessEarnedDiscount))*'2Day Base'!G104),2),ROUND(MinBase2Day*(1+ExpressFuelSurcharge),2),ROUND(((1-(TwoDayDiscount_21_Up+FedExExrpessEarnedDiscount))*'2Day Base'!G104)*(1+ExpressFuelSurcharge),2)))*(1+FedEx_Markup),2)</f>
        <v>402.1</v>
      </c>
      <c r="H107" s="275">
        <f>ROUND((IF(MinBase2Day&gt;ROUND(((1-(TwoDayDiscount_21_Up+FedExExrpessEarnedDiscount))*'2Day Base'!H104),2),ROUND(MinBase2Day*(1+ExpressFuelSurcharge),2),ROUND(((1-(TwoDayDiscount_21_Up+FedExExrpessEarnedDiscount))*'2Day Base'!H104)*(1+ExpressFuelSurcharge),2)))*(1+FedEx_Markup),2)</f>
        <v>414.21</v>
      </c>
      <c r="I107" s="275">
        <f>ROUND((IF(MinBase2Day&gt;ROUND(((1-(TwoDayDiscount_21_Up+FedExExrpessEarnedDiscount))*'2Day Base'!I104),2),ROUND(MinBase2Day*(1+ExpressFuelSurcharge),2),ROUND(((1-(TwoDayDiscount_21_Up+FedExExrpessEarnedDiscount))*'2Day Base'!I104)*(1+ExpressFuelSurcharge),2)))*(1+FedEx_Markup),2)</f>
        <v>422.92</v>
      </c>
      <c r="J107" s="275">
        <f>ROUND((IF(MinBase2Day&gt;ROUND(((1-(TwoDayDiscount_21_Up+FedExExrpessEarnedDiscount))*'2Day Base'!J104),2),ROUND(MinBase2Day*(1+ExpressFuelSurcharge),2),ROUND(((1-(TwoDayDiscount_21_Up+FedExExrpessEarnedDiscount))*'2Day Base'!J104)*(1+ExpressFuelSurcharge),2)))*(1+FedEx_Markup),2)</f>
        <v>422.92</v>
      </c>
      <c r="K107" s="275">
        <f>ROUND((IF(MinBase2Day&gt;ROUND(((1-(TwoDayDiscount_21_Up+FedExExrpessEarnedDiscount))*'2Day Base'!K104),2),ROUND(MinBase2Day*(1+ExpressFuelSurcharge),2),ROUND(((1-(TwoDayDiscount_21_Up+FedExExrpessEarnedDiscount))*'2Day Base'!K104)*(1+ExpressFuelSurcharge),2)))*(1+FedEx_Markup),2)</f>
        <v>432.12</v>
      </c>
      <c r="L107" s="275">
        <f>ROUND((IF(MinBase2Day&gt;ROUND(((1-(TwoDayDiscount_21_Up+FedExExrpessEarnedDiscount))*'2Day Base'!L104),2),ROUND(MinBase2Day*(1+ExpressFuelSurcharge),2),ROUND(((1-(TwoDayDiscount_21_Up+FedExExrpessEarnedDiscount))*'2Day Base'!L104)*(1+ExpressFuelSurcharge),2)))*(1+FedEx_Markup),2)</f>
        <v>432.12</v>
      </c>
    </row>
    <row r="108" ht="12.75" customHeight="1">
      <c r="A108" s="274">
        <v>103.0</v>
      </c>
      <c r="B108" s="275">
        <f>ROUND((IF(MinBase2Day&gt;ROUND(((1-(TwoDayDiscount_21_Up+FedExExrpessEarnedDiscount))*'2Day Base'!B105),2),ROUND(MinBase2Day*(1+ExpressFuelSurcharge),2),ROUND(((1-(TwoDayDiscount_21_Up+FedExExrpessEarnedDiscount))*'2Day Base'!B105)*(1+ExpressFuelSurcharge),2)))*(1+FedEx_Markup),2)</f>
        <v>93.44</v>
      </c>
      <c r="C108" s="275">
        <f>ROUND((IF(MinBase2Day&gt;ROUND(((1-(TwoDayDiscount_21_Up+FedExExrpessEarnedDiscount))*'2Day Base'!C105),2),ROUND(MinBase2Day*(1+ExpressFuelSurcharge),2),ROUND(((1-(TwoDayDiscount_21_Up+FedExExrpessEarnedDiscount))*'2Day Base'!C105)*(1+ExpressFuelSurcharge),2)))*(1+FedEx_Markup),2)</f>
        <v>116.92</v>
      </c>
      <c r="D108" s="275">
        <f>ROUND((IF(MinBase2Day&gt;ROUND(((1-(TwoDayDiscount_21_Up+FedExExrpessEarnedDiscount))*'2Day Base'!D105),2),ROUND(MinBase2Day*(1+ExpressFuelSurcharge),2),ROUND(((1-(TwoDayDiscount_21_Up+FedExExrpessEarnedDiscount))*'2Day Base'!D105)*(1+ExpressFuelSurcharge),2)))*(1+FedEx_Markup),2)</f>
        <v>150.67</v>
      </c>
      <c r="E108" s="275">
        <f>ROUND((IF(MinBase2Day&gt;ROUND(((1-(TwoDayDiscount_21_Up+FedExExrpessEarnedDiscount))*'2Day Base'!E105),2),ROUND(MinBase2Day*(1+ExpressFuelSurcharge),2),ROUND(((1-(TwoDayDiscount_21_Up+FedExExrpessEarnedDiscount))*'2Day Base'!E105)*(1+ExpressFuelSurcharge),2)))*(1+FedEx_Markup),2)</f>
        <v>224.05</v>
      </c>
      <c r="F108" s="275">
        <f>ROUND((IF(MinBase2Day&gt;ROUND(((1-(TwoDayDiscount_21_Up+FedExExrpessEarnedDiscount))*'2Day Base'!F105),2),ROUND(MinBase2Day*(1+ExpressFuelSurcharge),2),ROUND(((1-(TwoDayDiscount_21_Up+FedExExrpessEarnedDiscount))*'2Day Base'!F105)*(1+ExpressFuelSurcharge),2)))*(1+FedEx_Markup),2)</f>
        <v>355.65</v>
      </c>
      <c r="G108" s="275">
        <f>ROUND((IF(MinBase2Day&gt;ROUND(((1-(TwoDayDiscount_21_Up+FedExExrpessEarnedDiscount))*'2Day Base'!G105),2),ROUND(MinBase2Day*(1+ExpressFuelSurcharge),2),ROUND(((1-(TwoDayDiscount_21_Up+FedExExrpessEarnedDiscount))*'2Day Base'!G105)*(1+ExpressFuelSurcharge),2)))*(1+FedEx_Markup),2)</f>
        <v>406.03</v>
      </c>
      <c r="H108" s="275">
        <f>ROUND((IF(MinBase2Day&gt;ROUND(((1-(TwoDayDiscount_21_Up+FedExExrpessEarnedDiscount))*'2Day Base'!H105),2),ROUND(MinBase2Day*(1+ExpressFuelSurcharge),2),ROUND(((1-(TwoDayDiscount_21_Up+FedExExrpessEarnedDiscount))*'2Day Base'!H105)*(1+ExpressFuelSurcharge),2)))*(1+FedEx_Markup),2)</f>
        <v>418.27</v>
      </c>
      <c r="I108" s="275">
        <f>ROUND((IF(MinBase2Day&gt;ROUND(((1-(TwoDayDiscount_21_Up+FedExExrpessEarnedDiscount))*'2Day Base'!I105),2),ROUND(MinBase2Day*(1+ExpressFuelSurcharge),2),ROUND(((1-(TwoDayDiscount_21_Up+FedExExrpessEarnedDiscount))*'2Day Base'!I105)*(1+ExpressFuelSurcharge),2)))*(1+FedEx_Markup),2)</f>
        <v>427.08</v>
      </c>
      <c r="J108" s="275">
        <f>ROUND((IF(MinBase2Day&gt;ROUND(((1-(TwoDayDiscount_21_Up+FedExExrpessEarnedDiscount))*'2Day Base'!J105),2),ROUND(MinBase2Day*(1+ExpressFuelSurcharge),2),ROUND(((1-(TwoDayDiscount_21_Up+FedExExrpessEarnedDiscount))*'2Day Base'!J105)*(1+ExpressFuelSurcharge),2)))*(1+FedEx_Markup),2)</f>
        <v>427.08</v>
      </c>
      <c r="K108" s="275">
        <f>ROUND((IF(MinBase2Day&gt;ROUND(((1-(TwoDayDiscount_21_Up+FedExExrpessEarnedDiscount))*'2Day Base'!K105),2),ROUND(MinBase2Day*(1+ExpressFuelSurcharge),2),ROUND(((1-(TwoDayDiscount_21_Up+FedExExrpessEarnedDiscount))*'2Day Base'!K105)*(1+ExpressFuelSurcharge),2)))*(1+FedEx_Markup),2)</f>
        <v>436.37</v>
      </c>
      <c r="L108" s="275">
        <f>ROUND((IF(MinBase2Day&gt;ROUND(((1-(TwoDayDiscount_21_Up+FedExExrpessEarnedDiscount))*'2Day Base'!L105),2),ROUND(MinBase2Day*(1+ExpressFuelSurcharge),2),ROUND(((1-(TwoDayDiscount_21_Up+FedExExrpessEarnedDiscount))*'2Day Base'!L105)*(1+ExpressFuelSurcharge),2)))*(1+FedEx_Markup),2)</f>
        <v>436.37</v>
      </c>
    </row>
    <row r="109" ht="12.75" customHeight="1">
      <c r="A109" s="274">
        <v>104.0</v>
      </c>
      <c r="B109" s="275">
        <f>ROUND((IF(MinBase2Day&gt;ROUND(((1-(TwoDayDiscount_21_Up+FedExExrpessEarnedDiscount))*'2Day Base'!B106),2),ROUND(MinBase2Day*(1+ExpressFuelSurcharge),2),ROUND(((1-(TwoDayDiscount_21_Up+FedExExrpessEarnedDiscount))*'2Day Base'!B106)*(1+ExpressFuelSurcharge),2)))*(1+FedEx_Markup),2)</f>
        <v>94.35</v>
      </c>
      <c r="C109" s="275">
        <f>ROUND((IF(MinBase2Day&gt;ROUND(((1-(TwoDayDiscount_21_Up+FedExExrpessEarnedDiscount))*'2Day Base'!C106),2),ROUND(MinBase2Day*(1+ExpressFuelSurcharge),2),ROUND(((1-(TwoDayDiscount_21_Up+FedExExrpessEarnedDiscount))*'2Day Base'!C106)*(1+ExpressFuelSurcharge),2)))*(1+FedEx_Markup),2)</f>
        <v>118.06</v>
      </c>
      <c r="D109" s="275">
        <f>ROUND((IF(MinBase2Day&gt;ROUND(((1-(TwoDayDiscount_21_Up+FedExExrpessEarnedDiscount))*'2Day Base'!D106),2),ROUND(MinBase2Day*(1+ExpressFuelSurcharge),2),ROUND(((1-(TwoDayDiscount_21_Up+FedExExrpessEarnedDiscount))*'2Day Base'!D106)*(1+ExpressFuelSurcharge),2)))*(1+FedEx_Markup),2)</f>
        <v>152.13</v>
      </c>
      <c r="E109" s="275">
        <f>ROUND((IF(MinBase2Day&gt;ROUND(((1-(TwoDayDiscount_21_Up+FedExExrpessEarnedDiscount))*'2Day Base'!E106),2),ROUND(MinBase2Day*(1+ExpressFuelSurcharge),2),ROUND(((1-(TwoDayDiscount_21_Up+FedExExrpessEarnedDiscount))*'2Day Base'!E106)*(1+ExpressFuelSurcharge),2)))*(1+FedEx_Markup),2)</f>
        <v>226.23</v>
      </c>
      <c r="F109" s="275">
        <f>ROUND((IF(MinBase2Day&gt;ROUND(((1-(TwoDayDiscount_21_Up+FedExExrpessEarnedDiscount))*'2Day Base'!F106),2),ROUND(MinBase2Day*(1+ExpressFuelSurcharge),2),ROUND(((1-(TwoDayDiscount_21_Up+FedExExrpessEarnedDiscount))*'2Day Base'!F106)*(1+ExpressFuelSurcharge),2)))*(1+FedEx_Markup),2)</f>
        <v>359.1</v>
      </c>
      <c r="G109" s="275">
        <f>ROUND((IF(MinBase2Day&gt;ROUND(((1-(TwoDayDiscount_21_Up+FedExExrpessEarnedDiscount))*'2Day Base'!G106),2),ROUND(MinBase2Day*(1+ExpressFuelSurcharge),2),ROUND(((1-(TwoDayDiscount_21_Up+FedExExrpessEarnedDiscount))*'2Day Base'!G106)*(1+ExpressFuelSurcharge),2)))*(1+FedEx_Markup),2)</f>
        <v>409.98</v>
      </c>
      <c r="H109" s="275">
        <f>ROUND((IF(MinBase2Day&gt;ROUND(((1-(TwoDayDiscount_21_Up+FedExExrpessEarnedDiscount))*'2Day Base'!H106),2),ROUND(MinBase2Day*(1+ExpressFuelSurcharge),2),ROUND(((1-(TwoDayDiscount_21_Up+FedExExrpessEarnedDiscount))*'2Day Base'!H106)*(1+ExpressFuelSurcharge),2)))*(1+FedEx_Markup),2)</f>
        <v>422.33</v>
      </c>
      <c r="I109" s="275">
        <f>ROUND((IF(MinBase2Day&gt;ROUND(((1-(TwoDayDiscount_21_Up+FedExExrpessEarnedDiscount))*'2Day Base'!I106),2),ROUND(MinBase2Day*(1+ExpressFuelSurcharge),2),ROUND(((1-(TwoDayDiscount_21_Up+FedExExrpessEarnedDiscount))*'2Day Base'!I106)*(1+ExpressFuelSurcharge),2)))*(1+FedEx_Markup),2)</f>
        <v>431.22</v>
      </c>
      <c r="J109" s="275">
        <f>ROUND((IF(MinBase2Day&gt;ROUND(((1-(TwoDayDiscount_21_Up+FedExExrpessEarnedDiscount))*'2Day Base'!J106),2),ROUND(MinBase2Day*(1+ExpressFuelSurcharge),2),ROUND(((1-(TwoDayDiscount_21_Up+FedExExrpessEarnedDiscount))*'2Day Base'!J106)*(1+ExpressFuelSurcharge),2)))*(1+FedEx_Markup),2)</f>
        <v>431.22</v>
      </c>
      <c r="K109" s="275">
        <f>ROUND((IF(MinBase2Day&gt;ROUND(((1-(TwoDayDiscount_21_Up+FedExExrpessEarnedDiscount))*'2Day Base'!K106),2),ROUND(MinBase2Day*(1+ExpressFuelSurcharge),2),ROUND(((1-(TwoDayDiscount_21_Up+FedExExrpessEarnedDiscount))*'2Day Base'!K106)*(1+ExpressFuelSurcharge),2)))*(1+FedEx_Markup),2)</f>
        <v>440.6</v>
      </c>
      <c r="L109" s="275">
        <f>ROUND((IF(MinBase2Day&gt;ROUND(((1-(TwoDayDiscount_21_Up+FedExExrpessEarnedDiscount))*'2Day Base'!L106),2),ROUND(MinBase2Day*(1+ExpressFuelSurcharge),2),ROUND(((1-(TwoDayDiscount_21_Up+FedExExrpessEarnedDiscount))*'2Day Base'!L106)*(1+ExpressFuelSurcharge),2)))*(1+FedEx_Markup),2)</f>
        <v>440.6</v>
      </c>
    </row>
    <row r="110" ht="12.75" customHeight="1">
      <c r="A110" s="274">
        <v>105.0</v>
      </c>
      <c r="B110" s="275">
        <f>ROUND((IF(MinBase2Day&gt;ROUND(((1-(TwoDayDiscount_21_Up+FedExExrpessEarnedDiscount))*'2Day Base'!B107),2),ROUND(MinBase2Day*(1+ExpressFuelSurcharge),2),ROUND(((1-(TwoDayDiscount_21_Up+FedExExrpessEarnedDiscount))*'2Day Base'!B107)*(1+ExpressFuelSurcharge),2)))*(1+FedEx_Markup),2)</f>
        <v>95.25</v>
      </c>
      <c r="C110" s="275">
        <f>ROUND((IF(MinBase2Day&gt;ROUND(((1-(TwoDayDiscount_21_Up+FedExExrpessEarnedDiscount))*'2Day Base'!C107),2),ROUND(MinBase2Day*(1+ExpressFuelSurcharge),2),ROUND(((1-(TwoDayDiscount_21_Up+FedExExrpessEarnedDiscount))*'2Day Base'!C107)*(1+ExpressFuelSurcharge),2)))*(1+FedEx_Markup),2)</f>
        <v>119.19</v>
      </c>
      <c r="D110" s="275">
        <f>ROUND((IF(MinBase2Day&gt;ROUND(((1-(TwoDayDiscount_21_Up+FedExExrpessEarnedDiscount))*'2Day Base'!D107),2),ROUND(MinBase2Day*(1+ExpressFuelSurcharge),2),ROUND(((1-(TwoDayDiscount_21_Up+FedExExrpessEarnedDiscount))*'2Day Base'!D107)*(1+ExpressFuelSurcharge),2)))*(1+FedEx_Markup),2)</f>
        <v>153.59</v>
      </c>
      <c r="E110" s="275">
        <f>ROUND((IF(MinBase2Day&gt;ROUND(((1-(TwoDayDiscount_21_Up+FedExExrpessEarnedDiscount))*'2Day Base'!E107),2),ROUND(MinBase2Day*(1+ExpressFuelSurcharge),2),ROUND(((1-(TwoDayDiscount_21_Up+FedExExrpessEarnedDiscount))*'2Day Base'!E107)*(1+ExpressFuelSurcharge),2)))*(1+FedEx_Markup),2)</f>
        <v>228.4</v>
      </c>
      <c r="F110" s="275">
        <f>ROUND((IF(MinBase2Day&gt;ROUND(((1-(TwoDayDiscount_21_Up+FedExExrpessEarnedDiscount))*'2Day Base'!F107),2),ROUND(MinBase2Day*(1+ExpressFuelSurcharge),2),ROUND(((1-(TwoDayDiscount_21_Up+FedExExrpessEarnedDiscount))*'2Day Base'!F107)*(1+ExpressFuelSurcharge),2)))*(1+FedEx_Markup),2)</f>
        <v>362.55</v>
      </c>
      <c r="G110" s="275">
        <f>ROUND((IF(MinBase2Day&gt;ROUND(((1-(TwoDayDiscount_21_Up+FedExExrpessEarnedDiscount))*'2Day Base'!G107),2),ROUND(MinBase2Day*(1+ExpressFuelSurcharge),2),ROUND(((1-(TwoDayDiscount_21_Up+FedExExrpessEarnedDiscount))*'2Day Base'!G107)*(1+ExpressFuelSurcharge),2)))*(1+FedEx_Markup),2)</f>
        <v>413.92</v>
      </c>
      <c r="H110" s="275">
        <f>ROUND((IF(MinBase2Day&gt;ROUND(((1-(TwoDayDiscount_21_Up+FedExExrpessEarnedDiscount))*'2Day Base'!H107),2),ROUND(MinBase2Day*(1+ExpressFuelSurcharge),2),ROUND(((1-(TwoDayDiscount_21_Up+FedExExrpessEarnedDiscount))*'2Day Base'!H107)*(1+ExpressFuelSurcharge),2)))*(1+FedEx_Markup),2)</f>
        <v>426.39</v>
      </c>
      <c r="I110" s="275">
        <f>ROUND((IF(MinBase2Day&gt;ROUND(((1-(TwoDayDiscount_21_Up+FedExExrpessEarnedDiscount))*'2Day Base'!I107),2),ROUND(MinBase2Day*(1+ExpressFuelSurcharge),2),ROUND(((1-(TwoDayDiscount_21_Up+FedExExrpessEarnedDiscount))*'2Day Base'!I107)*(1+ExpressFuelSurcharge),2)))*(1+FedEx_Markup),2)</f>
        <v>435.37</v>
      </c>
      <c r="J110" s="275">
        <f>ROUND((IF(MinBase2Day&gt;ROUND(((1-(TwoDayDiscount_21_Up+FedExExrpessEarnedDiscount))*'2Day Base'!J107),2),ROUND(MinBase2Day*(1+ExpressFuelSurcharge),2),ROUND(((1-(TwoDayDiscount_21_Up+FedExExrpessEarnedDiscount))*'2Day Base'!J107)*(1+ExpressFuelSurcharge),2)))*(1+FedEx_Markup),2)</f>
        <v>435.37</v>
      </c>
      <c r="K110" s="275">
        <f>ROUND((IF(MinBase2Day&gt;ROUND(((1-(TwoDayDiscount_21_Up+FedExExrpessEarnedDiscount))*'2Day Base'!K107),2),ROUND(MinBase2Day*(1+ExpressFuelSurcharge),2),ROUND(((1-(TwoDayDiscount_21_Up+FedExExrpessEarnedDiscount))*'2Day Base'!K107)*(1+ExpressFuelSurcharge),2)))*(1+FedEx_Markup),2)</f>
        <v>444.84</v>
      </c>
      <c r="L110" s="275">
        <f>ROUND((IF(MinBase2Day&gt;ROUND(((1-(TwoDayDiscount_21_Up+FedExExrpessEarnedDiscount))*'2Day Base'!L107),2),ROUND(MinBase2Day*(1+ExpressFuelSurcharge),2),ROUND(((1-(TwoDayDiscount_21_Up+FedExExrpessEarnedDiscount))*'2Day Base'!L107)*(1+ExpressFuelSurcharge),2)))*(1+FedEx_Markup),2)</f>
        <v>444.84</v>
      </c>
    </row>
    <row r="111" ht="12.75" customHeight="1">
      <c r="A111" s="274">
        <v>106.0</v>
      </c>
      <c r="B111" s="275">
        <f>ROUND((IF(MinBase2Day&gt;ROUND(((1-(TwoDayDiscount_21_Up+FedExExrpessEarnedDiscount))*'2Day Base'!B108),2),ROUND(MinBase2Day*(1+ExpressFuelSurcharge),2),ROUND(((1-(TwoDayDiscount_21_Up+FedExExrpessEarnedDiscount))*'2Day Base'!B108)*(1+ExpressFuelSurcharge),2)))*(1+FedEx_Markup),2)</f>
        <v>96.16</v>
      </c>
      <c r="C111" s="275">
        <f>ROUND((IF(MinBase2Day&gt;ROUND(((1-(TwoDayDiscount_21_Up+FedExExrpessEarnedDiscount))*'2Day Base'!C108),2),ROUND(MinBase2Day*(1+ExpressFuelSurcharge),2),ROUND(((1-(TwoDayDiscount_21_Up+FedExExrpessEarnedDiscount))*'2Day Base'!C108)*(1+ExpressFuelSurcharge),2)))*(1+FedEx_Markup),2)</f>
        <v>120.32</v>
      </c>
      <c r="D111" s="275">
        <f>ROUND((IF(MinBase2Day&gt;ROUND(((1-(TwoDayDiscount_21_Up+FedExExrpessEarnedDiscount))*'2Day Base'!D108),2),ROUND(MinBase2Day*(1+ExpressFuelSurcharge),2),ROUND(((1-(TwoDayDiscount_21_Up+FedExExrpessEarnedDiscount))*'2Day Base'!D108)*(1+ExpressFuelSurcharge),2)))*(1+FedEx_Markup),2)</f>
        <v>155.07</v>
      </c>
      <c r="E111" s="275">
        <f>ROUND((IF(MinBase2Day&gt;ROUND(((1-(TwoDayDiscount_21_Up+FedExExrpessEarnedDiscount))*'2Day Base'!E108),2),ROUND(MinBase2Day*(1+ExpressFuelSurcharge),2),ROUND(((1-(TwoDayDiscount_21_Up+FedExExrpessEarnedDiscount))*'2Day Base'!E108)*(1+ExpressFuelSurcharge),2)))*(1+FedEx_Markup),2)</f>
        <v>230.58</v>
      </c>
      <c r="F111" s="275">
        <f>ROUND((IF(MinBase2Day&gt;ROUND(((1-(TwoDayDiscount_21_Up+FedExExrpessEarnedDiscount))*'2Day Base'!F108),2),ROUND(MinBase2Day*(1+ExpressFuelSurcharge),2),ROUND(((1-(TwoDayDiscount_21_Up+FedExExrpessEarnedDiscount))*'2Day Base'!F108)*(1+ExpressFuelSurcharge),2)))*(1+FedEx_Markup),2)</f>
        <v>366.01</v>
      </c>
      <c r="G111" s="275">
        <f>ROUND((IF(MinBase2Day&gt;ROUND(((1-(TwoDayDiscount_21_Up+FedExExrpessEarnedDiscount))*'2Day Base'!G108),2),ROUND(MinBase2Day*(1+ExpressFuelSurcharge),2),ROUND(((1-(TwoDayDiscount_21_Up+FedExExrpessEarnedDiscount))*'2Day Base'!G108)*(1+ExpressFuelSurcharge),2)))*(1+FedEx_Markup),2)</f>
        <v>417.86</v>
      </c>
      <c r="H111" s="275">
        <f>ROUND((IF(MinBase2Day&gt;ROUND(((1-(TwoDayDiscount_21_Up+FedExExrpessEarnedDiscount))*'2Day Base'!H108),2),ROUND(MinBase2Day*(1+ExpressFuelSurcharge),2),ROUND(((1-(TwoDayDiscount_21_Up+FedExExrpessEarnedDiscount))*'2Day Base'!H108)*(1+ExpressFuelSurcharge),2)))*(1+FedEx_Markup),2)</f>
        <v>430.45</v>
      </c>
      <c r="I111" s="275">
        <f>ROUND((IF(MinBase2Day&gt;ROUND(((1-(TwoDayDiscount_21_Up+FedExExrpessEarnedDiscount))*'2Day Base'!I108),2),ROUND(MinBase2Day*(1+ExpressFuelSurcharge),2),ROUND(((1-(TwoDayDiscount_21_Up+FedExExrpessEarnedDiscount))*'2Day Base'!I108)*(1+ExpressFuelSurcharge),2)))*(1+FedEx_Markup),2)</f>
        <v>439.51</v>
      </c>
      <c r="J111" s="275">
        <f>ROUND((IF(MinBase2Day&gt;ROUND(((1-(TwoDayDiscount_21_Up+FedExExrpessEarnedDiscount))*'2Day Base'!J108),2),ROUND(MinBase2Day*(1+ExpressFuelSurcharge),2),ROUND(((1-(TwoDayDiscount_21_Up+FedExExrpessEarnedDiscount))*'2Day Base'!J108)*(1+ExpressFuelSurcharge),2)))*(1+FedEx_Markup),2)</f>
        <v>439.51</v>
      </c>
      <c r="K111" s="275">
        <f>ROUND((IF(MinBase2Day&gt;ROUND(((1-(TwoDayDiscount_21_Up+FedExExrpessEarnedDiscount))*'2Day Base'!K108),2),ROUND(MinBase2Day*(1+ExpressFuelSurcharge),2),ROUND(((1-(TwoDayDiscount_21_Up+FedExExrpessEarnedDiscount))*'2Day Base'!K108)*(1+ExpressFuelSurcharge),2)))*(1+FedEx_Markup),2)</f>
        <v>449.08</v>
      </c>
      <c r="L111" s="275">
        <f>ROUND((IF(MinBase2Day&gt;ROUND(((1-(TwoDayDiscount_21_Up+FedExExrpessEarnedDiscount))*'2Day Base'!L108),2),ROUND(MinBase2Day*(1+ExpressFuelSurcharge),2),ROUND(((1-(TwoDayDiscount_21_Up+FedExExrpessEarnedDiscount))*'2Day Base'!L108)*(1+ExpressFuelSurcharge),2)))*(1+FedEx_Markup),2)</f>
        <v>449.08</v>
      </c>
    </row>
    <row r="112" ht="12.75" customHeight="1">
      <c r="A112" s="274">
        <v>107.0</v>
      </c>
      <c r="B112" s="275">
        <f>ROUND((IF(MinBase2Day&gt;ROUND(((1-(TwoDayDiscount_21_Up+FedExExrpessEarnedDiscount))*'2Day Base'!B109),2),ROUND(MinBase2Day*(1+ExpressFuelSurcharge),2),ROUND(((1-(TwoDayDiscount_21_Up+FedExExrpessEarnedDiscount))*'2Day Base'!B109)*(1+ExpressFuelSurcharge),2)))*(1+FedEx_Markup),2)</f>
        <v>97.06</v>
      </c>
      <c r="C112" s="275">
        <f>ROUND((IF(MinBase2Day&gt;ROUND(((1-(TwoDayDiscount_21_Up+FedExExrpessEarnedDiscount))*'2Day Base'!C109),2),ROUND(MinBase2Day*(1+ExpressFuelSurcharge),2),ROUND(((1-(TwoDayDiscount_21_Up+FedExExrpessEarnedDiscount))*'2Day Base'!C109)*(1+ExpressFuelSurcharge),2)))*(1+FedEx_Markup),2)</f>
        <v>121.46</v>
      </c>
      <c r="D112" s="275">
        <f>ROUND((IF(MinBase2Day&gt;ROUND(((1-(TwoDayDiscount_21_Up+FedExExrpessEarnedDiscount))*'2Day Base'!D109),2),ROUND(MinBase2Day*(1+ExpressFuelSurcharge),2),ROUND(((1-(TwoDayDiscount_21_Up+FedExExrpessEarnedDiscount))*'2Day Base'!D109)*(1+ExpressFuelSurcharge),2)))*(1+FedEx_Markup),2)</f>
        <v>156.53</v>
      </c>
      <c r="E112" s="275">
        <f>ROUND((IF(MinBase2Day&gt;ROUND(((1-(TwoDayDiscount_21_Up+FedExExrpessEarnedDiscount))*'2Day Base'!E109),2),ROUND(MinBase2Day*(1+ExpressFuelSurcharge),2),ROUND(((1-(TwoDayDiscount_21_Up+FedExExrpessEarnedDiscount))*'2Day Base'!E109)*(1+ExpressFuelSurcharge),2)))*(1+FedEx_Markup),2)</f>
        <v>232.75</v>
      </c>
      <c r="F112" s="275">
        <f>ROUND((IF(MinBase2Day&gt;ROUND(((1-(TwoDayDiscount_21_Up+FedExExrpessEarnedDiscount))*'2Day Base'!F109),2),ROUND(MinBase2Day*(1+ExpressFuelSurcharge),2),ROUND(((1-(TwoDayDiscount_21_Up+FedExExrpessEarnedDiscount))*'2Day Base'!F109)*(1+ExpressFuelSurcharge),2)))*(1+FedEx_Markup),2)</f>
        <v>369.46</v>
      </c>
      <c r="G112" s="275">
        <f>ROUND((IF(MinBase2Day&gt;ROUND(((1-(TwoDayDiscount_21_Up+FedExExrpessEarnedDiscount))*'2Day Base'!G109),2),ROUND(MinBase2Day*(1+ExpressFuelSurcharge),2),ROUND(((1-(TwoDayDiscount_21_Up+FedExExrpessEarnedDiscount))*'2Day Base'!G109)*(1+ExpressFuelSurcharge),2)))*(1+FedEx_Markup),2)</f>
        <v>421.81</v>
      </c>
      <c r="H112" s="275">
        <f>ROUND((IF(MinBase2Day&gt;ROUND(((1-(TwoDayDiscount_21_Up+FedExExrpessEarnedDiscount))*'2Day Base'!H109),2),ROUND(MinBase2Day*(1+ExpressFuelSurcharge),2),ROUND(((1-(TwoDayDiscount_21_Up+FedExExrpessEarnedDiscount))*'2Day Base'!H109)*(1+ExpressFuelSurcharge),2)))*(1+FedEx_Markup),2)</f>
        <v>434.5</v>
      </c>
      <c r="I112" s="275">
        <f>ROUND((IF(MinBase2Day&gt;ROUND(((1-(TwoDayDiscount_21_Up+FedExExrpessEarnedDiscount))*'2Day Base'!I109),2),ROUND(MinBase2Day*(1+ExpressFuelSurcharge),2),ROUND(((1-(TwoDayDiscount_21_Up+FedExExrpessEarnedDiscount))*'2Day Base'!I109)*(1+ExpressFuelSurcharge),2)))*(1+FedEx_Markup),2)</f>
        <v>443.66</v>
      </c>
      <c r="J112" s="275">
        <f>ROUND((IF(MinBase2Day&gt;ROUND(((1-(TwoDayDiscount_21_Up+FedExExrpessEarnedDiscount))*'2Day Base'!J109),2),ROUND(MinBase2Day*(1+ExpressFuelSurcharge),2),ROUND(((1-(TwoDayDiscount_21_Up+FedExExrpessEarnedDiscount))*'2Day Base'!J109)*(1+ExpressFuelSurcharge),2)))*(1+FedEx_Markup),2)</f>
        <v>443.66</v>
      </c>
      <c r="K112" s="275">
        <f>ROUND((IF(MinBase2Day&gt;ROUND(((1-(TwoDayDiscount_21_Up+FedExExrpessEarnedDiscount))*'2Day Base'!K109),2),ROUND(MinBase2Day*(1+ExpressFuelSurcharge),2),ROUND(((1-(TwoDayDiscount_21_Up+FedExExrpessEarnedDiscount))*'2Day Base'!K109)*(1+ExpressFuelSurcharge),2)))*(1+FedEx_Markup),2)</f>
        <v>453.31</v>
      </c>
      <c r="L112" s="275">
        <f>ROUND((IF(MinBase2Day&gt;ROUND(((1-(TwoDayDiscount_21_Up+FedExExrpessEarnedDiscount))*'2Day Base'!L109),2),ROUND(MinBase2Day*(1+ExpressFuelSurcharge),2),ROUND(((1-(TwoDayDiscount_21_Up+FedExExrpessEarnedDiscount))*'2Day Base'!L109)*(1+ExpressFuelSurcharge),2)))*(1+FedEx_Markup),2)</f>
        <v>453.31</v>
      </c>
    </row>
    <row r="113" ht="12.75" customHeight="1">
      <c r="A113" s="274">
        <v>108.0</v>
      </c>
      <c r="B113" s="275">
        <f>ROUND((IF(MinBase2Day&gt;ROUND(((1-(TwoDayDiscount_21_Up+FedExExrpessEarnedDiscount))*'2Day Base'!B110),2),ROUND(MinBase2Day*(1+ExpressFuelSurcharge),2),ROUND(((1-(TwoDayDiscount_21_Up+FedExExrpessEarnedDiscount))*'2Day Base'!B110)*(1+ExpressFuelSurcharge),2)))*(1+FedEx_Markup),2)</f>
        <v>97.97</v>
      </c>
      <c r="C113" s="275">
        <f>ROUND((IF(MinBase2Day&gt;ROUND(((1-(TwoDayDiscount_21_Up+FedExExrpessEarnedDiscount))*'2Day Base'!C110),2),ROUND(MinBase2Day*(1+ExpressFuelSurcharge),2),ROUND(((1-(TwoDayDiscount_21_Up+FedExExrpessEarnedDiscount))*'2Day Base'!C110)*(1+ExpressFuelSurcharge),2)))*(1+FedEx_Markup),2)</f>
        <v>122.59</v>
      </c>
      <c r="D113" s="275">
        <f>ROUND((IF(MinBase2Day&gt;ROUND(((1-(TwoDayDiscount_21_Up+FedExExrpessEarnedDiscount))*'2Day Base'!D110),2),ROUND(MinBase2Day*(1+ExpressFuelSurcharge),2),ROUND(((1-(TwoDayDiscount_21_Up+FedExExrpessEarnedDiscount))*'2Day Base'!D110)*(1+ExpressFuelSurcharge),2)))*(1+FedEx_Markup),2)</f>
        <v>157.99</v>
      </c>
      <c r="E113" s="275">
        <f>ROUND((IF(MinBase2Day&gt;ROUND(((1-(TwoDayDiscount_21_Up+FedExExrpessEarnedDiscount))*'2Day Base'!E110),2),ROUND(MinBase2Day*(1+ExpressFuelSurcharge),2),ROUND(((1-(TwoDayDiscount_21_Up+FedExExrpessEarnedDiscount))*'2Day Base'!E110)*(1+ExpressFuelSurcharge),2)))*(1+FedEx_Markup),2)</f>
        <v>234.93</v>
      </c>
      <c r="F113" s="275">
        <f>ROUND((IF(MinBase2Day&gt;ROUND(((1-(TwoDayDiscount_21_Up+FedExExrpessEarnedDiscount))*'2Day Base'!F110),2),ROUND(MinBase2Day*(1+ExpressFuelSurcharge),2),ROUND(((1-(TwoDayDiscount_21_Up+FedExExrpessEarnedDiscount))*'2Day Base'!F110)*(1+ExpressFuelSurcharge),2)))*(1+FedEx_Markup),2)</f>
        <v>372.91</v>
      </c>
      <c r="G113" s="275">
        <f>ROUND((IF(MinBase2Day&gt;ROUND(((1-(TwoDayDiscount_21_Up+FedExExrpessEarnedDiscount))*'2Day Base'!G110),2),ROUND(MinBase2Day*(1+ExpressFuelSurcharge),2),ROUND(((1-(TwoDayDiscount_21_Up+FedExExrpessEarnedDiscount))*'2Day Base'!G110)*(1+ExpressFuelSurcharge),2)))*(1+FedEx_Markup),2)</f>
        <v>425.74</v>
      </c>
      <c r="H113" s="275">
        <f>ROUND((IF(MinBase2Day&gt;ROUND(((1-(TwoDayDiscount_21_Up+FedExExrpessEarnedDiscount))*'2Day Base'!H110),2),ROUND(MinBase2Day*(1+ExpressFuelSurcharge),2),ROUND(((1-(TwoDayDiscount_21_Up+FedExExrpessEarnedDiscount))*'2Day Base'!H110)*(1+ExpressFuelSurcharge),2)))*(1+FedEx_Markup),2)</f>
        <v>438.56</v>
      </c>
      <c r="I113" s="275">
        <f>ROUND((IF(MinBase2Day&gt;ROUND(((1-(TwoDayDiscount_21_Up+FedExExrpessEarnedDiscount))*'2Day Base'!I110),2),ROUND(MinBase2Day*(1+ExpressFuelSurcharge),2),ROUND(((1-(TwoDayDiscount_21_Up+FedExExrpessEarnedDiscount))*'2Day Base'!I110)*(1+ExpressFuelSurcharge),2)))*(1+FedEx_Markup),2)</f>
        <v>447.8</v>
      </c>
      <c r="J113" s="275">
        <f>ROUND((IF(MinBase2Day&gt;ROUND(((1-(TwoDayDiscount_21_Up+FedExExrpessEarnedDiscount))*'2Day Base'!J110),2),ROUND(MinBase2Day*(1+ExpressFuelSurcharge),2),ROUND(((1-(TwoDayDiscount_21_Up+FedExExrpessEarnedDiscount))*'2Day Base'!J110)*(1+ExpressFuelSurcharge),2)))*(1+FedEx_Markup),2)</f>
        <v>447.8</v>
      </c>
      <c r="K113" s="275">
        <f>ROUND((IF(MinBase2Day&gt;ROUND(((1-(TwoDayDiscount_21_Up+FedExExrpessEarnedDiscount))*'2Day Base'!K110),2),ROUND(MinBase2Day*(1+ExpressFuelSurcharge),2),ROUND(((1-(TwoDayDiscount_21_Up+FedExExrpessEarnedDiscount))*'2Day Base'!K110)*(1+ExpressFuelSurcharge),2)))*(1+FedEx_Markup),2)</f>
        <v>457.55</v>
      </c>
      <c r="L113" s="275">
        <f>ROUND((IF(MinBase2Day&gt;ROUND(((1-(TwoDayDiscount_21_Up+FedExExrpessEarnedDiscount))*'2Day Base'!L110),2),ROUND(MinBase2Day*(1+ExpressFuelSurcharge),2),ROUND(((1-(TwoDayDiscount_21_Up+FedExExrpessEarnedDiscount))*'2Day Base'!L110)*(1+ExpressFuelSurcharge),2)))*(1+FedEx_Markup),2)</f>
        <v>457.55</v>
      </c>
    </row>
    <row r="114" ht="12.75" customHeight="1">
      <c r="A114" s="274">
        <v>109.0</v>
      </c>
      <c r="B114" s="275">
        <f>ROUND((IF(MinBase2Day&gt;ROUND(((1-(TwoDayDiscount_21_Up+FedExExrpessEarnedDiscount))*'2Day Base'!B111),2),ROUND(MinBase2Day*(1+ExpressFuelSurcharge),2),ROUND(((1-(TwoDayDiscount_21_Up+FedExExrpessEarnedDiscount))*'2Day Base'!B111)*(1+ExpressFuelSurcharge),2)))*(1+FedEx_Markup),2)</f>
        <v>98.88</v>
      </c>
      <c r="C114" s="275">
        <f>ROUND((IF(MinBase2Day&gt;ROUND(((1-(TwoDayDiscount_21_Up+FedExExrpessEarnedDiscount))*'2Day Base'!C111),2),ROUND(MinBase2Day*(1+ExpressFuelSurcharge),2),ROUND(((1-(TwoDayDiscount_21_Up+FedExExrpessEarnedDiscount))*'2Day Base'!C111)*(1+ExpressFuelSurcharge),2)))*(1+FedEx_Markup),2)</f>
        <v>123.73</v>
      </c>
      <c r="D114" s="275">
        <f>ROUND((IF(MinBase2Day&gt;ROUND(((1-(TwoDayDiscount_21_Up+FedExExrpessEarnedDiscount))*'2Day Base'!D111),2),ROUND(MinBase2Day*(1+ExpressFuelSurcharge),2),ROUND(((1-(TwoDayDiscount_21_Up+FedExExrpessEarnedDiscount))*'2Day Base'!D111)*(1+ExpressFuelSurcharge),2)))*(1+FedEx_Markup),2)</f>
        <v>159.45</v>
      </c>
      <c r="E114" s="275">
        <f>ROUND((IF(MinBase2Day&gt;ROUND(((1-(TwoDayDiscount_21_Up+FedExExrpessEarnedDiscount))*'2Day Base'!E111),2),ROUND(MinBase2Day*(1+ExpressFuelSurcharge),2),ROUND(((1-(TwoDayDiscount_21_Up+FedExExrpessEarnedDiscount))*'2Day Base'!E111)*(1+ExpressFuelSurcharge),2)))*(1+FedEx_Markup),2)</f>
        <v>237.11</v>
      </c>
      <c r="F114" s="275">
        <f>ROUND((IF(MinBase2Day&gt;ROUND(((1-(TwoDayDiscount_21_Up+FedExExrpessEarnedDiscount))*'2Day Base'!F111),2),ROUND(MinBase2Day*(1+ExpressFuelSurcharge),2),ROUND(((1-(TwoDayDiscount_21_Up+FedExExrpessEarnedDiscount))*'2Day Base'!F111)*(1+ExpressFuelSurcharge),2)))*(1+FedEx_Markup),2)</f>
        <v>376.36</v>
      </c>
      <c r="G114" s="275">
        <f>ROUND((IF(MinBase2Day&gt;ROUND(((1-(TwoDayDiscount_21_Up+FedExExrpessEarnedDiscount))*'2Day Base'!G111),2),ROUND(MinBase2Day*(1+ExpressFuelSurcharge),2),ROUND(((1-(TwoDayDiscount_21_Up+FedExExrpessEarnedDiscount))*'2Day Base'!G111)*(1+ExpressFuelSurcharge),2)))*(1+FedEx_Markup),2)</f>
        <v>429.69</v>
      </c>
      <c r="H114" s="275">
        <f>ROUND((IF(MinBase2Day&gt;ROUND(((1-(TwoDayDiscount_21_Up+FedExExrpessEarnedDiscount))*'2Day Base'!H111),2),ROUND(MinBase2Day*(1+ExpressFuelSurcharge),2),ROUND(((1-(TwoDayDiscount_21_Up+FedExExrpessEarnedDiscount))*'2Day Base'!H111)*(1+ExpressFuelSurcharge),2)))*(1+FedEx_Markup),2)</f>
        <v>442.64</v>
      </c>
      <c r="I114" s="275">
        <f>ROUND((IF(MinBase2Day&gt;ROUND(((1-(TwoDayDiscount_21_Up+FedExExrpessEarnedDiscount))*'2Day Base'!I111),2),ROUND(MinBase2Day*(1+ExpressFuelSurcharge),2),ROUND(((1-(TwoDayDiscount_21_Up+FedExExrpessEarnedDiscount))*'2Day Base'!I111)*(1+ExpressFuelSurcharge),2)))*(1+FedEx_Markup),2)</f>
        <v>451.95</v>
      </c>
      <c r="J114" s="275">
        <f>ROUND((IF(MinBase2Day&gt;ROUND(((1-(TwoDayDiscount_21_Up+FedExExrpessEarnedDiscount))*'2Day Base'!J111),2),ROUND(MinBase2Day*(1+ExpressFuelSurcharge),2),ROUND(((1-(TwoDayDiscount_21_Up+FedExExrpessEarnedDiscount))*'2Day Base'!J111)*(1+ExpressFuelSurcharge),2)))*(1+FedEx_Markup),2)</f>
        <v>451.95</v>
      </c>
      <c r="K114" s="275">
        <f>ROUND((IF(MinBase2Day&gt;ROUND(((1-(TwoDayDiscount_21_Up+FedExExrpessEarnedDiscount))*'2Day Base'!K111),2),ROUND(MinBase2Day*(1+ExpressFuelSurcharge),2),ROUND(((1-(TwoDayDiscount_21_Up+FedExExrpessEarnedDiscount))*'2Day Base'!K111)*(1+ExpressFuelSurcharge),2)))*(1+FedEx_Markup),2)</f>
        <v>461.78</v>
      </c>
      <c r="L114" s="275">
        <f>ROUND((IF(MinBase2Day&gt;ROUND(((1-(TwoDayDiscount_21_Up+FedExExrpessEarnedDiscount))*'2Day Base'!L111),2),ROUND(MinBase2Day*(1+ExpressFuelSurcharge),2),ROUND(((1-(TwoDayDiscount_21_Up+FedExExrpessEarnedDiscount))*'2Day Base'!L111)*(1+ExpressFuelSurcharge),2)))*(1+FedEx_Markup),2)</f>
        <v>461.78</v>
      </c>
    </row>
    <row r="115" ht="12.75" customHeight="1">
      <c r="A115" s="274">
        <v>110.0</v>
      </c>
      <c r="B115" s="275">
        <f>ROUND((IF(MinBase2Day&gt;ROUND(((1-(TwoDayDiscount_21_Up+FedExExrpessEarnedDiscount))*'2Day Base'!B112),2),ROUND(MinBase2Day*(1+ExpressFuelSurcharge),2),ROUND(((1-(TwoDayDiscount_21_Up+FedExExrpessEarnedDiscount))*'2Day Base'!B112)*(1+ExpressFuelSurcharge),2)))*(1+FedEx_Markup),2)</f>
        <v>99.79</v>
      </c>
      <c r="C115" s="275">
        <f>ROUND((IF(MinBase2Day&gt;ROUND(((1-(TwoDayDiscount_21_Up+FedExExrpessEarnedDiscount))*'2Day Base'!C112),2),ROUND(MinBase2Day*(1+ExpressFuelSurcharge),2),ROUND(((1-(TwoDayDiscount_21_Up+FedExExrpessEarnedDiscount))*'2Day Base'!C112)*(1+ExpressFuelSurcharge),2)))*(1+FedEx_Markup),2)</f>
        <v>124.87</v>
      </c>
      <c r="D115" s="275">
        <f>ROUND((IF(MinBase2Day&gt;ROUND(((1-(TwoDayDiscount_21_Up+FedExExrpessEarnedDiscount))*'2Day Base'!D112),2),ROUND(MinBase2Day*(1+ExpressFuelSurcharge),2),ROUND(((1-(TwoDayDiscount_21_Up+FedExExrpessEarnedDiscount))*'2Day Base'!D112)*(1+ExpressFuelSurcharge),2)))*(1+FedEx_Markup),2)</f>
        <v>160.91</v>
      </c>
      <c r="E115" s="275">
        <f>ROUND((IF(MinBase2Day&gt;ROUND(((1-(TwoDayDiscount_21_Up+FedExExrpessEarnedDiscount))*'2Day Base'!E112),2),ROUND(MinBase2Day*(1+ExpressFuelSurcharge),2),ROUND(((1-(TwoDayDiscount_21_Up+FedExExrpessEarnedDiscount))*'2Day Base'!E112)*(1+ExpressFuelSurcharge),2)))*(1+FedEx_Markup),2)</f>
        <v>239.28</v>
      </c>
      <c r="F115" s="275">
        <f>ROUND((IF(MinBase2Day&gt;ROUND(((1-(TwoDayDiscount_21_Up+FedExExrpessEarnedDiscount))*'2Day Base'!F112),2),ROUND(MinBase2Day*(1+ExpressFuelSurcharge),2),ROUND(((1-(TwoDayDiscount_21_Up+FedExExrpessEarnedDiscount))*'2Day Base'!F112)*(1+ExpressFuelSurcharge),2)))*(1+FedEx_Markup),2)</f>
        <v>379.82</v>
      </c>
      <c r="G115" s="275">
        <f>ROUND((IF(MinBase2Day&gt;ROUND(((1-(TwoDayDiscount_21_Up+FedExExrpessEarnedDiscount))*'2Day Base'!G112),2),ROUND(MinBase2Day*(1+ExpressFuelSurcharge),2),ROUND(((1-(TwoDayDiscount_21_Up+FedExExrpessEarnedDiscount))*'2Day Base'!G112)*(1+ExpressFuelSurcharge),2)))*(1+FedEx_Markup),2)</f>
        <v>433.63</v>
      </c>
      <c r="H115" s="275">
        <f>ROUND((IF(MinBase2Day&gt;ROUND(((1-(TwoDayDiscount_21_Up+FedExExrpessEarnedDiscount))*'2Day Base'!H112),2),ROUND(MinBase2Day*(1+ExpressFuelSurcharge),2),ROUND(((1-(TwoDayDiscount_21_Up+FedExExrpessEarnedDiscount))*'2Day Base'!H112)*(1+ExpressFuelSurcharge),2)))*(1+FedEx_Markup),2)</f>
        <v>446.69</v>
      </c>
      <c r="I115" s="275">
        <f>ROUND((IF(MinBase2Day&gt;ROUND(((1-(TwoDayDiscount_21_Up+FedExExrpessEarnedDiscount))*'2Day Base'!I112),2),ROUND(MinBase2Day*(1+ExpressFuelSurcharge),2),ROUND(((1-(TwoDayDiscount_21_Up+FedExExrpessEarnedDiscount))*'2Day Base'!I112)*(1+ExpressFuelSurcharge),2)))*(1+FedEx_Markup),2)</f>
        <v>456.09</v>
      </c>
      <c r="J115" s="275">
        <f>ROUND((IF(MinBase2Day&gt;ROUND(((1-(TwoDayDiscount_21_Up+FedExExrpessEarnedDiscount))*'2Day Base'!J112),2),ROUND(MinBase2Day*(1+ExpressFuelSurcharge),2),ROUND(((1-(TwoDayDiscount_21_Up+FedExExrpessEarnedDiscount))*'2Day Base'!J112)*(1+ExpressFuelSurcharge),2)))*(1+FedEx_Markup),2)</f>
        <v>456.09</v>
      </c>
      <c r="K115" s="275">
        <f>ROUND((IF(MinBase2Day&gt;ROUND(((1-(TwoDayDiscount_21_Up+FedExExrpessEarnedDiscount))*'2Day Base'!K112),2),ROUND(MinBase2Day*(1+ExpressFuelSurcharge),2),ROUND(((1-(TwoDayDiscount_21_Up+FedExExrpessEarnedDiscount))*'2Day Base'!K112)*(1+ExpressFuelSurcharge),2)))*(1+FedEx_Markup),2)</f>
        <v>466.03</v>
      </c>
      <c r="L115" s="275">
        <f>ROUND((IF(MinBase2Day&gt;ROUND(((1-(TwoDayDiscount_21_Up+FedExExrpessEarnedDiscount))*'2Day Base'!L112),2),ROUND(MinBase2Day*(1+ExpressFuelSurcharge),2),ROUND(((1-(TwoDayDiscount_21_Up+FedExExrpessEarnedDiscount))*'2Day Base'!L112)*(1+ExpressFuelSurcharge),2)))*(1+FedEx_Markup),2)</f>
        <v>466.03</v>
      </c>
    </row>
    <row r="116" ht="12.75" customHeight="1">
      <c r="A116" s="274">
        <v>111.0</v>
      </c>
      <c r="B116" s="275">
        <f>ROUND((IF(MinBase2Day&gt;ROUND(((1-(TwoDayDiscount_21_Up+FedExExrpessEarnedDiscount))*'2Day Base'!B113),2),ROUND(MinBase2Day*(1+ExpressFuelSurcharge),2),ROUND(((1-(TwoDayDiscount_21_Up+FedExExrpessEarnedDiscount))*'2Day Base'!B113)*(1+ExpressFuelSurcharge),2)))*(1+FedEx_Markup),2)</f>
        <v>100.69</v>
      </c>
      <c r="C116" s="275">
        <f>ROUND((IF(MinBase2Day&gt;ROUND(((1-(TwoDayDiscount_21_Up+FedExExrpessEarnedDiscount))*'2Day Base'!C113),2),ROUND(MinBase2Day*(1+ExpressFuelSurcharge),2),ROUND(((1-(TwoDayDiscount_21_Up+FedExExrpessEarnedDiscount))*'2Day Base'!C113)*(1+ExpressFuelSurcharge),2)))*(1+FedEx_Markup),2)</f>
        <v>125.99</v>
      </c>
      <c r="D116" s="275">
        <f>ROUND((IF(MinBase2Day&gt;ROUND(((1-(TwoDayDiscount_21_Up+FedExExrpessEarnedDiscount))*'2Day Base'!D113),2),ROUND(MinBase2Day*(1+ExpressFuelSurcharge),2),ROUND(((1-(TwoDayDiscount_21_Up+FedExExrpessEarnedDiscount))*'2Day Base'!D113)*(1+ExpressFuelSurcharge),2)))*(1+FedEx_Markup),2)</f>
        <v>162.38</v>
      </c>
      <c r="E116" s="275">
        <f>ROUND((IF(MinBase2Day&gt;ROUND(((1-(TwoDayDiscount_21_Up+FedExExrpessEarnedDiscount))*'2Day Base'!E113),2),ROUND(MinBase2Day*(1+ExpressFuelSurcharge),2),ROUND(((1-(TwoDayDiscount_21_Up+FedExExrpessEarnedDiscount))*'2Day Base'!E113)*(1+ExpressFuelSurcharge),2)))*(1+FedEx_Markup),2)</f>
        <v>241.45</v>
      </c>
      <c r="F116" s="275">
        <f>ROUND((IF(MinBase2Day&gt;ROUND(((1-(TwoDayDiscount_21_Up+FedExExrpessEarnedDiscount))*'2Day Base'!F113),2),ROUND(MinBase2Day*(1+ExpressFuelSurcharge),2),ROUND(((1-(TwoDayDiscount_21_Up+FedExExrpessEarnedDiscount))*'2Day Base'!F113)*(1+ExpressFuelSurcharge),2)))*(1+FedEx_Markup),2)</f>
        <v>383.27</v>
      </c>
      <c r="G116" s="275">
        <f>ROUND((IF(MinBase2Day&gt;ROUND(((1-(TwoDayDiscount_21_Up+FedExExrpessEarnedDiscount))*'2Day Base'!G113),2),ROUND(MinBase2Day*(1+ExpressFuelSurcharge),2),ROUND(((1-(TwoDayDiscount_21_Up+FedExExrpessEarnedDiscount))*'2Day Base'!G113)*(1+ExpressFuelSurcharge),2)))*(1+FedEx_Markup),2)</f>
        <v>437.58</v>
      </c>
      <c r="H116" s="275">
        <f>ROUND((IF(MinBase2Day&gt;ROUND(((1-(TwoDayDiscount_21_Up+FedExExrpessEarnedDiscount))*'2Day Base'!H113),2),ROUND(MinBase2Day*(1+ExpressFuelSurcharge),2),ROUND(((1-(TwoDayDiscount_21_Up+FedExExrpessEarnedDiscount))*'2Day Base'!H113)*(1+ExpressFuelSurcharge),2)))*(1+FedEx_Markup),2)</f>
        <v>450.75</v>
      </c>
      <c r="I116" s="275">
        <f>ROUND((IF(MinBase2Day&gt;ROUND(((1-(TwoDayDiscount_21_Up+FedExExrpessEarnedDiscount))*'2Day Base'!I113),2),ROUND(MinBase2Day*(1+ExpressFuelSurcharge),2),ROUND(((1-(TwoDayDiscount_21_Up+FedExExrpessEarnedDiscount))*'2Day Base'!I113)*(1+ExpressFuelSurcharge),2)))*(1+FedEx_Markup),2)</f>
        <v>460.24</v>
      </c>
      <c r="J116" s="275">
        <f>ROUND((IF(MinBase2Day&gt;ROUND(((1-(TwoDayDiscount_21_Up+FedExExrpessEarnedDiscount))*'2Day Base'!J113),2),ROUND(MinBase2Day*(1+ExpressFuelSurcharge),2),ROUND(((1-(TwoDayDiscount_21_Up+FedExExrpessEarnedDiscount))*'2Day Base'!J113)*(1+ExpressFuelSurcharge),2)))*(1+FedEx_Markup),2)</f>
        <v>460.24</v>
      </c>
      <c r="K116" s="275">
        <f>ROUND((IF(MinBase2Day&gt;ROUND(((1-(TwoDayDiscount_21_Up+FedExExrpessEarnedDiscount))*'2Day Base'!K113),2),ROUND(MinBase2Day*(1+ExpressFuelSurcharge),2),ROUND(((1-(TwoDayDiscount_21_Up+FedExExrpessEarnedDiscount))*'2Day Base'!K113)*(1+ExpressFuelSurcharge),2)))*(1+FedEx_Markup),2)</f>
        <v>470.26</v>
      </c>
      <c r="L116" s="275">
        <f>ROUND((IF(MinBase2Day&gt;ROUND(((1-(TwoDayDiscount_21_Up+FedExExrpessEarnedDiscount))*'2Day Base'!L113),2),ROUND(MinBase2Day*(1+ExpressFuelSurcharge),2),ROUND(((1-(TwoDayDiscount_21_Up+FedExExrpessEarnedDiscount))*'2Day Base'!L113)*(1+ExpressFuelSurcharge),2)))*(1+FedEx_Markup),2)</f>
        <v>470.26</v>
      </c>
    </row>
    <row r="117" ht="12.75" customHeight="1">
      <c r="A117" s="274">
        <v>112.0</v>
      </c>
      <c r="B117" s="275">
        <f>ROUND((IF(MinBase2Day&gt;ROUND(((1-(TwoDayDiscount_21_Up+FedExExrpessEarnedDiscount))*'2Day Base'!B114),2),ROUND(MinBase2Day*(1+ExpressFuelSurcharge),2),ROUND(((1-(TwoDayDiscount_21_Up+FedExExrpessEarnedDiscount))*'2Day Base'!B114)*(1+ExpressFuelSurcharge),2)))*(1+FedEx_Markup),2)</f>
        <v>101.6</v>
      </c>
      <c r="C117" s="275">
        <f>ROUND((IF(MinBase2Day&gt;ROUND(((1-(TwoDayDiscount_21_Up+FedExExrpessEarnedDiscount))*'2Day Base'!C114),2),ROUND(MinBase2Day*(1+ExpressFuelSurcharge),2),ROUND(((1-(TwoDayDiscount_21_Up+FedExExrpessEarnedDiscount))*'2Day Base'!C114)*(1+ExpressFuelSurcharge),2)))*(1+FedEx_Markup),2)</f>
        <v>127.13</v>
      </c>
      <c r="D117" s="275">
        <f>ROUND((IF(MinBase2Day&gt;ROUND(((1-(TwoDayDiscount_21_Up+FedExExrpessEarnedDiscount))*'2Day Base'!D114),2),ROUND(MinBase2Day*(1+ExpressFuelSurcharge),2),ROUND(((1-(TwoDayDiscount_21_Up+FedExExrpessEarnedDiscount))*'2Day Base'!D114)*(1+ExpressFuelSurcharge),2)))*(1+FedEx_Markup),2)</f>
        <v>163.84</v>
      </c>
      <c r="E117" s="275">
        <f>ROUND((IF(MinBase2Day&gt;ROUND(((1-(TwoDayDiscount_21_Up+FedExExrpessEarnedDiscount))*'2Day Base'!E114),2),ROUND(MinBase2Day*(1+ExpressFuelSurcharge),2),ROUND(((1-(TwoDayDiscount_21_Up+FedExExrpessEarnedDiscount))*'2Day Base'!E114)*(1+ExpressFuelSurcharge),2)))*(1+FedEx_Markup),2)</f>
        <v>243.63</v>
      </c>
      <c r="F117" s="275">
        <f>ROUND((IF(MinBase2Day&gt;ROUND(((1-(TwoDayDiscount_21_Up+FedExExrpessEarnedDiscount))*'2Day Base'!F114),2),ROUND(MinBase2Day*(1+ExpressFuelSurcharge),2),ROUND(((1-(TwoDayDiscount_21_Up+FedExExrpessEarnedDiscount))*'2Day Base'!F114)*(1+ExpressFuelSurcharge),2)))*(1+FedEx_Markup),2)</f>
        <v>386.72</v>
      </c>
      <c r="G117" s="275">
        <f>ROUND((IF(MinBase2Day&gt;ROUND(((1-(TwoDayDiscount_21_Up+FedExExrpessEarnedDiscount))*'2Day Base'!G114),2),ROUND(MinBase2Day*(1+ExpressFuelSurcharge),2),ROUND(((1-(TwoDayDiscount_21_Up+FedExExrpessEarnedDiscount))*'2Day Base'!G114)*(1+ExpressFuelSurcharge),2)))*(1+FedEx_Markup),2)</f>
        <v>441.51</v>
      </c>
      <c r="H117" s="275">
        <f>ROUND((IF(MinBase2Day&gt;ROUND(((1-(TwoDayDiscount_21_Up+FedExExrpessEarnedDiscount))*'2Day Base'!H114),2),ROUND(MinBase2Day*(1+ExpressFuelSurcharge),2),ROUND(((1-(TwoDayDiscount_21_Up+FedExExrpessEarnedDiscount))*'2Day Base'!H114)*(1+ExpressFuelSurcharge),2)))*(1+FedEx_Markup),2)</f>
        <v>454.81</v>
      </c>
      <c r="I117" s="275">
        <f>ROUND((IF(MinBase2Day&gt;ROUND(((1-(TwoDayDiscount_21_Up+FedExExrpessEarnedDiscount))*'2Day Base'!I114),2),ROUND(MinBase2Day*(1+ExpressFuelSurcharge),2),ROUND(((1-(TwoDayDiscount_21_Up+FedExExrpessEarnedDiscount))*'2Day Base'!I114)*(1+ExpressFuelSurcharge),2)))*(1+FedEx_Markup),2)</f>
        <v>464.38</v>
      </c>
      <c r="J117" s="275">
        <f>ROUND((IF(MinBase2Day&gt;ROUND(((1-(TwoDayDiscount_21_Up+FedExExrpessEarnedDiscount))*'2Day Base'!J114),2),ROUND(MinBase2Day*(1+ExpressFuelSurcharge),2),ROUND(((1-(TwoDayDiscount_21_Up+FedExExrpessEarnedDiscount))*'2Day Base'!J114)*(1+ExpressFuelSurcharge),2)))*(1+FedEx_Markup),2)</f>
        <v>464.38</v>
      </c>
      <c r="K117" s="275">
        <f>ROUND((IF(MinBase2Day&gt;ROUND(((1-(TwoDayDiscount_21_Up+FedExExrpessEarnedDiscount))*'2Day Base'!K114),2),ROUND(MinBase2Day*(1+ExpressFuelSurcharge),2),ROUND(((1-(TwoDayDiscount_21_Up+FedExExrpessEarnedDiscount))*'2Day Base'!K114)*(1+ExpressFuelSurcharge),2)))*(1+FedEx_Markup),2)</f>
        <v>474.49</v>
      </c>
      <c r="L117" s="275">
        <f>ROUND((IF(MinBase2Day&gt;ROUND(((1-(TwoDayDiscount_21_Up+FedExExrpessEarnedDiscount))*'2Day Base'!L114),2),ROUND(MinBase2Day*(1+ExpressFuelSurcharge),2),ROUND(((1-(TwoDayDiscount_21_Up+FedExExrpessEarnedDiscount))*'2Day Base'!L114)*(1+ExpressFuelSurcharge),2)))*(1+FedEx_Markup),2)</f>
        <v>474.49</v>
      </c>
    </row>
    <row r="118" ht="12.75" customHeight="1">
      <c r="A118" s="274">
        <v>113.0</v>
      </c>
      <c r="B118" s="275">
        <f>ROUND((IF(MinBase2Day&gt;ROUND(((1-(TwoDayDiscount_21_Up+FedExExrpessEarnedDiscount))*'2Day Base'!B115),2),ROUND(MinBase2Day*(1+ExpressFuelSurcharge),2),ROUND(((1-(TwoDayDiscount_21_Up+FedExExrpessEarnedDiscount))*'2Day Base'!B115)*(1+ExpressFuelSurcharge),2)))*(1+FedEx_Markup),2)</f>
        <v>102.51</v>
      </c>
      <c r="C118" s="275">
        <f>ROUND((IF(MinBase2Day&gt;ROUND(((1-(TwoDayDiscount_21_Up+FedExExrpessEarnedDiscount))*'2Day Base'!C115),2),ROUND(MinBase2Day*(1+ExpressFuelSurcharge),2),ROUND(((1-(TwoDayDiscount_21_Up+FedExExrpessEarnedDiscount))*'2Day Base'!C115)*(1+ExpressFuelSurcharge),2)))*(1+FedEx_Markup),2)</f>
        <v>128.27</v>
      </c>
      <c r="D118" s="275">
        <f>ROUND((IF(MinBase2Day&gt;ROUND(((1-(TwoDayDiscount_21_Up+FedExExrpessEarnedDiscount))*'2Day Base'!D115),2),ROUND(MinBase2Day*(1+ExpressFuelSurcharge),2),ROUND(((1-(TwoDayDiscount_21_Up+FedExExrpessEarnedDiscount))*'2Day Base'!D115)*(1+ExpressFuelSurcharge),2)))*(1+FedEx_Markup),2)</f>
        <v>165.3</v>
      </c>
      <c r="E118" s="275">
        <f>ROUND((IF(MinBase2Day&gt;ROUND(((1-(TwoDayDiscount_21_Up+FedExExrpessEarnedDiscount))*'2Day Base'!E115),2),ROUND(MinBase2Day*(1+ExpressFuelSurcharge),2),ROUND(((1-(TwoDayDiscount_21_Up+FedExExrpessEarnedDiscount))*'2Day Base'!E115)*(1+ExpressFuelSurcharge),2)))*(1+FedEx_Markup),2)</f>
        <v>245.8</v>
      </c>
      <c r="F118" s="275">
        <f>ROUND((IF(MinBase2Day&gt;ROUND(((1-(TwoDayDiscount_21_Up+FedExExrpessEarnedDiscount))*'2Day Base'!F115),2),ROUND(MinBase2Day*(1+ExpressFuelSurcharge),2),ROUND(((1-(TwoDayDiscount_21_Up+FedExExrpessEarnedDiscount))*'2Day Base'!F115)*(1+ExpressFuelSurcharge),2)))*(1+FedEx_Markup),2)</f>
        <v>390.17</v>
      </c>
      <c r="G118" s="275">
        <f>ROUND((IF(MinBase2Day&gt;ROUND(((1-(TwoDayDiscount_21_Up+FedExExrpessEarnedDiscount))*'2Day Base'!G115),2),ROUND(MinBase2Day*(1+ExpressFuelSurcharge),2),ROUND(((1-(TwoDayDiscount_21_Up+FedExExrpessEarnedDiscount))*'2Day Base'!G115)*(1+ExpressFuelSurcharge),2)))*(1+FedEx_Markup),2)</f>
        <v>445.45</v>
      </c>
      <c r="H118" s="275">
        <f>ROUND((IF(MinBase2Day&gt;ROUND(((1-(TwoDayDiscount_21_Up+FedExExrpessEarnedDiscount))*'2Day Base'!H115),2),ROUND(MinBase2Day*(1+ExpressFuelSurcharge),2),ROUND(((1-(TwoDayDiscount_21_Up+FedExExrpessEarnedDiscount))*'2Day Base'!H115)*(1+ExpressFuelSurcharge),2)))*(1+FedEx_Markup),2)</f>
        <v>458.87</v>
      </c>
      <c r="I118" s="275">
        <f>ROUND((IF(MinBase2Day&gt;ROUND(((1-(TwoDayDiscount_21_Up+FedExExrpessEarnedDiscount))*'2Day Base'!I115),2),ROUND(MinBase2Day*(1+ExpressFuelSurcharge),2),ROUND(((1-(TwoDayDiscount_21_Up+FedExExrpessEarnedDiscount))*'2Day Base'!I115)*(1+ExpressFuelSurcharge),2)))*(1+FedEx_Markup),2)</f>
        <v>468.53</v>
      </c>
      <c r="J118" s="275">
        <f>ROUND((IF(MinBase2Day&gt;ROUND(((1-(TwoDayDiscount_21_Up+FedExExrpessEarnedDiscount))*'2Day Base'!J115),2),ROUND(MinBase2Day*(1+ExpressFuelSurcharge),2),ROUND(((1-(TwoDayDiscount_21_Up+FedExExrpessEarnedDiscount))*'2Day Base'!J115)*(1+ExpressFuelSurcharge),2)))*(1+FedEx_Markup),2)</f>
        <v>468.53</v>
      </c>
      <c r="K118" s="275">
        <f>ROUND((IF(MinBase2Day&gt;ROUND(((1-(TwoDayDiscount_21_Up+FedExExrpessEarnedDiscount))*'2Day Base'!K115),2),ROUND(MinBase2Day*(1+ExpressFuelSurcharge),2),ROUND(((1-(TwoDayDiscount_21_Up+FedExExrpessEarnedDiscount))*'2Day Base'!K115)*(1+ExpressFuelSurcharge),2)))*(1+FedEx_Markup),2)</f>
        <v>478.73</v>
      </c>
      <c r="L118" s="275">
        <f>ROUND((IF(MinBase2Day&gt;ROUND(((1-(TwoDayDiscount_21_Up+FedExExrpessEarnedDiscount))*'2Day Base'!L115),2),ROUND(MinBase2Day*(1+ExpressFuelSurcharge),2),ROUND(((1-(TwoDayDiscount_21_Up+FedExExrpessEarnedDiscount))*'2Day Base'!L115)*(1+ExpressFuelSurcharge),2)))*(1+FedEx_Markup),2)</f>
        <v>478.73</v>
      </c>
    </row>
    <row r="119" ht="12.75" customHeight="1">
      <c r="A119" s="274">
        <v>114.0</v>
      </c>
      <c r="B119" s="275">
        <f>ROUND((IF(MinBase2Day&gt;ROUND(((1-(TwoDayDiscount_21_Up+FedExExrpessEarnedDiscount))*'2Day Base'!B116),2),ROUND(MinBase2Day*(1+ExpressFuelSurcharge),2),ROUND(((1-(TwoDayDiscount_21_Up+FedExExrpessEarnedDiscount))*'2Day Base'!B116)*(1+ExpressFuelSurcharge),2)))*(1+FedEx_Markup),2)</f>
        <v>103.42</v>
      </c>
      <c r="C119" s="275">
        <f>ROUND((IF(MinBase2Day&gt;ROUND(((1-(TwoDayDiscount_21_Up+FedExExrpessEarnedDiscount))*'2Day Base'!C116),2),ROUND(MinBase2Day*(1+ExpressFuelSurcharge),2),ROUND(((1-(TwoDayDiscount_21_Up+FedExExrpessEarnedDiscount))*'2Day Base'!C116)*(1+ExpressFuelSurcharge),2)))*(1+FedEx_Markup),2)</f>
        <v>129.41</v>
      </c>
      <c r="D119" s="275">
        <f>ROUND((IF(MinBase2Day&gt;ROUND(((1-(TwoDayDiscount_21_Up+FedExExrpessEarnedDiscount))*'2Day Base'!D116),2),ROUND(MinBase2Day*(1+ExpressFuelSurcharge),2),ROUND(((1-(TwoDayDiscount_21_Up+FedExExrpessEarnedDiscount))*'2Day Base'!D116)*(1+ExpressFuelSurcharge),2)))*(1+FedEx_Markup),2)</f>
        <v>166.76</v>
      </c>
      <c r="E119" s="275">
        <f>ROUND((IF(MinBase2Day&gt;ROUND(((1-(TwoDayDiscount_21_Up+FedExExrpessEarnedDiscount))*'2Day Base'!E116),2),ROUND(MinBase2Day*(1+ExpressFuelSurcharge),2),ROUND(((1-(TwoDayDiscount_21_Up+FedExExrpessEarnedDiscount))*'2Day Base'!E116)*(1+ExpressFuelSurcharge),2)))*(1+FedEx_Markup),2)</f>
        <v>247.99</v>
      </c>
      <c r="F119" s="275">
        <f>ROUND((IF(MinBase2Day&gt;ROUND(((1-(TwoDayDiscount_21_Up+FedExExrpessEarnedDiscount))*'2Day Base'!F116),2),ROUND(MinBase2Day*(1+ExpressFuelSurcharge),2),ROUND(((1-(TwoDayDiscount_21_Up+FedExExrpessEarnedDiscount))*'2Day Base'!F116)*(1+ExpressFuelSurcharge),2)))*(1+FedEx_Markup),2)</f>
        <v>393.63</v>
      </c>
      <c r="G119" s="275">
        <f>ROUND((IF(MinBase2Day&gt;ROUND(((1-(TwoDayDiscount_21_Up+FedExExrpessEarnedDiscount))*'2Day Base'!G116),2),ROUND(MinBase2Day*(1+ExpressFuelSurcharge),2),ROUND(((1-(TwoDayDiscount_21_Up+FedExExrpessEarnedDiscount))*'2Day Base'!G116)*(1+ExpressFuelSurcharge),2)))*(1+FedEx_Markup),2)</f>
        <v>449.4</v>
      </c>
      <c r="H119" s="275">
        <f>ROUND((IF(MinBase2Day&gt;ROUND(((1-(TwoDayDiscount_21_Up+FedExExrpessEarnedDiscount))*'2Day Base'!H116),2),ROUND(MinBase2Day*(1+ExpressFuelSurcharge),2),ROUND(((1-(TwoDayDiscount_21_Up+FedExExrpessEarnedDiscount))*'2Day Base'!H116)*(1+ExpressFuelSurcharge),2)))*(1+FedEx_Markup),2)</f>
        <v>462.93</v>
      </c>
      <c r="I119" s="275">
        <f>ROUND((IF(MinBase2Day&gt;ROUND(((1-(TwoDayDiscount_21_Up+FedExExrpessEarnedDiscount))*'2Day Base'!I116),2),ROUND(MinBase2Day*(1+ExpressFuelSurcharge),2),ROUND(((1-(TwoDayDiscount_21_Up+FedExExrpessEarnedDiscount))*'2Day Base'!I116)*(1+ExpressFuelSurcharge),2)))*(1+FedEx_Markup),2)</f>
        <v>472.68</v>
      </c>
      <c r="J119" s="275">
        <f>ROUND((IF(MinBase2Day&gt;ROUND(((1-(TwoDayDiscount_21_Up+FedExExrpessEarnedDiscount))*'2Day Base'!J116),2),ROUND(MinBase2Day*(1+ExpressFuelSurcharge),2),ROUND(((1-(TwoDayDiscount_21_Up+FedExExrpessEarnedDiscount))*'2Day Base'!J116)*(1+ExpressFuelSurcharge),2)))*(1+FedEx_Markup),2)</f>
        <v>472.68</v>
      </c>
      <c r="K119" s="275">
        <f>ROUND((IF(MinBase2Day&gt;ROUND(((1-(TwoDayDiscount_21_Up+FedExExrpessEarnedDiscount))*'2Day Base'!K116),2),ROUND(MinBase2Day*(1+ExpressFuelSurcharge),2),ROUND(((1-(TwoDayDiscount_21_Up+FedExExrpessEarnedDiscount))*'2Day Base'!K116)*(1+ExpressFuelSurcharge),2)))*(1+FedEx_Markup),2)</f>
        <v>482.97</v>
      </c>
      <c r="L119" s="275">
        <f>ROUND((IF(MinBase2Day&gt;ROUND(((1-(TwoDayDiscount_21_Up+FedExExrpessEarnedDiscount))*'2Day Base'!L116),2),ROUND(MinBase2Day*(1+ExpressFuelSurcharge),2),ROUND(((1-(TwoDayDiscount_21_Up+FedExExrpessEarnedDiscount))*'2Day Base'!L116)*(1+ExpressFuelSurcharge),2)))*(1+FedEx_Markup),2)</f>
        <v>482.97</v>
      </c>
    </row>
    <row r="120" ht="12.75" customHeight="1">
      <c r="A120" s="274">
        <v>115.0</v>
      </c>
      <c r="B120" s="275">
        <f>ROUND((IF(MinBase2Day&gt;ROUND(((1-(TwoDayDiscount_21_Up+FedExExrpessEarnedDiscount))*'2Day Base'!B117),2),ROUND(MinBase2Day*(1+ExpressFuelSurcharge),2),ROUND(((1-(TwoDayDiscount_21_Up+FedExExrpessEarnedDiscount))*'2Day Base'!B117)*(1+ExpressFuelSurcharge),2)))*(1+FedEx_Markup),2)</f>
        <v>104.33</v>
      </c>
      <c r="C120" s="275">
        <f>ROUND((IF(MinBase2Day&gt;ROUND(((1-(TwoDayDiscount_21_Up+FedExExrpessEarnedDiscount))*'2Day Base'!C117),2),ROUND(MinBase2Day*(1+ExpressFuelSurcharge),2),ROUND(((1-(TwoDayDiscount_21_Up+FedExExrpessEarnedDiscount))*'2Day Base'!C117)*(1+ExpressFuelSurcharge),2)))*(1+FedEx_Markup),2)</f>
        <v>130.54</v>
      </c>
      <c r="D120" s="275">
        <f>ROUND((IF(MinBase2Day&gt;ROUND(((1-(TwoDayDiscount_21_Up+FedExExrpessEarnedDiscount))*'2Day Base'!D117),2),ROUND(MinBase2Day*(1+ExpressFuelSurcharge),2),ROUND(((1-(TwoDayDiscount_21_Up+FedExExrpessEarnedDiscount))*'2Day Base'!D117)*(1+ExpressFuelSurcharge),2)))*(1+FedEx_Markup),2)</f>
        <v>168.22</v>
      </c>
      <c r="E120" s="275">
        <f>ROUND((IF(MinBase2Day&gt;ROUND(((1-(TwoDayDiscount_21_Up+FedExExrpessEarnedDiscount))*'2Day Base'!E117),2),ROUND(MinBase2Day*(1+ExpressFuelSurcharge),2),ROUND(((1-(TwoDayDiscount_21_Up+FedExExrpessEarnedDiscount))*'2Day Base'!E117)*(1+ExpressFuelSurcharge),2)))*(1+FedEx_Markup),2)</f>
        <v>250.16</v>
      </c>
      <c r="F120" s="275">
        <f>ROUND((IF(MinBase2Day&gt;ROUND(((1-(TwoDayDiscount_21_Up+FedExExrpessEarnedDiscount))*'2Day Base'!F117),2),ROUND(MinBase2Day*(1+ExpressFuelSurcharge),2),ROUND(((1-(TwoDayDiscount_21_Up+FedExExrpessEarnedDiscount))*'2Day Base'!F117)*(1+ExpressFuelSurcharge),2)))*(1+FedEx_Markup),2)</f>
        <v>397.08</v>
      </c>
      <c r="G120" s="275">
        <f>ROUND((IF(MinBase2Day&gt;ROUND(((1-(TwoDayDiscount_21_Up+FedExExrpessEarnedDiscount))*'2Day Base'!G117),2),ROUND(MinBase2Day*(1+ExpressFuelSurcharge),2),ROUND(((1-(TwoDayDiscount_21_Up+FedExExrpessEarnedDiscount))*'2Day Base'!G117)*(1+ExpressFuelSurcharge),2)))*(1+FedEx_Markup),2)</f>
        <v>453.34</v>
      </c>
      <c r="H120" s="275">
        <f>ROUND((IF(MinBase2Day&gt;ROUND(((1-(TwoDayDiscount_21_Up+FedExExrpessEarnedDiscount))*'2Day Base'!H117),2),ROUND(MinBase2Day*(1+ExpressFuelSurcharge),2),ROUND(((1-(TwoDayDiscount_21_Up+FedExExrpessEarnedDiscount))*'2Day Base'!H117)*(1+ExpressFuelSurcharge),2)))*(1+FedEx_Markup),2)</f>
        <v>466.99</v>
      </c>
      <c r="I120" s="275">
        <f>ROUND((IF(MinBase2Day&gt;ROUND(((1-(TwoDayDiscount_21_Up+FedExExrpessEarnedDiscount))*'2Day Base'!I117),2),ROUND(MinBase2Day*(1+ExpressFuelSurcharge),2),ROUND(((1-(TwoDayDiscount_21_Up+FedExExrpessEarnedDiscount))*'2Day Base'!I117)*(1+ExpressFuelSurcharge),2)))*(1+FedEx_Markup),2)</f>
        <v>476.82</v>
      </c>
      <c r="J120" s="275">
        <f>ROUND((IF(MinBase2Day&gt;ROUND(((1-(TwoDayDiscount_21_Up+FedExExrpessEarnedDiscount))*'2Day Base'!J117),2),ROUND(MinBase2Day*(1+ExpressFuelSurcharge),2),ROUND(((1-(TwoDayDiscount_21_Up+FedExExrpessEarnedDiscount))*'2Day Base'!J117)*(1+ExpressFuelSurcharge),2)))*(1+FedEx_Markup),2)</f>
        <v>476.82</v>
      </c>
      <c r="K120" s="275">
        <f>ROUND((IF(MinBase2Day&gt;ROUND(((1-(TwoDayDiscount_21_Up+FedExExrpessEarnedDiscount))*'2Day Base'!K117),2),ROUND(MinBase2Day*(1+ExpressFuelSurcharge),2),ROUND(((1-(TwoDayDiscount_21_Up+FedExExrpessEarnedDiscount))*'2Day Base'!K117)*(1+ExpressFuelSurcharge),2)))*(1+FedEx_Markup),2)</f>
        <v>487.21</v>
      </c>
      <c r="L120" s="275">
        <f>ROUND((IF(MinBase2Day&gt;ROUND(((1-(TwoDayDiscount_21_Up+FedExExrpessEarnedDiscount))*'2Day Base'!L117),2),ROUND(MinBase2Day*(1+ExpressFuelSurcharge),2),ROUND(((1-(TwoDayDiscount_21_Up+FedExExrpessEarnedDiscount))*'2Day Base'!L117)*(1+ExpressFuelSurcharge),2)))*(1+FedEx_Markup),2)</f>
        <v>487.21</v>
      </c>
    </row>
    <row r="121" ht="12.75" customHeight="1">
      <c r="A121" s="274">
        <v>116.0</v>
      </c>
      <c r="B121" s="275">
        <f>ROUND((IF(MinBase2Day&gt;ROUND(((1-(TwoDayDiscount_21_Up+FedExExrpessEarnedDiscount))*'2Day Base'!B118),2),ROUND(MinBase2Day*(1+ExpressFuelSurcharge),2),ROUND(((1-(TwoDayDiscount_21_Up+FedExExrpessEarnedDiscount))*'2Day Base'!B118)*(1+ExpressFuelSurcharge),2)))*(1+FedEx_Markup),2)</f>
        <v>105.23</v>
      </c>
      <c r="C121" s="275">
        <f>ROUND((IF(MinBase2Day&gt;ROUND(((1-(TwoDayDiscount_21_Up+FedExExrpessEarnedDiscount))*'2Day Base'!C118),2),ROUND(MinBase2Day*(1+ExpressFuelSurcharge),2),ROUND(((1-(TwoDayDiscount_21_Up+FedExExrpessEarnedDiscount))*'2Day Base'!C118)*(1+ExpressFuelSurcharge),2)))*(1+FedEx_Markup),2)</f>
        <v>131.68</v>
      </c>
      <c r="D121" s="275">
        <f>ROUND((IF(MinBase2Day&gt;ROUND(((1-(TwoDayDiscount_21_Up+FedExExrpessEarnedDiscount))*'2Day Base'!D118),2),ROUND(MinBase2Day*(1+ExpressFuelSurcharge),2),ROUND(((1-(TwoDayDiscount_21_Up+FedExExrpessEarnedDiscount))*'2Day Base'!D118)*(1+ExpressFuelSurcharge),2)))*(1+FedEx_Markup),2)</f>
        <v>169.69</v>
      </c>
      <c r="E121" s="275">
        <f>ROUND((IF(MinBase2Day&gt;ROUND(((1-(TwoDayDiscount_21_Up+FedExExrpessEarnedDiscount))*'2Day Base'!E118),2),ROUND(MinBase2Day*(1+ExpressFuelSurcharge),2),ROUND(((1-(TwoDayDiscount_21_Up+FedExExrpessEarnedDiscount))*'2Day Base'!E118)*(1+ExpressFuelSurcharge),2)))*(1+FedEx_Markup),2)</f>
        <v>252.33</v>
      </c>
      <c r="F121" s="275">
        <f>ROUND((IF(MinBase2Day&gt;ROUND(((1-(TwoDayDiscount_21_Up+FedExExrpessEarnedDiscount))*'2Day Base'!F118),2),ROUND(MinBase2Day*(1+ExpressFuelSurcharge),2),ROUND(((1-(TwoDayDiscount_21_Up+FedExExrpessEarnedDiscount))*'2Day Base'!F118)*(1+ExpressFuelSurcharge),2)))*(1+FedEx_Markup),2)</f>
        <v>400.53</v>
      </c>
      <c r="G121" s="275">
        <f>ROUND((IF(MinBase2Day&gt;ROUND(((1-(TwoDayDiscount_21_Up+FedExExrpessEarnedDiscount))*'2Day Base'!G118),2),ROUND(MinBase2Day*(1+ExpressFuelSurcharge),2),ROUND(((1-(TwoDayDiscount_21_Up+FedExExrpessEarnedDiscount))*'2Day Base'!G118)*(1+ExpressFuelSurcharge),2)))*(1+FedEx_Markup),2)</f>
        <v>457.29</v>
      </c>
      <c r="H121" s="275">
        <f>ROUND((IF(MinBase2Day&gt;ROUND(((1-(TwoDayDiscount_21_Up+FedExExrpessEarnedDiscount))*'2Day Base'!H118),2),ROUND(MinBase2Day*(1+ExpressFuelSurcharge),2),ROUND(((1-(TwoDayDiscount_21_Up+FedExExrpessEarnedDiscount))*'2Day Base'!H118)*(1+ExpressFuelSurcharge),2)))*(1+FedEx_Markup),2)</f>
        <v>471.05</v>
      </c>
      <c r="I121" s="275">
        <f>ROUND((IF(MinBase2Day&gt;ROUND(((1-(TwoDayDiscount_21_Up+FedExExrpessEarnedDiscount))*'2Day Base'!I118),2),ROUND(MinBase2Day*(1+ExpressFuelSurcharge),2),ROUND(((1-(TwoDayDiscount_21_Up+FedExExrpessEarnedDiscount))*'2Day Base'!I118)*(1+ExpressFuelSurcharge),2)))*(1+FedEx_Markup),2)</f>
        <v>480.98</v>
      </c>
      <c r="J121" s="275">
        <f>ROUND((IF(MinBase2Day&gt;ROUND(((1-(TwoDayDiscount_21_Up+FedExExrpessEarnedDiscount))*'2Day Base'!J118),2),ROUND(MinBase2Day*(1+ExpressFuelSurcharge),2),ROUND(((1-(TwoDayDiscount_21_Up+FedExExrpessEarnedDiscount))*'2Day Base'!J118)*(1+ExpressFuelSurcharge),2)))*(1+FedEx_Markup),2)</f>
        <v>480.98</v>
      </c>
      <c r="K121" s="275">
        <f>ROUND((IF(MinBase2Day&gt;ROUND(((1-(TwoDayDiscount_21_Up+FedExExrpessEarnedDiscount))*'2Day Base'!K118),2),ROUND(MinBase2Day*(1+ExpressFuelSurcharge),2),ROUND(((1-(TwoDayDiscount_21_Up+FedExExrpessEarnedDiscount))*'2Day Base'!K118)*(1+ExpressFuelSurcharge),2)))*(1+FedEx_Markup),2)</f>
        <v>491.44</v>
      </c>
      <c r="L121" s="275">
        <f>ROUND((IF(MinBase2Day&gt;ROUND(((1-(TwoDayDiscount_21_Up+FedExExrpessEarnedDiscount))*'2Day Base'!L118),2),ROUND(MinBase2Day*(1+ExpressFuelSurcharge),2),ROUND(((1-(TwoDayDiscount_21_Up+FedExExrpessEarnedDiscount))*'2Day Base'!L118)*(1+ExpressFuelSurcharge),2)))*(1+FedEx_Markup),2)</f>
        <v>491.44</v>
      </c>
    </row>
    <row r="122" ht="12.75" customHeight="1">
      <c r="A122" s="274">
        <v>117.0</v>
      </c>
      <c r="B122" s="275">
        <f>ROUND((IF(MinBase2Day&gt;ROUND(((1-(TwoDayDiscount_21_Up+FedExExrpessEarnedDiscount))*'2Day Base'!B119),2),ROUND(MinBase2Day*(1+ExpressFuelSurcharge),2),ROUND(((1-(TwoDayDiscount_21_Up+FedExExrpessEarnedDiscount))*'2Day Base'!B119)*(1+ExpressFuelSurcharge),2)))*(1+FedEx_Markup),2)</f>
        <v>106.13</v>
      </c>
      <c r="C122" s="275">
        <f>ROUND((IF(MinBase2Day&gt;ROUND(((1-(TwoDayDiscount_21_Up+FedExExrpessEarnedDiscount))*'2Day Base'!C119),2),ROUND(MinBase2Day*(1+ExpressFuelSurcharge),2),ROUND(((1-(TwoDayDiscount_21_Up+FedExExrpessEarnedDiscount))*'2Day Base'!C119)*(1+ExpressFuelSurcharge),2)))*(1+FedEx_Markup),2)</f>
        <v>132.81</v>
      </c>
      <c r="D122" s="275">
        <f>ROUND((IF(MinBase2Day&gt;ROUND(((1-(TwoDayDiscount_21_Up+FedExExrpessEarnedDiscount))*'2Day Base'!D119),2),ROUND(MinBase2Day*(1+ExpressFuelSurcharge),2),ROUND(((1-(TwoDayDiscount_21_Up+FedExExrpessEarnedDiscount))*'2Day Base'!D119)*(1+ExpressFuelSurcharge),2)))*(1+FedEx_Markup),2)</f>
        <v>171.15</v>
      </c>
      <c r="E122" s="275">
        <f>ROUND((IF(MinBase2Day&gt;ROUND(((1-(TwoDayDiscount_21_Up+FedExExrpessEarnedDiscount))*'2Day Base'!E119),2),ROUND(MinBase2Day*(1+ExpressFuelSurcharge),2),ROUND(((1-(TwoDayDiscount_21_Up+FedExExrpessEarnedDiscount))*'2Day Base'!E119)*(1+ExpressFuelSurcharge),2)))*(1+FedEx_Markup),2)</f>
        <v>254.51</v>
      </c>
      <c r="F122" s="275">
        <f>ROUND((IF(MinBase2Day&gt;ROUND(((1-(TwoDayDiscount_21_Up+FedExExrpessEarnedDiscount))*'2Day Base'!F119),2),ROUND(MinBase2Day*(1+ExpressFuelSurcharge),2),ROUND(((1-(TwoDayDiscount_21_Up+FedExExrpessEarnedDiscount))*'2Day Base'!F119)*(1+ExpressFuelSurcharge),2)))*(1+FedEx_Markup),2)</f>
        <v>403.98</v>
      </c>
      <c r="G122" s="275">
        <f>ROUND((IF(MinBase2Day&gt;ROUND(((1-(TwoDayDiscount_21_Up+FedExExrpessEarnedDiscount))*'2Day Base'!G119),2),ROUND(MinBase2Day*(1+ExpressFuelSurcharge),2),ROUND(((1-(TwoDayDiscount_21_Up+FedExExrpessEarnedDiscount))*'2Day Base'!G119)*(1+ExpressFuelSurcharge),2)))*(1+FedEx_Markup),2)</f>
        <v>461.22</v>
      </c>
      <c r="H122" s="275">
        <f>ROUND((IF(MinBase2Day&gt;ROUND(((1-(TwoDayDiscount_21_Up+FedExExrpessEarnedDiscount))*'2Day Base'!H119),2),ROUND(MinBase2Day*(1+ExpressFuelSurcharge),2),ROUND(((1-(TwoDayDiscount_21_Up+FedExExrpessEarnedDiscount))*'2Day Base'!H119)*(1+ExpressFuelSurcharge),2)))*(1+FedEx_Markup),2)</f>
        <v>475.11</v>
      </c>
      <c r="I122" s="275">
        <f>ROUND((IF(MinBase2Day&gt;ROUND(((1-(TwoDayDiscount_21_Up+FedExExrpessEarnedDiscount))*'2Day Base'!I119),2),ROUND(MinBase2Day*(1+ExpressFuelSurcharge),2),ROUND(((1-(TwoDayDiscount_21_Up+FedExExrpessEarnedDiscount))*'2Day Base'!I119)*(1+ExpressFuelSurcharge),2)))*(1+FedEx_Markup),2)</f>
        <v>485.12</v>
      </c>
      <c r="J122" s="275">
        <f>ROUND((IF(MinBase2Day&gt;ROUND(((1-(TwoDayDiscount_21_Up+FedExExrpessEarnedDiscount))*'2Day Base'!J119),2),ROUND(MinBase2Day*(1+ExpressFuelSurcharge),2),ROUND(((1-(TwoDayDiscount_21_Up+FedExExrpessEarnedDiscount))*'2Day Base'!J119)*(1+ExpressFuelSurcharge),2)))*(1+FedEx_Markup),2)</f>
        <v>485.12</v>
      </c>
      <c r="K122" s="275">
        <f>ROUND((IF(MinBase2Day&gt;ROUND(((1-(TwoDayDiscount_21_Up+FedExExrpessEarnedDiscount))*'2Day Base'!K119),2),ROUND(MinBase2Day*(1+ExpressFuelSurcharge),2),ROUND(((1-(TwoDayDiscount_21_Up+FedExExrpessEarnedDiscount))*'2Day Base'!K119)*(1+ExpressFuelSurcharge),2)))*(1+FedEx_Markup),2)</f>
        <v>495.67</v>
      </c>
      <c r="L122" s="275">
        <f>ROUND((IF(MinBase2Day&gt;ROUND(((1-(TwoDayDiscount_21_Up+FedExExrpessEarnedDiscount))*'2Day Base'!L119),2),ROUND(MinBase2Day*(1+ExpressFuelSurcharge),2),ROUND(((1-(TwoDayDiscount_21_Up+FedExExrpessEarnedDiscount))*'2Day Base'!L119)*(1+ExpressFuelSurcharge),2)))*(1+FedEx_Markup),2)</f>
        <v>495.67</v>
      </c>
    </row>
    <row r="123" ht="12.75" customHeight="1">
      <c r="A123" s="274">
        <v>118.0</v>
      </c>
      <c r="B123" s="275">
        <f>ROUND((IF(MinBase2Day&gt;ROUND(((1-(TwoDayDiscount_21_Up+FedExExrpessEarnedDiscount))*'2Day Base'!B120),2),ROUND(MinBase2Day*(1+ExpressFuelSurcharge),2),ROUND(((1-(TwoDayDiscount_21_Up+FedExExrpessEarnedDiscount))*'2Day Base'!B120)*(1+ExpressFuelSurcharge),2)))*(1+FedEx_Markup),2)</f>
        <v>107.04</v>
      </c>
      <c r="C123" s="275">
        <f>ROUND((IF(MinBase2Day&gt;ROUND(((1-(TwoDayDiscount_21_Up+FedExExrpessEarnedDiscount))*'2Day Base'!C120),2),ROUND(MinBase2Day*(1+ExpressFuelSurcharge),2),ROUND(((1-(TwoDayDiscount_21_Up+FedExExrpessEarnedDiscount))*'2Day Base'!C120)*(1+ExpressFuelSurcharge),2)))*(1+FedEx_Markup),2)</f>
        <v>133.94</v>
      </c>
      <c r="D123" s="275">
        <f>ROUND((IF(MinBase2Day&gt;ROUND(((1-(TwoDayDiscount_21_Up+FedExExrpessEarnedDiscount))*'2Day Base'!D120),2),ROUND(MinBase2Day*(1+ExpressFuelSurcharge),2),ROUND(((1-(TwoDayDiscount_21_Up+FedExExrpessEarnedDiscount))*'2Day Base'!D120)*(1+ExpressFuelSurcharge),2)))*(1+FedEx_Markup),2)</f>
        <v>172.62</v>
      </c>
      <c r="E123" s="275">
        <f>ROUND((IF(MinBase2Day&gt;ROUND(((1-(TwoDayDiscount_21_Up+FedExExrpessEarnedDiscount))*'2Day Base'!E120),2),ROUND(MinBase2Day*(1+ExpressFuelSurcharge),2),ROUND(((1-(TwoDayDiscount_21_Up+FedExExrpessEarnedDiscount))*'2Day Base'!E120)*(1+ExpressFuelSurcharge),2)))*(1+FedEx_Markup),2)</f>
        <v>256.68</v>
      </c>
      <c r="F123" s="275">
        <f>ROUND((IF(MinBase2Day&gt;ROUND(((1-(TwoDayDiscount_21_Up+FedExExrpessEarnedDiscount))*'2Day Base'!F120),2),ROUND(MinBase2Day*(1+ExpressFuelSurcharge),2),ROUND(((1-(TwoDayDiscount_21_Up+FedExExrpessEarnedDiscount))*'2Day Base'!F120)*(1+ExpressFuelSurcharge),2)))*(1+FedEx_Markup),2)</f>
        <v>407.45</v>
      </c>
      <c r="G123" s="275">
        <f>ROUND((IF(MinBase2Day&gt;ROUND(((1-(TwoDayDiscount_21_Up+FedExExrpessEarnedDiscount))*'2Day Base'!G120),2),ROUND(MinBase2Day*(1+ExpressFuelSurcharge),2),ROUND(((1-(TwoDayDiscount_21_Up+FedExExrpessEarnedDiscount))*'2Day Base'!G120)*(1+ExpressFuelSurcharge),2)))*(1+FedEx_Markup),2)</f>
        <v>465.16</v>
      </c>
      <c r="H123" s="275">
        <f>ROUND((IF(MinBase2Day&gt;ROUND(((1-(TwoDayDiscount_21_Up+FedExExrpessEarnedDiscount))*'2Day Base'!H120),2),ROUND(MinBase2Day*(1+ExpressFuelSurcharge),2),ROUND(((1-(TwoDayDiscount_21_Up+FedExExrpessEarnedDiscount))*'2Day Base'!H120)*(1+ExpressFuelSurcharge),2)))*(1+FedEx_Markup),2)</f>
        <v>479.18</v>
      </c>
      <c r="I123" s="275">
        <f>ROUND((IF(MinBase2Day&gt;ROUND(((1-(TwoDayDiscount_21_Up+FedExExrpessEarnedDiscount))*'2Day Base'!I120),2),ROUND(MinBase2Day*(1+ExpressFuelSurcharge),2),ROUND(((1-(TwoDayDiscount_21_Up+FedExExrpessEarnedDiscount))*'2Day Base'!I120)*(1+ExpressFuelSurcharge),2)))*(1+FedEx_Markup),2)</f>
        <v>489.27</v>
      </c>
      <c r="J123" s="275">
        <f>ROUND((IF(MinBase2Day&gt;ROUND(((1-(TwoDayDiscount_21_Up+FedExExrpessEarnedDiscount))*'2Day Base'!J120),2),ROUND(MinBase2Day*(1+ExpressFuelSurcharge),2),ROUND(((1-(TwoDayDiscount_21_Up+FedExExrpessEarnedDiscount))*'2Day Base'!J120)*(1+ExpressFuelSurcharge),2)))*(1+FedEx_Markup),2)</f>
        <v>489.27</v>
      </c>
      <c r="K123" s="275">
        <f>ROUND((IF(MinBase2Day&gt;ROUND(((1-(TwoDayDiscount_21_Up+FedExExrpessEarnedDiscount))*'2Day Base'!K120),2),ROUND(MinBase2Day*(1+ExpressFuelSurcharge),2),ROUND(((1-(TwoDayDiscount_21_Up+FedExExrpessEarnedDiscount))*'2Day Base'!K120)*(1+ExpressFuelSurcharge),2)))*(1+FedEx_Markup),2)</f>
        <v>499.92</v>
      </c>
      <c r="L123" s="275">
        <f>ROUND((IF(MinBase2Day&gt;ROUND(((1-(TwoDayDiscount_21_Up+FedExExrpessEarnedDiscount))*'2Day Base'!L120),2),ROUND(MinBase2Day*(1+ExpressFuelSurcharge),2),ROUND(((1-(TwoDayDiscount_21_Up+FedExExrpessEarnedDiscount))*'2Day Base'!L120)*(1+ExpressFuelSurcharge),2)))*(1+FedEx_Markup),2)</f>
        <v>499.92</v>
      </c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274">
        <v>119.0</v>
      </c>
      <c r="B124" s="275">
        <f>ROUND((IF(MinBase2Day&gt;ROUND(((1-(TwoDayDiscount_21_Up+FedExExrpessEarnedDiscount))*'2Day Base'!B121),2),ROUND(MinBase2Day*(1+ExpressFuelSurcharge),2),ROUND(((1-(TwoDayDiscount_21_Up+FedExExrpessEarnedDiscount))*'2Day Base'!B121)*(1+ExpressFuelSurcharge),2)))*(1+FedEx_Markup),2)</f>
        <v>107.95</v>
      </c>
      <c r="C124" s="275">
        <f>ROUND((IF(MinBase2Day&gt;ROUND(((1-(TwoDayDiscount_21_Up+FedExExrpessEarnedDiscount))*'2Day Base'!C121),2),ROUND(MinBase2Day*(1+ExpressFuelSurcharge),2),ROUND(((1-(TwoDayDiscount_21_Up+FedExExrpessEarnedDiscount))*'2Day Base'!C121)*(1+ExpressFuelSurcharge),2)))*(1+FedEx_Markup),2)</f>
        <v>135.08</v>
      </c>
      <c r="D124" s="275">
        <f>ROUND((IF(MinBase2Day&gt;ROUND(((1-(TwoDayDiscount_21_Up+FedExExrpessEarnedDiscount))*'2Day Base'!D121),2),ROUND(MinBase2Day*(1+ExpressFuelSurcharge),2),ROUND(((1-(TwoDayDiscount_21_Up+FedExExrpessEarnedDiscount))*'2Day Base'!D121)*(1+ExpressFuelSurcharge),2)))*(1+FedEx_Markup),2)</f>
        <v>174.08</v>
      </c>
      <c r="E124" s="275">
        <f>ROUND((IF(MinBase2Day&gt;ROUND(((1-(TwoDayDiscount_21_Up+FedExExrpessEarnedDiscount))*'2Day Base'!E121),2),ROUND(MinBase2Day*(1+ExpressFuelSurcharge),2),ROUND(((1-(TwoDayDiscount_21_Up+FedExExrpessEarnedDiscount))*'2Day Base'!E121)*(1+ExpressFuelSurcharge),2)))*(1+FedEx_Markup),2)</f>
        <v>258.85</v>
      </c>
      <c r="F124" s="275">
        <f>ROUND((IF(MinBase2Day&gt;ROUND(((1-(TwoDayDiscount_21_Up+FedExExrpessEarnedDiscount))*'2Day Base'!F121),2),ROUND(MinBase2Day*(1+ExpressFuelSurcharge),2),ROUND(((1-(TwoDayDiscount_21_Up+FedExExrpessEarnedDiscount))*'2Day Base'!F121)*(1+ExpressFuelSurcharge),2)))*(1+FedEx_Markup),2)</f>
        <v>410.9</v>
      </c>
      <c r="G124" s="275">
        <f>ROUND((IF(MinBase2Day&gt;ROUND(((1-(TwoDayDiscount_21_Up+FedExExrpessEarnedDiscount))*'2Day Base'!G121),2),ROUND(MinBase2Day*(1+ExpressFuelSurcharge),2),ROUND(((1-(TwoDayDiscount_21_Up+FedExExrpessEarnedDiscount))*'2Day Base'!G121)*(1+ExpressFuelSurcharge),2)))*(1+FedEx_Markup),2)</f>
        <v>469.11</v>
      </c>
      <c r="H124" s="275">
        <f>ROUND((IF(MinBase2Day&gt;ROUND(((1-(TwoDayDiscount_21_Up+FedExExrpessEarnedDiscount))*'2Day Base'!H121),2),ROUND(MinBase2Day*(1+ExpressFuelSurcharge),2),ROUND(((1-(TwoDayDiscount_21_Up+FedExExrpessEarnedDiscount))*'2Day Base'!H121)*(1+ExpressFuelSurcharge),2)))*(1+FedEx_Markup),2)</f>
        <v>483.24</v>
      </c>
      <c r="I124" s="275">
        <f>ROUND((IF(MinBase2Day&gt;ROUND(((1-(TwoDayDiscount_21_Up+FedExExrpessEarnedDiscount))*'2Day Base'!I121),2),ROUND(MinBase2Day*(1+ExpressFuelSurcharge),2),ROUND(((1-(TwoDayDiscount_21_Up+FedExExrpessEarnedDiscount))*'2Day Base'!I121)*(1+ExpressFuelSurcharge),2)))*(1+FedEx_Markup),2)</f>
        <v>493.41</v>
      </c>
      <c r="J124" s="275">
        <f>ROUND((IF(MinBase2Day&gt;ROUND(((1-(TwoDayDiscount_21_Up+FedExExrpessEarnedDiscount))*'2Day Base'!J121),2),ROUND(MinBase2Day*(1+ExpressFuelSurcharge),2),ROUND(((1-(TwoDayDiscount_21_Up+FedExExrpessEarnedDiscount))*'2Day Base'!J121)*(1+ExpressFuelSurcharge),2)))*(1+FedEx_Markup),2)</f>
        <v>493.41</v>
      </c>
      <c r="K124" s="275">
        <f>ROUND((IF(MinBase2Day&gt;ROUND(((1-(TwoDayDiscount_21_Up+FedExExrpessEarnedDiscount))*'2Day Base'!K121),2),ROUND(MinBase2Day*(1+ExpressFuelSurcharge),2),ROUND(((1-(TwoDayDiscount_21_Up+FedExExrpessEarnedDiscount))*'2Day Base'!K121)*(1+ExpressFuelSurcharge),2)))*(1+FedEx_Markup),2)</f>
        <v>504.15</v>
      </c>
      <c r="L124" s="275">
        <f>ROUND((IF(MinBase2Day&gt;ROUND(((1-(TwoDayDiscount_21_Up+FedExExrpessEarnedDiscount))*'2Day Base'!L121),2),ROUND(MinBase2Day*(1+ExpressFuelSurcharge),2),ROUND(((1-(TwoDayDiscount_21_Up+FedExExrpessEarnedDiscount))*'2Day Base'!L121)*(1+ExpressFuelSurcharge),2)))*(1+FedEx_Markup),2)</f>
        <v>504.15</v>
      </c>
    </row>
    <row r="125" ht="12.75" customHeight="1">
      <c r="A125" s="274">
        <v>120.0</v>
      </c>
      <c r="B125" s="275">
        <f>ROUND((IF(MinBase2Day&gt;ROUND(((1-(TwoDayDiscount_21_Up+FedExExrpessEarnedDiscount))*'2Day Base'!B122),2),ROUND(MinBase2Day*(1+ExpressFuelSurcharge),2),ROUND(((1-(TwoDayDiscount_21_Up+FedExExrpessEarnedDiscount))*'2Day Base'!B122)*(1+ExpressFuelSurcharge),2)))*(1+FedEx_Markup),2)</f>
        <v>108.86</v>
      </c>
      <c r="C125" s="275">
        <f>ROUND((IF(MinBase2Day&gt;ROUND(((1-(TwoDayDiscount_21_Up+FedExExrpessEarnedDiscount))*'2Day Base'!C122),2),ROUND(MinBase2Day*(1+ExpressFuelSurcharge),2),ROUND(((1-(TwoDayDiscount_21_Up+FedExExrpessEarnedDiscount))*'2Day Base'!C122)*(1+ExpressFuelSurcharge),2)))*(1+FedEx_Markup),2)</f>
        <v>136.22</v>
      </c>
      <c r="D125" s="275">
        <f>ROUND((IF(MinBase2Day&gt;ROUND(((1-(TwoDayDiscount_21_Up+FedExExrpessEarnedDiscount))*'2Day Base'!D122),2),ROUND(MinBase2Day*(1+ExpressFuelSurcharge),2),ROUND(((1-(TwoDayDiscount_21_Up+FedExExrpessEarnedDiscount))*'2Day Base'!D122)*(1+ExpressFuelSurcharge),2)))*(1+FedEx_Markup),2)</f>
        <v>175.54</v>
      </c>
      <c r="E125" s="275">
        <f>ROUND((IF(MinBase2Day&gt;ROUND(((1-(TwoDayDiscount_21_Up+FedExExrpessEarnedDiscount))*'2Day Base'!E122),2),ROUND(MinBase2Day*(1+ExpressFuelSurcharge),2),ROUND(((1-(TwoDayDiscount_21_Up+FedExExrpessEarnedDiscount))*'2Day Base'!E122)*(1+ExpressFuelSurcharge),2)))*(1+FedEx_Markup),2)</f>
        <v>261.03</v>
      </c>
      <c r="F125" s="275">
        <f>ROUND((IF(MinBase2Day&gt;ROUND(((1-(TwoDayDiscount_21_Up+FedExExrpessEarnedDiscount))*'2Day Base'!F122),2),ROUND(MinBase2Day*(1+ExpressFuelSurcharge),2),ROUND(((1-(TwoDayDiscount_21_Up+FedExExrpessEarnedDiscount))*'2Day Base'!F122)*(1+ExpressFuelSurcharge),2)))*(1+FedEx_Markup),2)</f>
        <v>414.35</v>
      </c>
      <c r="G125" s="275">
        <f>ROUND((IF(MinBase2Day&gt;ROUND(((1-(TwoDayDiscount_21_Up+FedExExrpessEarnedDiscount))*'2Day Base'!G122),2),ROUND(MinBase2Day*(1+ExpressFuelSurcharge),2),ROUND(((1-(TwoDayDiscount_21_Up+FedExExrpessEarnedDiscount))*'2Day Base'!G122)*(1+ExpressFuelSurcharge),2)))*(1+FedEx_Markup),2)</f>
        <v>473.05</v>
      </c>
      <c r="H125" s="275">
        <f>ROUND((IF(MinBase2Day&gt;ROUND(((1-(TwoDayDiscount_21_Up+FedExExrpessEarnedDiscount))*'2Day Base'!H122),2),ROUND(MinBase2Day*(1+ExpressFuelSurcharge),2),ROUND(((1-(TwoDayDiscount_21_Up+FedExExrpessEarnedDiscount))*'2Day Base'!H122)*(1+ExpressFuelSurcharge),2)))*(1+FedEx_Markup),2)</f>
        <v>487.3</v>
      </c>
      <c r="I125" s="275">
        <f>ROUND((IF(MinBase2Day&gt;ROUND(((1-(TwoDayDiscount_21_Up+FedExExrpessEarnedDiscount))*'2Day Base'!I122),2),ROUND(MinBase2Day*(1+ExpressFuelSurcharge),2),ROUND(((1-(TwoDayDiscount_21_Up+FedExExrpessEarnedDiscount))*'2Day Base'!I122)*(1+ExpressFuelSurcharge),2)))*(1+FedEx_Markup),2)</f>
        <v>497.56</v>
      </c>
      <c r="J125" s="275">
        <f>ROUND((IF(MinBase2Day&gt;ROUND(((1-(TwoDayDiscount_21_Up+FedExExrpessEarnedDiscount))*'2Day Base'!J122),2),ROUND(MinBase2Day*(1+ExpressFuelSurcharge),2),ROUND(((1-(TwoDayDiscount_21_Up+FedExExrpessEarnedDiscount))*'2Day Base'!J122)*(1+ExpressFuelSurcharge),2)))*(1+FedEx_Markup),2)</f>
        <v>497.56</v>
      </c>
      <c r="K125" s="275">
        <f>ROUND((IF(MinBase2Day&gt;ROUND(((1-(TwoDayDiscount_21_Up+FedExExrpessEarnedDiscount))*'2Day Base'!K122),2),ROUND(MinBase2Day*(1+ExpressFuelSurcharge),2),ROUND(((1-(TwoDayDiscount_21_Up+FedExExrpessEarnedDiscount))*'2Day Base'!K122)*(1+ExpressFuelSurcharge),2)))*(1+FedEx_Markup),2)</f>
        <v>508.39</v>
      </c>
      <c r="L125" s="275">
        <f>ROUND((IF(MinBase2Day&gt;ROUND(((1-(TwoDayDiscount_21_Up+FedExExrpessEarnedDiscount))*'2Day Base'!L122),2),ROUND(MinBase2Day*(1+ExpressFuelSurcharge),2),ROUND(((1-(TwoDayDiscount_21_Up+FedExExrpessEarnedDiscount))*'2Day Base'!L122)*(1+ExpressFuelSurcharge),2)))*(1+FedEx_Markup),2)</f>
        <v>508.39</v>
      </c>
    </row>
    <row r="126" ht="12.75" customHeight="1">
      <c r="A126" s="274">
        <v>121.0</v>
      </c>
      <c r="B126" s="275">
        <f>ROUND((IF(MinBase2Day&gt;ROUND(((1-(TwoDayDiscount_21_Up+FedExExrpessEarnedDiscount))*'2Day Base'!B123),2),ROUND(MinBase2Day*(1+ExpressFuelSurcharge),2),ROUND(((1-(TwoDayDiscount_21_Up+FedExExrpessEarnedDiscount))*'2Day Base'!B123)*(1+ExpressFuelSurcharge),2)))*(1+FedEx_Markup),2)</f>
        <v>109.77</v>
      </c>
      <c r="C126" s="275">
        <f>ROUND((IF(MinBase2Day&gt;ROUND(((1-(TwoDayDiscount_21_Up+FedExExrpessEarnedDiscount))*'2Day Base'!C123),2),ROUND(MinBase2Day*(1+ExpressFuelSurcharge),2),ROUND(((1-(TwoDayDiscount_21_Up+FedExExrpessEarnedDiscount))*'2Day Base'!C123)*(1+ExpressFuelSurcharge),2)))*(1+FedEx_Markup),2)</f>
        <v>137.36</v>
      </c>
      <c r="D126" s="275">
        <f>ROUND((IF(MinBase2Day&gt;ROUND(((1-(TwoDayDiscount_21_Up+FedExExrpessEarnedDiscount))*'2Day Base'!D123),2),ROUND(MinBase2Day*(1+ExpressFuelSurcharge),2),ROUND(((1-(TwoDayDiscount_21_Up+FedExExrpessEarnedDiscount))*'2Day Base'!D123)*(1+ExpressFuelSurcharge),2)))*(1+FedEx_Markup),2)</f>
        <v>177.01</v>
      </c>
      <c r="E126" s="275">
        <f>ROUND((IF(MinBase2Day&gt;ROUND(((1-(TwoDayDiscount_21_Up+FedExExrpessEarnedDiscount))*'2Day Base'!E123),2),ROUND(MinBase2Day*(1+ExpressFuelSurcharge),2),ROUND(((1-(TwoDayDiscount_21_Up+FedExExrpessEarnedDiscount))*'2Day Base'!E123)*(1+ExpressFuelSurcharge),2)))*(1+FedEx_Markup),2)</f>
        <v>263.21</v>
      </c>
      <c r="F126" s="275">
        <f>ROUND((IF(MinBase2Day&gt;ROUND(((1-(TwoDayDiscount_21_Up+FedExExrpessEarnedDiscount))*'2Day Base'!F123),2),ROUND(MinBase2Day*(1+ExpressFuelSurcharge),2),ROUND(((1-(TwoDayDiscount_21_Up+FedExExrpessEarnedDiscount))*'2Day Base'!F123)*(1+ExpressFuelSurcharge),2)))*(1+FedEx_Markup),2)</f>
        <v>417.8</v>
      </c>
      <c r="G126" s="275">
        <f>ROUND((IF(MinBase2Day&gt;ROUND(((1-(TwoDayDiscount_21_Up+FedExExrpessEarnedDiscount))*'2Day Base'!G123),2),ROUND(MinBase2Day*(1+ExpressFuelSurcharge),2),ROUND(((1-(TwoDayDiscount_21_Up+FedExExrpessEarnedDiscount))*'2Day Base'!G123)*(1+ExpressFuelSurcharge),2)))*(1+FedEx_Markup),2)</f>
        <v>477</v>
      </c>
      <c r="H126" s="275">
        <f>ROUND((IF(MinBase2Day&gt;ROUND(((1-(TwoDayDiscount_21_Up+FedExExrpessEarnedDiscount))*'2Day Base'!H123),2),ROUND(MinBase2Day*(1+ExpressFuelSurcharge),2),ROUND(((1-(TwoDayDiscount_21_Up+FedExExrpessEarnedDiscount))*'2Day Base'!H123)*(1+ExpressFuelSurcharge),2)))*(1+FedEx_Markup),2)</f>
        <v>491.36</v>
      </c>
      <c r="I126" s="275">
        <f>ROUND((IF(MinBase2Day&gt;ROUND(((1-(TwoDayDiscount_21_Up+FedExExrpessEarnedDiscount))*'2Day Base'!I123),2),ROUND(MinBase2Day*(1+ExpressFuelSurcharge),2),ROUND(((1-(TwoDayDiscount_21_Up+FedExExrpessEarnedDiscount))*'2Day Base'!I123)*(1+ExpressFuelSurcharge),2)))*(1+FedEx_Markup),2)</f>
        <v>501.7</v>
      </c>
      <c r="J126" s="275">
        <f>ROUND((IF(MinBase2Day&gt;ROUND(((1-(TwoDayDiscount_21_Up+FedExExrpessEarnedDiscount))*'2Day Base'!J123),2),ROUND(MinBase2Day*(1+ExpressFuelSurcharge),2),ROUND(((1-(TwoDayDiscount_21_Up+FedExExrpessEarnedDiscount))*'2Day Base'!J123)*(1+ExpressFuelSurcharge),2)))*(1+FedEx_Markup),2)</f>
        <v>501.7</v>
      </c>
      <c r="K126" s="275">
        <f>ROUND((IF(MinBase2Day&gt;ROUND(((1-(TwoDayDiscount_21_Up+FedExExrpessEarnedDiscount))*'2Day Base'!K123),2),ROUND(MinBase2Day*(1+ExpressFuelSurcharge),2),ROUND(((1-(TwoDayDiscount_21_Up+FedExExrpessEarnedDiscount))*'2Day Base'!K123)*(1+ExpressFuelSurcharge),2)))*(1+FedEx_Markup),2)</f>
        <v>512.62</v>
      </c>
      <c r="L126" s="275">
        <f>ROUND((IF(MinBase2Day&gt;ROUND(((1-(TwoDayDiscount_21_Up+FedExExrpessEarnedDiscount))*'2Day Base'!L123),2),ROUND(MinBase2Day*(1+ExpressFuelSurcharge),2),ROUND(((1-(TwoDayDiscount_21_Up+FedExExrpessEarnedDiscount))*'2Day Base'!L123)*(1+ExpressFuelSurcharge),2)))*(1+FedEx_Markup),2)</f>
        <v>512.62</v>
      </c>
    </row>
    <row r="127" ht="12.75" customHeight="1">
      <c r="A127" s="274">
        <v>122.0</v>
      </c>
      <c r="B127" s="275">
        <f>ROUND((IF(MinBase2Day&gt;ROUND(((1-(TwoDayDiscount_21_Up+FedExExrpessEarnedDiscount))*'2Day Base'!B124),2),ROUND(MinBase2Day*(1+ExpressFuelSurcharge),2),ROUND(((1-(TwoDayDiscount_21_Up+FedExExrpessEarnedDiscount))*'2Day Base'!B124)*(1+ExpressFuelSurcharge),2)))*(1+FedEx_Markup),2)</f>
        <v>110.68</v>
      </c>
      <c r="C127" s="275">
        <f>ROUND((IF(MinBase2Day&gt;ROUND(((1-(TwoDayDiscount_21_Up+FedExExrpessEarnedDiscount))*'2Day Base'!C124),2),ROUND(MinBase2Day*(1+ExpressFuelSurcharge),2),ROUND(((1-(TwoDayDiscount_21_Up+FedExExrpessEarnedDiscount))*'2Day Base'!C124)*(1+ExpressFuelSurcharge),2)))*(1+FedEx_Markup),2)</f>
        <v>138.48</v>
      </c>
      <c r="D127" s="275">
        <f>ROUND((IF(MinBase2Day&gt;ROUND(((1-(TwoDayDiscount_21_Up+FedExExrpessEarnedDiscount))*'2Day Base'!D124),2),ROUND(MinBase2Day*(1+ExpressFuelSurcharge),2),ROUND(((1-(TwoDayDiscount_21_Up+FedExExrpessEarnedDiscount))*'2Day Base'!D124)*(1+ExpressFuelSurcharge),2)))*(1+FedEx_Markup),2)</f>
        <v>178.47</v>
      </c>
      <c r="E127" s="275">
        <f>ROUND((IF(MinBase2Day&gt;ROUND(((1-(TwoDayDiscount_21_Up+FedExExrpessEarnedDiscount))*'2Day Base'!E124),2),ROUND(MinBase2Day*(1+ExpressFuelSurcharge),2),ROUND(((1-(TwoDayDiscount_21_Up+FedExExrpessEarnedDiscount))*'2Day Base'!E124)*(1+ExpressFuelSurcharge),2)))*(1+FedEx_Markup),2)</f>
        <v>265.39</v>
      </c>
      <c r="F127" s="275">
        <f>ROUND((IF(MinBase2Day&gt;ROUND(((1-(TwoDayDiscount_21_Up+FedExExrpessEarnedDiscount))*'2Day Base'!F124),2),ROUND(MinBase2Day*(1+ExpressFuelSurcharge),2),ROUND(((1-(TwoDayDiscount_21_Up+FedExExrpessEarnedDiscount))*'2Day Base'!F124)*(1+ExpressFuelSurcharge),2)))*(1+FedEx_Markup),2)</f>
        <v>421.26</v>
      </c>
      <c r="G127" s="275">
        <f>ROUND((IF(MinBase2Day&gt;ROUND(((1-(TwoDayDiscount_21_Up+FedExExrpessEarnedDiscount))*'2Day Base'!G124),2),ROUND(MinBase2Day*(1+ExpressFuelSurcharge),2),ROUND(((1-(TwoDayDiscount_21_Up+FedExExrpessEarnedDiscount))*'2Day Base'!G124)*(1+ExpressFuelSurcharge),2)))*(1+FedEx_Markup),2)</f>
        <v>480.93</v>
      </c>
      <c r="H127" s="275">
        <f>ROUND((IF(MinBase2Day&gt;ROUND(((1-(TwoDayDiscount_21_Up+FedExExrpessEarnedDiscount))*'2Day Base'!H124),2),ROUND(MinBase2Day*(1+ExpressFuelSurcharge),2),ROUND(((1-(TwoDayDiscount_21_Up+FedExExrpessEarnedDiscount))*'2Day Base'!H124)*(1+ExpressFuelSurcharge),2)))*(1+FedEx_Markup),2)</f>
        <v>495.42</v>
      </c>
      <c r="I127" s="275">
        <f>ROUND((IF(MinBase2Day&gt;ROUND(((1-(TwoDayDiscount_21_Up+FedExExrpessEarnedDiscount))*'2Day Base'!I124),2),ROUND(MinBase2Day*(1+ExpressFuelSurcharge),2),ROUND(((1-(TwoDayDiscount_21_Up+FedExExrpessEarnedDiscount))*'2Day Base'!I124)*(1+ExpressFuelSurcharge),2)))*(1+FedEx_Markup),2)</f>
        <v>505.85</v>
      </c>
      <c r="J127" s="275">
        <f>ROUND((IF(MinBase2Day&gt;ROUND(((1-(TwoDayDiscount_21_Up+FedExExrpessEarnedDiscount))*'2Day Base'!J124),2),ROUND(MinBase2Day*(1+ExpressFuelSurcharge),2),ROUND(((1-(TwoDayDiscount_21_Up+FedExExrpessEarnedDiscount))*'2Day Base'!J124)*(1+ExpressFuelSurcharge),2)))*(1+FedEx_Markup),2)</f>
        <v>505.85</v>
      </c>
      <c r="K127" s="275">
        <f>ROUND((IF(MinBase2Day&gt;ROUND(((1-(TwoDayDiscount_21_Up+FedExExrpessEarnedDiscount))*'2Day Base'!K124),2),ROUND(MinBase2Day*(1+ExpressFuelSurcharge),2),ROUND(((1-(TwoDayDiscount_21_Up+FedExExrpessEarnedDiscount))*'2Day Base'!K124)*(1+ExpressFuelSurcharge),2)))*(1+FedEx_Markup),2)</f>
        <v>516.86</v>
      </c>
      <c r="L127" s="275">
        <f>ROUND((IF(MinBase2Day&gt;ROUND(((1-(TwoDayDiscount_21_Up+FedExExrpessEarnedDiscount))*'2Day Base'!L124),2),ROUND(MinBase2Day*(1+ExpressFuelSurcharge),2),ROUND(((1-(TwoDayDiscount_21_Up+FedExExrpessEarnedDiscount))*'2Day Base'!L124)*(1+ExpressFuelSurcharge),2)))*(1+FedEx_Markup),2)</f>
        <v>516.86</v>
      </c>
    </row>
    <row r="128" ht="12.75" customHeight="1">
      <c r="A128" s="274">
        <v>123.0</v>
      </c>
      <c r="B128" s="275">
        <f>ROUND((IF(MinBase2Day&gt;ROUND(((1-(TwoDayDiscount_21_Up+FedExExrpessEarnedDiscount))*'2Day Base'!B125),2),ROUND(MinBase2Day*(1+ExpressFuelSurcharge),2),ROUND(((1-(TwoDayDiscount_21_Up+FedExExrpessEarnedDiscount))*'2Day Base'!B125)*(1+ExpressFuelSurcharge),2)))*(1+FedEx_Markup),2)</f>
        <v>111.58</v>
      </c>
      <c r="C128" s="275">
        <f>ROUND((IF(MinBase2Day&gt;ROUND(((1-(TwoDayDiscount_21_Up+FedExExrpessEarnedDiscount))*'2Day Base'!C125),2),ROUND(MinBase2Day*(1+ExpressFuelSurcharge),2),ROUND(((1-(TwoDayDiscount_21_Up+FedExExrpessEarnedDiscount))*'2Day Base'!C125)*(1+ExpressFuelSurcharge),2)))*(1+FedEx_Markup),2)</f>
        <v>139.62</v>
      </c>
      <c r="D128" s="275">
        <f>ROUND((IF(MinBase2Day&gt;ROUND(((1-(TwoDayDiscount_21_Up+FedExExrpessEarnedDiscount))*'2Day Base'!D125),2),ROUND(MinBase2Day*(1+ExpressFuelSurcharge),2),ROUND(((1-(TwoDayDiscount_21_Up+FedExExrpessEarnedDiscount))*'2Day Base'!D125)*(1+ExpressFuelSurcharge),2)))*(1+FedEx_Markup),2)</f>
        <v>179.93</v>
      </c>
      <c r="E128" s="275">
        <f>ROUND((IF(MinBase2Day&gt;ROUND(((1-(TwoDayDiscount_21_Up+FedExExrpessEarnedDiscount))*'2Day Base'!E125),2),ROUND(MinBase2Day*(1+ExpressFuelSurcharge),2),ROUND(((1-(TwoDayDiscount_21_Up+FedExExrpessEarnedDiscount))*'2Day Base'!E125)*(1+ExpressFuelSurcharge),2)))*(1+FedEx_Markup),2)</f>
        <v>267.56</v>
      </c>
      <c r="F128" s="275">
        <f>ROUND((IF(MinBase2Day&gt;ROUND(((1-(TwoDayDiscount_21_Up+FedExExrpessEarnedDiscount))*'2Day Base'!F125),2),ROUND(MinBase2Day*(1+ExpressFuelSurcharge),2),ROUND(((1-(TwoDayDiscount_21_Up+FedExExrpessEarnedDiscount))*'2Day Base'!F125)*(1+ExpressFuelSurcharge),2)))*(1+FedEx_Markup),2)</f>
        <v>424.71</v>
      </c>
      <c r="G128" s="275">
        <f>ROUND((IF(MinBase2Day&gt;ROUND(((1-(TwoDayDiscount_21_Up+FedExExrpessEarnedDiscount))*'2Day Base'!G125),2),ROUND(MinBase2Day*(1+ExpressFuelSurcharge),2),ROUND(((1-(TwoDayDiscount_21_Up+FedExExrpessEarnedDiscount))*'2Day Base'!G125)*(1+ExpressFuelSurcharge),2)))*(1+FedEx_Markup),2)</f>
        <v>484.87</v>
      </c>
      <c r="H128" s="275">
        <f>ROUND((IF(MinBase2Day&gt;ROUND(((1-(TwoDayDiscount_21_Up+FedExExrpessEarnedDiscount))*'2Day Base'!H125),2),ROUND(MinBase2Day*(1+ExpressFuelSurcharge),2),ROUND(((1-(TwoDayDiscount_21_Up+FedExExrpessEarnedDiscount))*'2Day Base'!H125)*(1+ExpressFuelSurcharge),2)))*(1+FedEx_Markup),2)</f>
        <v>499.48</v>
      </c>
      <c r="I128" s="275">
        <f>ROUND((IF(MinBase2Day&gt;ROUND(((1-(TwoDayDiscount_21_Up+FedExExrpessEarnedDiscount))*'2Day Base'!I125),2),ROUND(MinBase2Day*(1+ExpressFuelSurcharge),2),ROUND(((1-(TwoDayDiscount_21_Up+FedExExrpessEarnedDiscount))*'2Day Base'!I125)*(1+ExpressFuelSurcharge),2)))*(1+FedEx_Markup),2)</f>
        <v>510</v>
      </c>
      <c r="J128" s="275">
        <f>ROUND((IF(MinBase2Day&gt;ROUND(((1-(TwoDayDiscount_21_Up+FedExExrpessEarnedDiscount))*'2Day Base'!J125),2),ROUND(MinBase2Day*(1+ExpressFuelSurcharge),2),ROUND(((1-(TwoDayDiscount_21_Up+FedExExrpessEarnedDiscount))*'2Day Base'!J125)*(1+ExpressFuelSurcharge),2)))*(1+FedEx_Markup),2)</f>
        <v>510</v>
      </c>
      <c r="K128" s="275">
        <f>ROUND((IF(MinBase2Day&gt;ROUND(((1-(TwoDayDiscount_21_Up+FedExExrpessEarnedDiscount))*'2Day Base'!K125),2),ROUND(MinBase2Day*(1+ExpressFuelSurcharge),2),ROUND(((1-(TwoDayDiscount_21_Up+FedExExrpessEarnedDiscount))*'2Day Base'!K125)*(1+ExpressFuelSurcharge),2)))*(1+FedEx_Markup),2)</f>
        <v>521.1</v>
      </c>
      <c r="L128" s="275">
        <f>ROUND((IF(MinBase2Day&gt;ROUND(((1-(TwoDayDiscount_21_Up+FedExExrpessEarnedDiscount))*'2Day Base'!L125),2),ROUND(MinBase2Day*(1+ExpressFuelSurcharge),2),ROUND(((1-(TwoDayDiscount_21_Up+FedExExrpessEarnedDiscount))*'2Day Base'!L125)*(1+ExpressFuelSurcharge),2)))*(1+FedEx_Markup),2)</f>
        <v>521.1</v>
      </c>
    </row>
    <row r="129" ht="12.75" customHeight="1">
      <c r="A129" s="274">
        <v>124.0</v>
      </c>
      <c r="B129" s="275">
        <f>ROUND((IF(MinBase2Day&gt;ROUND(((1-(TwoDayDiscount_21_Up+FedExExrpessEarnedDiscount))*'2Day Base'!B126),2),ROUND(MinBase2Day*(1+ExpressFuelSurcharge),2),ROUND(((1-(TwoDayDiscount_21_Up+FedExExrpessEarnedDiscount))*'2Day Base'!B126)*(1+ExpressFuelSurcharge),2)))*(1+FedEx_Markup),2)</f>
        <v>112.48</v>
      </c>
      <c r="C129" s="275">
        <f>ROUND((IF(MinBase2Day&gt;ROUND(((1-(TwoDayDiscount_21_Up+FedExExrpessEarnedDiscount))*'2Day Base'!C126),2),ROUND(MinBase2Day*(1+ExpressFuelSurcharge),2),ROUND(((1-(TwoDayDiscount_21_Up+FedExExrpessEarnedDiscount))*'2Day Base'!C126)*(1+ExpressFuelSurcharge),2)))*(1+FedEx_Markup),2)</f>
        <v>140.76</v>
      </c>
      <c r="D129" s="275">
        <f>ROUND((IF(MinBase2Day&gt;ROUND(((1-(TwoDayDiscount_21_Up+FedExExrpessEarnedDiscount))*'2Day Base'!D126),2),ROUND(MinBase2Day*(1+ExpressFuelSurcharge),2),ROUND(((1-(TwoDayDiscount_21_Up+FedExExrpessEarnedDiscount))*'2Day Base'!D126)*(1+ExpressFuelSurcharge),2)))*(1+FedEx_Markup),2)</f>
        <v>181.39</v>
      </c>
      <c r="E129" s="275">
        <f>ROUND((IF(MinBase2Day&gt;ROUND(((1-(TwoDayDiscount_21_Up+FedExExrpessEarnedDiscount))*'2Day Base'!E126),2),ROUND(MinBase2Day*(1+ExpressFuelSurcharge),2),ROUND(((1-(TwoDayDiscount_21_Up+FedExExrpessEarnedDiscount))*'2Day Base'!E126)*(1+ExpressFuelSurcharge),2)))*(1+FedEx_Markup),2)</f>
        <v>269.73</v>
      </c>
      <c r="F129" s="275">
        <f>ROUND((IF(MinBase2Day&gt;ROUND(((1-(TwoDayDiscount_21_Up+FedExExrpessEarnedDiscount))*'2Day Base'!F126),2),ROUND(MinBase2Day*(1+ExpressFuelSurcharge),2),ROUND(((1-(TwoDayDiscount_21_Up+FedExExrpessEarnedDiscount))*'2Day Base'!F126)*(1+ExpressFuelSurcharge),2)))*(1+FedEx_Markup),2)</f>
        <v>428.16</v>
      </c>
      <c r="G129" s="275">
        <f>ROUND((IF(MinBase2Day&gt;ROUND(((1-(TwoDayDiscount_21_Up+FedExExrpessEarnedDiscount))*'2Day Base'!G126),2),ROUND(MinBase2Day*(1+ExpressFuelSurcharge),2),ROUND(((1-(TwoDayDiscount_21_Up+FedExExrpessEarnedDiscount))*'2Day Base'!G126)*(1+ExpressFuelSurcharge),2)))*(1+FedEx_Markup),2)</f>
        <v>488.82</v>
      </c>
      <c r="H129" s="275">
        <f>ROUND((IF(MinBase2Day&gt;ROUND(((1-(TwoDayDiscount_21_Up+FedExExrpessEarnedDiscount))*'2Day Base'!H126),2),ROUND(MinBase2Day*(1+ExpressFuelSurcharge),2),ROUND(((1-(TwoDayDiscount_21_Up+FedExExrpessEarnedDiscount))*'2Day Base'!H126)*(1+ExpressFuelSurcharge),2)))*(1+FedEx_Markup),2)</f>
        <v>503.54</v>
      </c>
      <c r="I129" s="275">
        <f>ROUND((IF(MinBase2Day&gt;ROUND(((1-(TwoDayDiscount_21_Up+FedExExrpessEarnedDiscount))*'2Day Base'!I126),2),ROUND(MinBase2Day*(1+ExpressFuelSurcharge),2),ROUND(((1-(TwoDayDiscount_21_Up+FedExExrpessEarnedDiscount))*'2Day Base'!I126)*(1+ExpressFuelSurcharge),2)))*(1+FedEx_Markup),2)</f>
        <v>514.14</v>
      </c>
      <c r="J129" s="275">
        <f>ROUND((IF(MinBase2Day&gt;ROUND(((1-(TwoDayDiscount_21_Up+FedExExrpessEarnedDiscount))*'2Day Base'!J126),2),ROUND(MinBase2Day*(1+ExpressFuelSurcharge),2),ROUND(((1-(TwoDayDiscount_21_Up+FedExExrpessEarnedDiscount))*'2Day Base'!J126)*(1+ExpressFuelSurcharge),2)))*(1+FedEx_Markup),2)</f>
        <v>514.14</v>
      </c>
      <c r="K129" s="275">
        <f>ROUND((IF(MinBase2Day&gt;ROUND(((1-(TwoDayDiscount_21_Up+FedExExrpessEarnedDiscount))*'2Day Base'!K126),2),ROUND(MinBase2Day*(1+ExpressFuelSurcharge),2),ROUND(((1-(TwoDayDiscount_21_Up+FedExExrpessEarnedDiscount))*'2Day Base'!K126)*(1+ExpressFuelSurcharge),2)))*(1+FedEx_Markup),2)</f>
        <v>525.33</v>
      </c>
      <c r="L129" s="275">
        <f>ROUND((IF(MinBase2Day&gt;ROUND(((1-(TwoDayDiscount_21_Up+FedExExrpessEarnedDiscount))*'2Day Base'!L126),2),ROUND(MinBase2Day*(1+ExpressFuelSurcharge),2),ROUND(((1-(TwoDayDiscount_21_Up+FedExExrpessEarnedDiscount))*'2Day Base'!L126)*(1+ExpressFuelSurcharge),2)))*(1+FedEx_Markup),2)</f>
        <v>525.33</v>
      </c>
    </row>
    <row r="130" ht="12.75" customHeight="1">
      <c r="A130" s="274">
        <v>125.0</v>
      </c>
      <c r="B130" s="275">
        <f>ROUND((IF(MinBase2Day&gt;ROUND(((1-(TwoDayDiscount_21_Up+FedExExrpessEarnedDiscount))*'2Day Base'!B127),2),ROUND(MinBase2Day*(1+ExpressFuelSurcharge),2),ROUND(((1-(TwoDayDiscount_21_Up+FedExExrpessEarnedDiscount))*'2Day Base'!B127)*(1+ExpressFuelSurcharge),2)))*(1+FedEx_Markup),2)</f>
        <v>113.39</v>
      </c>
      <c r="C130" s="275">
        <f>ROUND((IF(MinBase2Day&gt;ROUND(((1-(TwoDayDiscount_21_Up+FedExExrpessEarnedDiscount))*'2Day Base'!C127),2),ROUND(MinBase2Day*(1+ExpressFuelSurcharge),2),ROUND(((1-(TwoDayDiscount_21_Up+FedExExrpessEarnedDiscount))*'2Day Base'!C127)*(1+ExpressFuelSurcharge),2)))*(1+FedEx_Markup),2)</f>
        <v>141.89</v>
      </c>
      <c r="D130" s="275">
        <f>ROUND((IF(MinBase2Day&gt;ROUND(((1-(TwoDayDiscount_21_Up+FedExExrpessEarnedDiscount))*'2Day Base'!D127),2),ROUND(MinBase2Day*(1+ExpressFuelSurcharge),2),ROUND(((1-(TwoDayDiscount_21_Up+FedExExrpessEarnedDiscount))*'2Day Base'!D127)*(1+ExpressFuelSurcharge),2)))*(1+FedEx_Markup),2)</f>
        <v>182.86</v>
      </c>
      <c r="E130" s="275">
        <f>ROUND((IF(MinBase2Day&gt;ROUND(((1-(TwoDayDiscount_21_Up+FedExExrpessEarnedDiscount))*'2Day Base'!E127),2),ROUND(MinBase2Day*(1+ExpressFuelSurcharge),2),ROUND(((1-(TwoDayDiscount_21_Up+FedExExrpessEarnedDiscount))*'2Day Base'!E127)*(1+ExpressFuelSurcharge),2)))*(1+FedEx_Markup),2)</f>
        <v>271.91</v>
      </c>
      <c r="F130" s="275">
        <f>ROUND((IF(MinBase2Day&gt;ROUND(((1-(TwoDayDiscount_21_Up+FedExExrpessEarnedDiscount))*'2Day Base'!F127),2),ROUND(MinBase2Day*(1+ExpressFuelSurcharge),2),ROUND(((1-(TwoDayDiscount_21_Up+FedExExrpessEarnedDiscount))*'2Day Base'!F127)*(1+ExpressFuelSurcharge),2)))*(1+FedEx_Markup),2)</f>
        <v>431.61</v>
      </c>
      <c r="G130" s="275">
        <f>ROUND((IF(MinBase2Day&gt;ROUND(((1-(TwoDayDiscount_21_Up+FedExExrpessEarnedDiscount))*'2Day Base'!G127),2),ROUND(MinBase2Day*(1+ExpressFuelSurcharge),2),ROUND(((1-(TwoDayDiscount_21_Up+FedExExrpessEarnedDiscount))*'2Day Base'!G127)*(1+ExpressFuelSurcharge),2)))*(1+FedEx_Markup),2)</f>
        <v>492.76</v>
      </c>
      <c r="H130" s="275">
        <f>ROUND((IF(MinBase2Day&gt;ROUND(((1-(TwoDayDiscount_21_Up+FedExExrpessEarnedDiscount))*'2Day Base'!H127),2),ROUND(MinBase2Day*(1+ExpressFuelSurcharge),2),ROUND(((1-(TwoDayDiscount_21_Up+FedExExrpessEarnedDiscount))*'2Day Base'!H127)*(1+ExpressFuelSurcharge),2)))*(1+FedEx_Markup),2)</f>
        <v>507.6</v>
      </c>
      <c r="I130" s="275">
        <f>ROUND((IF(MinBase2Day&gt;ROUND(((1-(TwoDayDiscount_21_Up+FedExExrpessEarnedDiscount))*'2Day Base'!I127),2),ROUND(MinBase2Day*(1+ExpressFuelSurcharge),2),ROUND(((1-(TwoDayDiscount_21_Up+FedExExrpessEarnedDiscount))*'2Day Base'!I127)*(1+ExpressFuelSurcharge),2)))*(1+FedEx_Markup),2)</f>
        <v>518.29</v>
      </c>
      <c r="J130" s="275">
        <f>ROUND((IF(MinBase2Day&gt;ROUND(((1-(TwoDayDiscount_21_Up+FedExExrpessEarnedDiscount))*'2Day Base'!J127),2),ROUND(MinBase2Day*(1+ExpressFuelSurcharge),2),ROUND(((1-(TwoDayDiscount_21_Up+FedExExrpessEarnedDiscount))*'2Day Base'!J127)*(1+ExpressFuelSurcharge),2)))*(1+FedEx_Markup),2)</f>
        <v>518.29</v>
      </c>
      <c r="K130" s="275">
        <f>ROUND((IF(MinBase2Day&gt;ROUND(((1-(TwoDayDiscount_21_Up+FedExExrpessEarnedDiscount))*'2Day Base'!K127),2),ROUND(MinBase2Day*(1+ExpressFuelSurcharge),2),ROUND(((1-(TwoDayDiscount_21_Up+FedExExrpessEarnedDiscount))*'2Day Base'!K127)*(1+ExpressFuelSurcharge),2)))*(1+FedEx_Markup),2)</f>
        <v>529.58</v>
      </c>
      <c r="L130" s="275">
        <f>ROUND((IF(MinBase2Day&gt;ROUND(((1-(TwoDayDiscount_21_Up+FedExExrpessEarnedDiscount))*'2Day Base'!L127),2),ROUND(MinBase2Day*(1+ExpressFuelSurcharge),2),ROUND(((1-(TwoDayDiscount_21_Up+FedExExrpessEarnedDiscount))*'2Day Base'!L127)*(1+ExpressFuelSurcharge),2)))*(1+FedEx_Markup),2)</f>
        <v>529.58</v>
      </c>
    </row>
    <row r="131" ht="12.75" customHeight="1">
      <c r="A131" s="274">
        <v>126.0</v>
      </c>
      <c r="B131" s="275">
        <f>ROUND((IF(MinBase2Day&gt;ROUND(((1-(TwoDayDiscount_21_Up+FedExExrpessEarnedDiscount))*'2Day Base'!B128),2),ROUND(MinBase2Day*(1+ExpressFuelSurcharge),2),ROUND(((1-(TwoDayDiscount_21_Up+FedExExrpessEarnedDiscount))*'2Day Base'!B128)*(1+ExpressFuelSurcharge),2)))*(1+FedEx_Markup),2)</f>
        <v>114.3</v>
      </c>
      <c r="C131" s="275">
        <f>ROUND((IF(MinBase2Day&gt;ROUND(((1-(TwoDayDiscount_21_Up+FedExExrpessEarnedDiscount))*'2Day Base'!C128),2),ROUND(MinBase2Day*(1+ExpressFuelSurcharge),2),ROUND(((1-(TwoDayDiscount_21_Up+FedExExrpessEarnedDiscount))*'2Day Base'!C128)*(1+ExpressFuelSurcharge),2)))*(1+FedEx_Markup),2)</f>
        <v>143.03</v>
      </c>
      <c r="D131" s="275">
        <f>ROUND((IF(MinBase2Day&gt;ROUND(((1-(TwoDayDiscount_21_Up+FedExExrpessEarnedDiscount))*'2Day Base'!D128),2),ROUND(MinBase2Day*(1+ExpressFuelSurcharge),2),ROUND(((1-(TwoDayDiscount_21_Up+FedExExrpessEarnedDiscount))*'2Day Base'!D128)*(1+ExpressFuelSurcharge),2)))*(1+FedEx_Markup),2)</f>
        <v>184.32</v>
      </c>
      <c r="E131" s="275">
        <f>ROUND((IF(MinBase2Day&gt;ROUND(((1-(TwoDayDiscount_21_Up+FedExExrpessEarnedDiscount))*'2Day Base'!E128),2),ROUND(MinBase2Day*(1+ExpressFuelSurcharge),2),ROUND(((1-(TwoDayDiscount_21_Up+FedExExrpessEarnedDiscount))*'2Day Base'!E128)*(1+ExpressFuelSurcharge),2)))*(1+FedEx_Markup),2)</f>
        <v>274.08</v>
      </c>
      <c r="F131" s="275">
        <f>ROUND((IF(MinBase2Day&gt;ROUND(((1-(TwoDayDiscount_21_Up+FedExExrpessEarnedDiscount))*'2Day Base'!F128),2),ROUND(MinBase2Day*(1+ExpressFuelSurcharge),2),ROUND(((1-(TwoDayDiscount_21_Up+FedExExrpessEarnedDiscount))*'2Day Base'!F128)*(1+ExpressFuelSurcharge),2)))*(1+FedEx_Markup),2)</f>
        <v>435.07</v>
      </c>
      <c r="G131" s="275">
        <f>ROUND((IF(MinBase2Day&gt;ROUND(((1-(TwoDayDiscount_21_Up+FedExExrpessEarnedDiscount))*'2Day Base'!G128),2),ROUND(MinBase2Day*(1+ExpressFuelSurcharge),2),ROUND(((1-(TwoDayDiscount_21_Up+FedExExrpessEarnedDiscount))*'2Day Base'!G128)*(1+ExpressFuelSurcharge),2)))*(1+FedEx_Markup),2)</f>
        <v>496.71</v>
      </c>
      <c r="H131" s="275">
        <f>ROUND((IF(MinBase2Day&gt;ROUND(((1-(TwoDayDiscount_21_Up+FedExExrpessEarnedDiscount))*'2Day Base'!H128),2),ROUND(MinBase2Day*(1+ExpressFuelSurcharge),2),ROUND(((1-(TwoDayDiscount_21_Up+FedExExrpessEarnedDiscount))*'2Day Base'!H128)*(1+ExpressFuelSurcharge),2)))*(1+FedEx_Markup),2)</f>
        <v>511.66</v>
      </c>
      <c r="I131" s="275">
        <f>ROUND((IF(MinBase2Day&gt;ROUND(((1-(TwoDayDiscount_21_Up+FedExExrpessEarnedDiscount))*'2Day Base'!I128),2),ROUND(MinBase2Day*(1+ExpressFuelSurcharge),2),ROUND(((1-(TwoDayDiscount_21_Up+FedExExrpessEarnedDiscount))*'2Day Base'!I128)*(1+ExpressFuelSurcharge),2)))*(1+FedEx_Markup),2)</f>
        <v>522.43</v>
      </c>
      <c r="J131" s="275">
        <f>ROUND((IF(MinBase2Day&gt;ROUND(((1-(TwoDayDiscount_21_Up+FedExExrpessEarnedDiscount))*'2Day Base'!J128),2),ROUND(MinBase2Day*(1+ExpressFuelSurcharge),2),ROUND(((1-(TwoDayDiscount_21_Up+FedExExrpessEarnedDiscount))*'2Day Base'!J128)*(1+ExpressFuelSurcharge),2)))*(1+FedEx_Markup),2)</f>
        <v>522.43</v>
      </c>
      <c r="K131" s="275">
        <f>ROUND((IF(MinBase2Day&gt;ROUND(((1-(TwoDayDiscount_21_Up+FedExExrpessEarnedDiscount))*'2Day Base'!K128),2),ROUND(MinBase2Day*(1+ExpressFuelSurcharge),2),ROUND(((1-(TwoDayDiscount_21_Up+FedExExrpessEarnedDiscount))*'2Day Base'!K128)*(1+ExpressFuelSurcharge),2)))*(1+FedEx_Markup),2)</f>
        <v>533.81</v>
      </c>
      <c r="L131" s="275">
        <f>ROUND((IF(MinBase2Day&gt;ROUND(((1-(TwoDayDiscount_21_Up+FedExExrpessEarnedDiscount))*'2Day Base'!L128),2),ROUND(MinBase2Day*(1+ExpressFuelSurcharge),2),ROUND(((1-(TwoDayDiscount_21_Up+FedExExrpessEarnedDiscount))*'2Day Base'!L128)*(1+ExpressFuelSurcharge),2)))*(1+FedEx_Markup),2)</f>
        <v>533.81</v>
      </c>
    </row>
    <row r="132" ht="12.75" customHeight="1">
      <c r="A132" s="274">
        <v>127.0</v>
      </c>
      <c r="B132" s="275">
        <f>ROUND((IF(MinBase2Day&gt;ROUND(((1-(TwoDayDiscount_21_Up+FedExExrpessEarnedDiscount))*'2Day Base'!B129),2),ROUND(MinBase2Day*(1+ExpressFuelSurcharge),2),ROUND(((1-(TwoDayDiscount_21_Up+FedExExrpessEarnedDiscount))*'2Day Base'!B129)*(1+ExpressFuelSurcharge),2)))*(1+FedEx_Markup),2)</f>
        <v>115.21</v>
      </c>
      <c r="C132" s="275">
        <f>ROUND((IF(MinBase2Day&gt;ROUND(((1-(TwoDayDiscount_21_Up+FedExExrpessEarnedDiscount))*'2Day Base'!C129),2),ROUND(MinBase2Day*(1+ExpressFuelSurcharge),2),ROUND(((1-(TwoDayDiscount_21_Up+FedExExrpessEarnedDiscount))*'2Day Base'!C129)*(1+ExpressFuelSurcharge),2)))*(1+FedEx_Markup),2)</f>
        <v>144.16</v>
      </c>
      <c r="D132" s="275">
        <f>ROUND((IF(MinBase2Day&gt;ROUND(((1-(TwoDayDiscount_21_Up+FedExExrpessEarnedDiscount))*'2Day Base'!D129),2),ROUND(MinBase2Day*(1+ExpressFuelSurcharge),2),ROUND(((1-(TwoDayDiscount_21_Up+FedExExrpessEarnedDiscount))*'2Day Base'!D129)*(1+ExpressFuelSurcharge),2)))*(1+FedEx_Markup),2)</f>
        <v>185.78</v>
      </c>
      <c r="E132" s="275">
        <f>ROUND((IF(MinBase2Day&gt;ROUND(((1-(TwoDayDiscount_21_Up+FedExExrpessEarnedDiscount))*'2Day Base'!E129),2),ROUND(MinBase2Day*(1+ExpressFuelSurcharge),2),ROUND(((1-(TwoDayDiscount_21_Up+FedExExrpessEarnedDiscount))*'2Day Base'!E129)*(1+ExpressFuelSurcharge),2)))*(1+FedEx_Markup),2)</f>
        <v>276.26</v>
      </c>
      <c r="F132" s="275">
        <f>ROUND((IF(MinBase2Day&gt;ROUND(((1-(TwoDayDiscount_21_Up+FedExExrpessEarnedDiscount))*'2Day Base'!F129),2),ROUND(MinBase2Day*(1+ExpressFuelSurcharge),2),ROUND(((1-(TwoDayDiscount_21_Up+FedExExrpessEarnedDiscount))*'2Day Base'!F129)*(1+ExpressFuelSurcharge),2)))*(1+FedEx_Markup),2)</f>
        <v>438.52</v>
      </c>
      <c r="G132" s="275">
        <f>ROUND((IF(MinBase2Day&gt;ROUND(((1-(TwoDayDiscount_21_Up+FedExExrpessEarnedDiscount))*'2Day Base'!G129),2),ROUND(MinBase2Day*(1+ExpressFuelSurcharge),2),ROUND(((1-(TwoDayDiscount_21_Up+FedExExrpessEarnedDiscount))*'2Day Base'!G129)*(1+ExpressFuelSurcharge),2)))*(1+FedEx_Markup),2)</f>
        <v>500.64</v>
      </c>
      <c r="H132" s="275">
        <f>ROUND((IF(MinBase2Day&gt;ROUND(((1-(TwoDayDiscount_21_Up+FedExExrpessEarnedDiscount))*'2Day Base'!H129),2),ROUND(MinBase2Day*(1+ExpressFuelSurcharge),2),ROUND(((1-(TwoDayDiscount_21_Up+FedExExrpessEarnedDiscount))*'2Day Base'!H129)*(1+ExpressFuelSurcharge),2)))*(1+FedEx_Markup),2)</f>
        <v>515.73</v>
      </c>
      <c r="I132" s="275">
        <f>ROUND((IF(MinBase2Day&gt;ROUND(((1-(TwoDayDiscount_21_Up+FedExExrpessEarnedDiscount))*'2Day Base'!I129),2),ROUND(MinBase2Day*(1+ExpressFuelSurcharge),2),ROUND(((1-(TwoDayDiscount_21_Up+FedExExrpessEarnedDiscount))*'2Day Base'!I129)*(1+ExpressFuelSurcharge),2)))*(1+FedEx_Markup),2)</f>
        <v>526.59</v>
      </c>
      <c r="J132" s="275">
        <f>ROUND((IF(MinBase2Day&gt;ROUND(((1-(TwoDayDiscount_21_Up+FedExExrpessEarnedDiscount))*'2Day Base'!J129),2),ROUND(MinBase2Day*(1+ExpressFuelSurcharge),2),ROUND(((1-(TwoDayDiscount_21_Up+FedExExrpessEarnedDiscount))*'2Day Base'!J129)*(1+ExpressFuelSurcharge),2)))*(1+FedEx_Markup),2)</f>
        <v>526.59</v>
      </c>
      <c r="K132" s="275">
        <f>ROUND((IF(MinBase2Day&gt;ROUND(((1-(TwoDayDiscount_21_Up+FedExExrpessEarnedDiscount))*'2Day Base'!K129),2),ROUND(MinBase2Day*(1+ExpressFuelSurcharge),2),ROUND(((1-(TwoDayDiscount_21_Up+FedExExrpessEarnedDiscount))*'2Day Base'!K129)*(1+ExpressFuelSurcharge),2)))*(1+FedEx_Markup),2)</f>
        <v>538.04</v>
      </c>
      <c r="L132" s="275">
        <f>ROUND((IF(MinBase2Day&gt;ROUND(((1-(TwoDayDiscount_21_Up+FedExExrpessEarnedDiscount))*'2Day Base'!L129),2),ROUND(MinBase2Day*(1+ExpressFuelSurcharge),2),ROUND(((1-(TwoDayDiscount_21_Up+FedExExrpessEarnedDiscount))*'2Day Base'!L129)*(1+ExpressFuelSurcharge),2)))*(1+FedEx_Markup),2)</f>
        <v>538.04</v>
      </c>
    </row>
    <row r="133" ht="12.75" customHeight="1">
      <c r="A133" s="274">
        <v>128.0</v>
      </c>
      <c r="B133" s="275">
        <f>ROUND((IF(MinBase2Day&gt;ROUND(((1-(TwoDayDiscount_21_Up+FedExExrpessEarnedDiscount))*'2Day Base'!B130),2),ROUND(MinBase2Day*(1+ExpressFuelSurcharge),2),ROUND(((1-(TwoDayDiscount_21_Up+FedExExrpessEarnedDiscount))*'2Day Base'!B130)*(1+ExpressFuelSurcharge),2)))*(1+FedEx_Markup),2)</f>
        <v>116.12</v>
      </c>
      <c r="C133" s="275">
        <f>ROUND((IF(MinBase2Day&gt;ROUND(((1-(TwoDayDiscount_21_Up+FedExExrpessEarnedDiscount))*'2Day Base'!C130),2),ROUND(MinBase2Day*(1+ExpressFuelSurcharge),2),ROUND(((1-(TwoDayDiscount_21_Up+FedExExrpessEarnedDiscount))*'2Day Base'!C130)*(1+ExpressFuelSurcharge),2)))*(1+FedEx_Markup),2)</f>
        <v>145.29</v>
      </c>
      <c r="D133" s="275">
        <f>ROUND((IF(MinBase2Day&gt;ROUND(((1-(TwoDayDiscount_21_Up+FedExExrpessEarnedDiscount))*'2Day Base'!D130),2),ROUND(MinBase2Day*(1+ExpressFuelSurcharge),2),ROUND(((1-(TwoDayDiscount_21_Up+FedExExrpessEarnedDiscount))*'2Day Base'!D130)*(1+ExpressFuelSurcharge),2)))*(1+FedEx_Markup),2)</f>
        <v>187.24</v>
      </c>
      <c r="E133" s="275">
        <f>ROUND((IF(MinBase2Day&gt;ROUND(((1-(TwoDayDiscount_21_Up+FedExExrpessEarnedDiscount))*'2Day Base'!E130),2),ROUND(MinBase2Day*(1+ExpressFuelSurcharge),2),ROUND(((1-(TwoDayDiscount_21_Up+FedExExrpessEarnedDiscount))*'2Day Base'!E130)*(1+ExpressFuelSurcharge),2)))*(1+FedEx_Markup),2)</f>
        <v>278.44</v>
      </c>
      <c r="F133" s="275">
        <f>ROUND((IF(MinBase2Day&gt;ROUND(((1-(TwoDayDiscount_21_Up+FedExExrpessEarnedDiscount))*'2Day Base'!F130),2),ROUND(MinBase2Day*(1+ExpressFuelSurcharge),2),ROUND(((1-(TwoDayDiscount_21_Up+FedExExrpessEarnedDiscount))*'2Day Base'!F130)*(1+ExpressFuelSurcharge),2)))*(1+FedEx_Markup),2)</f>
        <v>441.97</v>
      </c>
      <c r="G133" s="275">
        <f>ROUND((IF(MinBase2Day&gt;ROUND(((1-(TwoDayDiscount_21_Up+FedExExrpessEarnedDiscount))*'2Day Base'!G130),2),ROUND(MinBase2Day*(1+ExpressFuelSurcharge),2),ROUND(((1-(TwoDayDiscount_21_Up+FedExExrpessEarnedDiscount))*'2Day Base'!G130)*(1+ExpressFuelSurcharge),2)))*(1+FedEx_Markup),2)</f>
        <v>504.59</v>
      </c>
      <c r="H133" s="275">
        <f>ROUND((IF(MinBase2Day&gt;ROUND(((1-(TwoDayDiscount_21_Up+FedExExrpessEarnedDiscount))*'2Day Base'!H130),2),ROUND(MinBase2Day*(1+ExpressFuelSurcharge),2),ROUND(((1-(TwoDayDiscount_21_Up+FedExExrpessEarnedDiscount))*'2Day Base'!H130)*(1+ExpressFuelSurcharge),2)))*(1+FedEx_Markup),2)</f>
        <v>519.79</v>
      </c>
      <c r="I133" s="275">
        <f>ROUND((IF(MinBase2Day&gt;ROUND(((1-(TwoDayDiscount_21_Up+FedExExrpessEarnedDiscount))*'2Day Base'!I130),2),ROUND(MinBase2Day*(1+ExpressFuelSurcharge),2),ROUND(((1-(TwoDayDiscount_21_Up+FedExExrpessEarnedDiscount))*'2Day Base'!I130)*(1+ExpressFuelSurcharge),2)))*(1+FedEx_Markup),2)</f>
        <v>530.73</v>
      </c>
      <c r="J133" s="275">
        <f>ROUND((IF(MinBase2Day&gt;ROUND(((1-(TwoDayDiscount_21_Up+FedExExrpessEarnedDiscount))*'2Day Base'!J130),2),ROUND(MinBase2Day*(1+ExpressFuelSurcharge),2),ROUND(((1-(TwoDayDiscount_21_Up+FedExExrpessEarnedDiscount))*'2Day Base'!J130)*(1+ExpressFuelSurcharge),2)))*(1+FedEx_Markup),2)</f>
        <v>530.73</v>
      </c>
      <c r="K133" s="275">
        <f>ROUND((IF(MinBase2Day&gt;ROUND(((1-(TwoDayDiscount_21_Up+FedExExrpessEarnedDiscount))*'2Day Base'!K130),2),ROUND(MinBase2Day*(1+ExpressFuelSurcharge),2),ROUND(((1-(TwoDayDiscount_21_Up+FedExExrpessEarnedDiscount))*'2Day Base'!K130)*(1+ExpressFuelSurcharge),2)))*(1+FedEx_Markup),2)</f>
        <v>542.28</v>
      </c>
      <c r="L133" s="275">
        <f>ROUND((IF(MinBase2Day&gt;ROUND(((1-(TwoDayDiscount_21_Up+FedExExrpessEarnedDiscount))*'2Day Base'!L130),2),ROUND(MinBase2Day*(1+ExpressFuelSurcharge),2),ROUND(((1-(TwoDayDiscount_21_Up+FedExExrpessEarnedDiscount))*'2Day Base'!L130)*(1+ExpressFuelSurcharge),2)))*(1+FedEx_Markup),2)</f>
        <v>542.28</v>
      </c>
    </row>
    <row r="134" ht="12.75" customHeight="1">
      <c r="A134" s="274">
        <v>129.0</v>
      </c>
      <c r="B134" s="275">
        <f>ROUND((IF(MinBase2Day&gt;ROUND(((1-(TwoDayDiscount_21_Up+FedExExrpessEarnedDiscount))*'2Day Base'!B131),2),ROUND(MinBase2Day*(1+ExpressFuelSurcharge),2),ROUND(((1-(TwoDayDiscount_21_Up+FedExExrpessEarnedDiscount))*'2Day Base'!B131)*(1+ExpressFuelSurcharge),2)))*(1+FedEx_Markup),2)</f>
        <v>117.02</v>
      </c>
      <c r="C134" s="275">
        <f>ROUND((IF(MinBase2Day&gt;ROUND(((1-(TwoDayDiscount_21_Up+FedExExrpessEarnedDiscount))*'2Day Base'!C131),2),ROUND(MinBase2Day*(1+ExpressFuelSurcharge),2),ROUND(((1-(TwoDayDiscount_21_Up+FedExExrpessEarnedDiscount))*'2Day Base'!C131)*(1+ExpressFuelSurcharge),2)))*(1+FedEx_Markup),2)</f>
        <v>146.43</v>
      </c>
      <c r="D134" s="275">
        <f>ROUND((IF(MinBase2Day&gt;ROUND(((1-(TwoDayDiscount_21_Up+FedExExrpessEarnedDiscount))*'2Day Base'!D131),2),ROUND(MinBase2Day*(1+ExpressFuelSurcharge),2),ROUND(((1-(TwoDayDiscount_21_Up+FedExExrpessEarnedDiscount))*'2Day Base'!D131)*(1+ExpressFuelSurcharge),2)))*(1+FedEx_Markup),2)</f>
        <v>188.7</v>
      </c>
      <c r="E134" s="275">
        <f>ROUND((IF(MinBase2Day&gt;ROUND(((1-(TwoDayDiscount_21_Up+FedExExrpessEarnedDiscount))*'2Day Base'!E131),2),ROUND(MinBase2Day*(1+ExpressFuelSurcharge),2),ROUND(((1-(TwoDayDiscount_21_Up+FedExExrpessEarnedDiscount))*'2Day Base'!E131)*(1+ExpressFuelSurcharge),2)))*(1+FedEx_Markup),2)</f>
        <v>280.61</v>
      </c>
      <c r="F134" s="275">
        <f>ROUND((IF(MinBase2Day&gt;ROUND(((1-(TwoDayDiscount_21_Up+FedExExrpessEarnedDiscount))*'2Day Base'!F131),2),ROUND(MinBase2Day*(1+ExpressFuelSurcharge),2),ROUND(((1-(TwoDayDiscount_21_Up+FedExExrpessEarnedDiscount))*'2Day Base'!F131)*(1+ExpressFuelSurcharge),2)))*(1+FedEx_Markup),2)</f>
        <v>445.42</v>
      </c>
      <c r="G134" s="275">
        <f>ROUND((IF(MinBase2Day&gt;ROUND(((1-(TwoDayDiscount_21_Up+FedExExrpessEarnedDiscount))*'2Day Base'!G131),2),ROUND(MinBase2Day*(1+ExpressFuelSurcharge),2),ROUND(((1-(TwoDayDiscount_21_Up+FedExExrpessEarnedDiscount))*'2Day Base'!G131)*(1+ExpressFuelSurcharge),2)))*(1+FedEx_Markup),2)</f>
        <v>508.53</v>
      </c>
      <c r="H134" s="275">
        <f>ROUND((IF(MinBase2Day&gt;ROUND(((1-(TwoDayDiscount_21_Up+FedExExrpessEarnedDiscount))*'2Day Base'!H131),2),ROUND(MinBase2Day*(1+ExpressFuelSurcharge),2),ROUND(((1-(TwoDayDiscount_21_Up+FedExExrpessEarnedDiscount))*'2Day Base'!H131)*(1+ExpressFuelSurcharge),2)))*(1+FedEx_Markup),2)</f>
        <v>523.85</v>
      </c>
      <c r="I134" s="275">
        <f>ROUND((IF(MinBase2Day&gt;ROUND(((1-(TwoDayDiscount_21_Up+FedExExrpessEarnedDiscount))*'2Day Base'!I131),2),ROUND(MinBase2Day*(1+ExpressFuelSurcharge),2),ROUND(((1-(TwoDayDiscount_21_Up+FedExExrpessEarnedDiscount))*'2Day Base'!I131)*(1+ExpressFuelSurcharge),2)))*(1+FedEx_Markup),2)</f>
        <v>534.88</v>
      </c>
      <c r="J134" s="275">
        <f>ROUND((IF(MinBase2Day&gt;ROUND(((1-(TwoDayDiscount_21_Up+FedExExrpessEarnedDiscount))*'2Day Base'!J131),2),ROUND(MinBase2Day*(1+ExpressFuelSurcharge),2),ROUND(((1-(TwoDayDiscount_21_Up+FedExExrpessEarnedDiscount))*'2Day Base'!J131)*(1+ExpressFuelSurcharge),2)))*(1+FedEx_Markup),2)</f>
        <v>534.88</v>
      </c>
      <c r="K134" s="275">
        <f>ROUND((IF(MinBase2Day&gt;ROUND(((1-(TwoDayDiscount_21_Up+FedExExrpessEarnedDiscount))*'2Day Base'!K131),2),ROUND(MinBase2Day*(1+ExpressFuelSurcharge),2),ROUND(((1-(TwoDayDiscount_21_Up+FedExExrpessEarnedDiscount))*'2Day Base'!K131)*(1+ExpressFuelSurcharge),2)))*(1+FedEx_Markup),2)</f>
        <v>546.51</v>
      </c>
      <c r="L134" s="275">
        <f>ROUND((IF(MinBase2Day&gt;ROUND(((1-(TwoDayDiscount_21_Up+FedExExrpessEarnedDiscount))*'2Day Base'!L131),2),ROUND(MinBase2Day*(1+ExpressFuelSurcharge),2),ROUND(((1-(TwoDayDiscount_21_Up+FedExExrpessEarnedDiscount))*'2Day Base'!L131)*(1+ExpressFuelSurcharge),2)))*(1+FedEx_Markup),2)</f>
        <v>546.51</v>
      </c>
    </row>
    <row r="135" ht="12.75" customHeight="1">
      <c r="A135" s="274">
        <v>130.0</v>
      </c>
      <c r="B135" s="275">
        <f>ROUND((IF(MinBase2Day&gt;ROUND(((1-(TwoDayDiscount_21_Up+FedExExrpessEarnedDiscount))*'2Day Base'!B132),2),ROUND(MinBase2Day*(1+ExpressFuelSurcharge),2),ROUND(((1-(TwoDayDiscount_21_Up+FedExExrpessEarnedDiscount))*'2Day Base'!B132)*(1+ExpressFuelSurcharge),2)))*(1+FedEx_Markup),2)</f>
        <v>117.93</v>
      </c>
      <c r="C135" s="275">
        <f>ROUND((IF(MinBase2Day&gt;ROUND(((1-(TwoDayDiscount_21_Up+FedExExrpessEarnedDiscount))*'2Day Base'!C132),2),ROUND(MinBase2Day*(1+ExpressFuelSurcharge),2),ROUND(((1-(TwoDayDiscount_21_Up+FedExExrpessEarnedDiscount))*'2Day Base'!C132)*(1+ExpressFuelSurcharge),2)))*(1+FedEx_Markup),2)</f>
        <v>147.57</v>
      </c>
      <c r="D135" s="275">
        <f>ROUND((IF(MinBase2Day&gt;ROUND(((1-(TwoDayDiscount_21_Up+FedExExrpessEarnedDiscount))*'2Day Base'!D132),2),ROUND(MinBase2Day*(1+ExpressFuelSurcharge),2),ROUND(((1-(TwoDayDiscount_21_Up+FedExExrpessEarnedDiscount))*'2Day Base'!D132)*(1+ExpressFuelSurcharge),2)))*(1+FedEx_Markup),2)</f>
        <v>190.18</v>
      </c>
      <c r="E135" s="275">
        <f>ROUND((IF(MinBase2Day&gt;ROUND(((1-(TwoDayDiscount_21_Up+FedExExrpessEarnedDiscount))*'2Day Base'!E132),2),ROUND(MinBase2Day*(1+ExpressFuelSurcharge),2),ROUND(((1-(TwoDayDiscount_21_Up+FedExExrpessEarnedDiscount))*'2Day Base'!E132)*(1+ExpressFuelSurcharge),2)))*(1+FedEx_Markup),2)</f>
        <v>282.79</v>
      </c>
      <c r="F135" s="275">
        <f>ROUND((IF(MinBase2Day&gt;ROUND(((1-(TwoDayDiscount_21_Up+FedExExrpessEarnedDiscount))*'2Day Base'!F132),2),ROUND(MinBase2Day*(1+ExpressFuelSurcharge),2),ROUND(((1-(TwoDayDiscount_21_Up+FedExExrpessEarnedDiscount))*'2Day Base'!F132)*(1+ExpressFuelSurcharge),2)))*(1+FedEx_Markup),2)</f>
        <v>448.88</v>
      </c>
      <c r="G135" s="275">
        <f>ROUND((IF(MinBase2Day&gt;ROUND(((1-(TwoDayDiscount_21_Up+FedExExrpessEarnedDiscount))*'2Day Base'!G132),2),ROUND(MinBase2Day*(1+ExpressFuelSurcharge),2),ROUND(((1-(TwoDayDiscount_21_Up+FedExExrpessEarnedDiscount))*'2Day Base'!G132)*(1+ExpressFuelSurcharge),2)))*(1+FedEx_Markup),2)</f>
        <v>512.47</v>
      </c>
      <c r="H135" s="275">
        <f>ROUND((IF(MinBase2Day&gt;ROUND(((1-(TwoDayDiscount_21_Up+FedExExrpessEarnedDiscount))*'2Day Base'!H132),2),ROUND(MinBase2Day*(1+ExpressFuelSurcharge),2),ROUND(((1-(TwoDayDiscount_21_Up+FedExExrpessEarnedDiscount))*'2Day Base'!H132)*(1+ExpressFuelSurcharge),2)))*(1+FedEx_Markup),2)</f>
        <v>527.91</v>
      </c>
      <c r="I135" s="275">
        <f>ROUND((IF(MinBase2Day&gt;ROUND(((1-(TwoDayDiscount_21_Up+FedExExrpessEarnedDiscount))*'2Day Base'!I132),2),ROUND(MinBase2Day*(1+ExpressFuelSurcharge),2),ROUND(((1-(TwoDayDiscount_21_Up+FedExExrpessEarnedDiscount))*'2Day Base'!I132)*(1+ExpressFuelSurcharge),2)))*(1+FedEx_Markup),2)</f>
        <v>539.02</v>
      </c>
      <c r="J135" s="275">
        <f>ROUND((IF(MinBase2Day&gt;ROUND(((1-(TwoDayDiscount_21_Up+FedExExrpessEarnedDiscount))*'2Day Base'!J132),2),ROUND(MinBase2Day*(1+ExpressFuelSurcharge),2),ROUND(((1-(TwoDayDiscount_21_Up+FedExExrpessEarnedDiscount))*'2Day Base'!J132)*(1+ExpressFuelSurcharge),2)))*(1+FedEx_Markup),2)</f>
        <v>539.02</v>
      </c>
      <c r="K135" s="275">
        <f>ROUND((IF(MinBase2Day&gt;ROUND(((1-(TwoDayDiscount_21_Up+FedExExrpessEarnedDiscount))*'2Day Base'!K132),2),ROUND(MinBase2Day*(1+ExpressFuelSurcharge),2),ROUND(((1-(TwoDayDiscount_21_Up+FedExExrpessEarnedDiscount))*'2Day Base'!K132)*(1+ExpressFuelSurcharge),2)))*(1+FedEx_Markup),2)</f>
        <v>550.75</v>
      </c>
      <c r="L135" s="275">
        <f>ROUND((IF(MinBase2Day&gt;ROUND(((1-(TwoDayDiscount_21_Up+FedExExrpessEarnedDiscount))*'2Day Base'!L132),2),ROUND(MinBase2Day*(1+ExpressFuelSurcharge),2),ROUND(((1-(TwoDayDiscount_21_Up+FedExExrpessEarnedDiscount))*'2Day Base'!L132)*(1+ExpressFuelSurcharge),2)))*(1+FedEx_Markup),2)</f>
        <v>550.75</v>
      </c>
    </row>
    <row r="136" ht="12.75" customHeight="1">
      <c r="A136" s="274">
        <v>131.0</v>
      </c>
      <c r="B136" s="275">
        <f>ROUND((IF(MinBase2Day&gt;ROUND(((1-(TwoDayDiscount_21_Up+FedExExrpessEarnedDiscount))*'2Day Base'!B133),2),ROUND(MinBase2Day*(1+ExpressFuelSurcharge),2),ROUND(((1-(TwoDayDiscount_21_Up+FedExExrpessEarnedDiscount))*'2Day Base'!B133)*(1+ExpressFuelSurcharge),2)))*(1+FedEx_Markup),2)</f>
        <v>118.84</v>
      </c>
      <c r="C136" s="275">
        <f>ROUND((IF(MinBase2Day&gt;ROUND(((1-(TwoDayDiscount_21_Up+FedExExrpessEarnedDiscount))*'2Day Base'!C133),2),ROUND(MinBase2Day*(1+ExpressFuelSurcharge),2),ROUND(((1-(TwoDayDiscount_21_Up+FedExExrpessEarnedDiscount))*'2Day Base'!C133)*(1+ExpressFuelSurcharge),2)))*(1+FedEx_Markup),2)</f>
        <v>148.71</v>
      </c>
      <c r="D136" s="275">
        <f>ROUND((IF(MinBase2Day&gt;ROUND(((1-(TwoDayDiscount_21_Up+FedExExrpessEarnedDiscount))*'2Day Base'!D133),2),ROUND(MinBase2Day*(1+ExpressFuelSurcharge),2),ROUND(((1-(TwoDayDiscount_21_Up+FedExExrpessEarnedDiscount))*'2Day Base'!D133)*(1+ExpressFuelSurcharge),2)))*(1+FedEx_Markup),2)</f>
        <v>191.64</v>
      </c>
      <c r="E136" s="275">
        <f>ROUND((IF(MinBase2Day&gt;ROUND(((1-(TwoDayDiscount_21_Up+FedExExrpessEarnedDiscount))*'2Day Base'!E133),2),ROUND(MinBase2Day*(1+ExpressFuelSurcharge),2),ROUND(((1-(TwoDayDiscount_21_Up+FedExExrpessEarnedDiscount))*'2Day Base'!E133)*(1+ExpressFuelSurcharge),2)))*(1+FedEx_Markup),2)</f>
        <v>284.96</v>
      </c>
      <c r="F136" s="275">
        <f>ROUND((IF(MinBase2Day&gt;ROUND(((1-(TwoDayDiscount_21_Up+FedExExrpessEarnedDiscount))*'2Day Base'!F133),2),ROUND(MinBase2Day*(1+ExpressFuelSurcharge),2),ROUND(((1-(TwoDayDiscount_21_Up+FedExExrpessEarnedDiscount))*'2Day Base'!F133)*(1+ExpressFuelSurcharge),2)))*(1+FedEx_Markup),2)</f>
        <v>452.33</v>
      </c>
      <c r="G136" s="275">
        <f>ROUND((IF(MinBase2Day&gt;ROUND(((1-(TwoDayDiscount_21_Up+FedExExrpessEarnedDiscount))*'2Day Base'!G133),2),ROUND(MinBase2Day*(1+ExpressFuelSurcharge),2),ROUND(((1-(TwoDayDiscount_21_Up+FedExExrpessEarnedDiscount))*'2Day Base'!G133)*(1+ExpressFuelSurcharge),2)))*(1+FedEx_Markup),2)</f>
        <v>516.41</v>
      </c>
      <c r="H136" s="275">
        <f>ROUND((IF(MinBase2Day&gt;ROUND(((1-(TwoDayDiscount_21_Up+FedExExrpessEarnedDiscount))*'2Day Base'!H133),2),ROUND(MinBase2Day*(1+ExpressFuelSurcharge),2),ROUND(((1-(TwoDayDiscount_21_Up+FedExExrpessEarnedDiscount))*'2Day Base'!H133)*(1+ExpressFuelSurcharge),2)))*(1+FedEx_Markup),2)</f>
        <v>531.97</v>
      </c>
      <c r="I136" s="275">
        <f>ROUND((IF(MinBase2Day&gt;ROUND(((1-(TwoDayDiscount_21_Up+FedExExrpessEarnedDiscount))*'2Day Base'!I133),2),ROUND(MinBase2Day*(1+ExpressFuelSurcharge),2),ROUND(((1-(TwoDayDiscount_21_Up+FedExExrpessEarnedDiscount))*'2Day Base'!I133)*(1+ExpressFuelSurcharge),2)))*(1+FedEx_Markup),2)</f>
        <v>543.17</v>
      </c>
      <c r="J136" s="275">
        <f>ROUND((IF(MinBase2Day&gt;ROUND(((1-(TwoDayDiscount_21_Up+FedExExrpessEarnedDiscount))*'2Day Base'!J133),2),ROUND(MinBase2Day*(1+ExpressFuelSurcharge),2),ROUND(((1-(TwoDayDiscount_21_Up+FedExExrpessEarnedDiscount))*'2Day Base'!J133)*(1+ExpressFuelSurcharge),2)))*(1+FedEx_Markup),2)</f>
        <v>543.17</v>
      </c>
      <c r="K136" s="275">
        <f>ROUND((IF(MinBase2Day&gt;ROUND(((1-(TwoDayDiscount_21_Up+FedExExrpessEarnedDiscount))*'2Day Base'!K133),2),ROUND(MinBase2Day*(1+ExpressFuelSurcharge),2),ROUND(((1-(TwoDayDiscount_21_Up+FedExExrpessEarnedDiscount))*'2Day Base'!K133)*(1+ExpressFuelSurcharge),2)))*(1+FedEx_Markup),2)</f>
        <v>554.99</v>
      </c>
      <c r="L136" s="275">
        <f>ROUND((IF(MinBase2Day&gt;ROUND(((1-(TwoDayDiscount_21_Up+FedExExrpessEarnedDiscount))*'2Day Base'!L133),2),ROUND(MinBase2Day*(1+ExpressFuelSurcharge),2),ROUND(((1-(TwoDayDiscount_21_Up+FedExExrpessEarnedDiscount))*'2Day Base'!L133)*(1+ExpressFuelSurcharge),2)))*(1+FedEx_Markup),2)</f>
        <v>554.99</v>
      </c>
    </row>
    <row r="137" ht="12.75" customHeight="1">
      <c r="A137" s="274">
        <v>132.0</v>
      </c>
      <c r="B137" s="275">
        <f>ROUND((IF(MinBase2Day&gt;ROUND(((1-(TwoDayDiscount_21_Up+FedExExrpessEarnedDiscount))*'2Day Base'!B134),2),ROUND(MinBase2Day*(1+ExpressFuelSurcharge),2),ROUND(((1-(TwoDayDiscount_21_Up+FedExExrpessEarnedDiscount))*'2Day Base'!B134)*(1+ExpressFuelSurcharge),2)))*(1+FedEx_Markup),2)</f>
        <v>119.75</v>
      </c>
      <c r="C137" s="275">
        <f>ROUND((IF(MinBase2Day&gt;ROUND(((1-(TwoDayDiscount_21_Up+FedExExrpessEarnedDiscount))*'2Day Base'!C134),2),ROUND(MinBase2Day*(1+ExpressFuelSurcharge),2),ROUND(((1-(TwoDayDiscount_21_Up+FedExExrpessEarnedDiscount))*'2Day Base'!C134)*(1+ExpressFuelSurcharge),2)))*(1+FedEx_Markup),2)</f>
        <v>149.83</v>
      </c>
      <c r="D137" s="275">
        <f>ROUND((IF(MinBase2Day&gt;ROUND(((1-(TwoDayDiscount_21_Up+FedExExrpessEarnedDiscount))*'2Day Base'!D134),2),ROUND(MinBase2Day*(1+ExpressFuelSurcharge),2),ROUND(((1-(TwoDayDiscount_21_Up+FedExExrpessEarnedDiscount))*'2Day Base'!D134)*(1+ExpressFuelSurcharge),2)))*(1+FedEx_Markup),2)</f>
        <v>193.1</v>
      </c>
      <c r="E137" s="275">
        <f>ROUND((IF(MinBase2Day&gt;ROUND(((1-(TwoDayDiscount_21_Up+FedExExrpessEarnedDiscount))*'2Day Base'!E134),2),ROUND(MinBase2Day*(1+ExpressFuelSurcharge),2),ROUND(((1-(TwoDayDiscount_21_Up+FedExExrpessEarnedDiscount))*'2Day Base'!E134)*(1+ExpressFuelSurcharge),2)))*(1+FedEx_Markup),2)</f>
        <v>287.13</v>
      </c>
      <c r="F137" s="275">
        <f>ROUND((IF(MinBase2Day&gt;ROUND(((1-(TwoDayDiscount_21_Up+FedExExrpessEarnedDiscount))*'2Day Base'!F134),2),ROUND(MinBase2Day*(1+ExpressFuelSurcharge),2),ROUND(((1-(TwoDayDiscount_21_Up+FedExExrpessEarnedDiscount))*'2Day Base'!F134)*(1+ExpressFuelSurcharge),2)))*(1+FedEx_Markup),2)</f>
        <v>455.78</v>
      </c>
      <c r="G137" s="275">
        <f>ROUND((IF(MinBase2Day&gt;ROUND(((1-(TwoDayDiscount_21_Up+FedExExrpessEarnedDiscount))*'2Day Base'!G134),2),ROUND(MinBase2Day*(1+ExpressFuelSurcharge),2),ROUND(((1-(TwoDayDiscount_21_Up+FedExExrpessEarnedDiscount))*'2Day Base'!G134)*(1+ExpressFuelSurcharge),2)))*(1+FedEx_Markup),2)</f>
        <v>520.35</v>
      </c>
      <c r="H137" s="275">
        <f>ROUND((IF(MinBase2Day&gt;ROUND(((1-(TwoDayDiscount_21_Up+FedExExrpessEarnedDiscount))*'2Day Base'!H134),2),ROUND(MinBase2Day*(1+ExpressFuelSurcharge),2),ROUND(((1-(TwoDayDiscount_21_Up+FedExExrpessEarnedDiscount))*'2Day Base'!H134)*(1+ExpressFuelSurcharge),2)))*(1+FedEx_Markup),2)</f>
        <v>536.03</v>
      </c>
      <c r="I137" s="275">
        <f>ROUND((IF(MinBase2Day&gt;ROUND(((1-(TwoDayDiscount_21_Up+FedExExrpessEarnedDiscount))*'2Day Base'!I134),2),ROUND(MinBase2Day*(1+ExpressFuelSurcharge),2),ROUND(((1-(TwoDayDiscount_21_Up+FedExExrpessEarnedDiscount))*'2Day Base'!I134)*(1+ExpressFuelSurcharge),2)))*(1+FedEx_Markup),2)</f>
        <v>547.31</v>
      </c>
      <c r="J137" s="275">
        <f>ROUND((IF(MinBase2Day&gt;ROUND(((1-(TwoDayDiscount_21_Up+FedExExrpessEarnedDiscount))*'2Day Base'!J134),2),ROUND(MinBase2Day*(1+ExpressFuelSurcharge),2),ROUND(((1-(TwoDayDiscount_21_Up+FedExExrpessEarnedDiscount))*'2Day Base'!J134)*(1+ExpressFuelSurcharge),2)))*(1+FedEx_Markup),2)</f>
        <v>547.31</v>
      </c>
      <c r="K137" s="275">
        <f>ROUND((IF(MinBase2Day&gt;ROUND(((1-(TwoDayDiscount_21_Up+FedExExrpessEarnedDiscount))*'2Day Base'!K134),2),ROUND(MinBase2Day*(1+ExpressFuelSurcharge),2),ROUND(((1-(TwoDayDiscount_21_Up+FedExExrpessEarnedDiscount))*'2Day Base'!K134)*(1+ExpressFuelSurcharge),2)))*(1+FedEx_Markup),2)</f>
        <v>559.22</v>
      </c>
      <c r="L137" s="275">
        <f>ROUND((IF(MinBase2Day&gt;ROUND(((1-(TwoDayDiscount_21_Up+FedExExrpessEarnedDiscount))*'2Day Base'!L134),2),ROUND(MinBase2Day*(1+ExpressFuelSurcharge),2),ROUND(((1-(TwoDayDiscount_21_Up+FedExExrpessEarnedDiscount))*'2Day Base'!L134)*(1+ExpressFuelSurcharge),2)))*(1+FedEx_Markup),2)</f>
        <v>559.22</v>
      </c>
    </row>
    <row r="138" ht="12.75" customHeight="1">
      <c r="A138" s="274">
        <v>133.0</v>
      </c>
      <c r="B138" s="275">
        <f>ROUND((IF(MinBase2Day&gt;ROUND(((1-(TwoDayDiscount_21_Up+FedExExrpessEarnedDiscount))*'2Day Base'!B135),2),ROUND(MinBase2Day*(1+ExpressFuelSurcharge),2),ROUND(((1-(TwoDayDiscount_21_Up+FedExExrpessEarnedDiscount))*'2Day Base'!B135)*(1+ExpressFuelSurcharge),2)))*(1+FedEx_Markup),2)</f>
        <v>120.65</v>
      </c>
      <c r="C138" s="275">
        <f>ROUND((IF(MinBase2Day&gt;ROUND(((1-(TwoDayDiscount_21_Up+FedExExrpessEarnedDiscount))*'2Day Base'!C135),2),ROUND(MinBase2Day*(1+ExpressFuelSurcharge),2),ROUND(((1-(TwoDayDiscount_21_Up+FedExExrpessEarnedDiscount))*'2Day Base'!C135)*(1+ExpressFuelSurcharge),2)))*(1+FedEx_Markup),2)</f>
        <v>150.97</v>
      </c>
      <c r="D138" s="275">
        <f>ROUND((IF(MinBase2Day&gt;ROUND(((1-(TwoDayDiscount_21_Up+FedExExrpessEarnedDiscount))*'2Day Base'!D135),2),ROUND(MinBase2Day*(1+ExpressFuelSurcharge),2),ROUND(((1-(TwoDayDiscount_21_Up+FedExExrpessEarnedDiscount))*'2Day Base'!D135)*(1+ExpressFuelSurcharge),2)))*(1+FedEx_Markup),2)</f>
        <v>194.56</v>
      </c>
      <c r="E138" s="275">
        <f>ROUND((IF(MinBase2Day&gt;ROUND(((1-(TwoDayDiscount_21_Up+FedExExrpessEarnedDiscount))*'2Day Base'!E135),2),ROUND(MinBase2Day*(1+ExpressFuelSurcharge),2),ROUND(((1-(TwoDayDiscount_21_Up+FedExExrpessEarnedDiscount))*'2Day Base'!E135)*(1+ExpressFuelSurcharge),2)))*(1+FedEx_Markup),2)</f>
        <v>289.31</v>
      </c>
      <c r="F138" s="275">
        <f>ROUND((IF(MinBase2Day&gt;ROUND(((1-(TwoDayDiscount_21_Up+FedExExrpessEarnedDiscount))*'2Day Base'!F135),2),ROUND(MinBase2Day*(1+ExpressFuelSurcharge),2),ROUND(((1-(TwoDayDiscount_21_Up+FedExExrpessEarnedDiscount))*'2Day Base'!F135)*(1+ExpressFuelSurcharge),2)))*(1+FedEx_Markup),2)</f>
        <v>459.23</v>
      </c>
      <c r="G138" s="275">
        <f>ROUND((IF(MinBase2Day&gt;ROUND(((1-(TwoDayDiscount_21_Up+FedExExrpessEarnedDiscount))*'2Day Base'!G135),2),ROUND(MinBase2Day*(1+ExpressFuelSurcharge),2),ROUND(((1-(TwoDayDiscount_21_Up+FedExExrpessEarnedDiscount))*'2Day Base'!G135)*(1+ExpressFuelSurcharge),2)))*(1+FedEx_Markup),2)</f>
        <v>524.3</v>
      </c>
      <c r="H138" s="275">
        <f>ROUND((IF(MinBase2Day&gt;ROUND(((1-(TwoDayDiscount_21_Up+FedExExrpessEarnedDiscount))*'2Day Base'!H135),2),ROUND(MinBase2Day*(1+ExpressFuelSurcharge),2),ROUND(((1-(TwoDayDiscount_21_Up+FedExExrpessEarnedDiscount))*'2Day Base'!H135)*(1+ExpressFuelSurcharge),2)))*(1+FedEx_Markup),2)</f>
        <v>540.09</v>
      </c>
      <c r="I138" s="275">
        <f>ROUND((IF(MinBase2Day&gt;ROUND(((1-(TwoDayDiscount_21_Up+FedExExrpessEarnedDiscount))*'2Day Base'!I135),2),ROUND(MinBase2Day*(1+ExpressFuelSurcharge),2),ROUND(((1-(TwoDayDiscount_21_Up+FedExExrpessEarnedDiscount))*'2Day Base'!I135)*(1+ExpressFuelSurcharge),2)))*(1+FedEx_Markup),2)</f>
        <v>551.46</v>
      </c>
      <c r="J138" s="275">
        <f>ROUND((IF(MinBase2Day&gt;ROUND(((1-(TwoDayDiscount_21_Up+FedExExrpessEarnedDiscount))*'2Day Base'!J135),2),ROUND(MinBase2Day*(1+ExpressFuelSurcharge),2),ROUND(((1-(TwoDayDiscount_21_Up+FedExExrpessEarnedDiscount))*'2Day Base'!J135)*(1+ExpressFuelSurcharge),2)))*(1+FedEx_Markup),2)</f>
        <v>551.46</v>
      </c>
      <c r="K138" s="275">
        <f>ROUND((IF(MinBase2Day&gt;ROUND(((1-(TwoDayDiscount_21_Up+FedExExrpessEarnedDiscount))*'2Day Base'!K135),2),ROUND(MinBase2Day*(1+ExpressFuelSurcharge),2),ROUND(((1-(TwoDayDiscount_21_Up+FedExExrpessEarnedDiscount))*'2Day Base'!K135)*(1+ExpressFuelSurcharge),2)))*(1+FedEx_Markup),2)</f>
        <v>563.47</v>
      </c>
      <c r="L138" s="275">
        <f>ROUND((IF(MinBase2Day&gt;ROUND(((1-(TwoDayDiscount_21_Up+FedExExrpessEarnedDiscount))*'2Day Base'!L135),2),ROUND(MinBase2Day*(1+ExpressFuelSurcharge),2),ROUND(((1-(TwoDayDiscount_21_Up+FedExExrpessEarnedDiscount))*'2Day Base'!L135)*(1+ExpressFuelSurcharge),2)))*(1+FedEx_Markup),2)</f>
        <v>563.47</v>
      </c>
    </row>
    <row r="139" ht="12.75" customHeight="1">
      <c r="A139" s="274">
        <v>134.0</v>
      </c>
      <c r="B139" s="275">
        <f>ROUND((IF(MinBase2Day&gt;ROUND(((1-(TwoDayDiscount_21_Up+FedExExrpessEarnedDiscount))*'2Day Base'!B136),2),ROUND(MinBase2Day*(1+ExpressFuelSurcharge),2),ROUND(((1-(TwoDayDiscount_21_Up+FedExExrpessEarnedDiscount))*'2Day Base'!B136)*(1+ExpressFuelSurcharge),2)))*(1+FedEx_Markup),2)</f>
        <v>121.56</v>
      </c>
      <c r="C139" s="275">
        <f>ROUND((IF(MinBase2Day&gt;ROUND(((1-(TwoDayDiscount_21_Up+FedExExrpessEarnedDiscount))*'2Day Base'!C136),2),ROUND(MinBase2Day*(1+ExpressFuelSurcharge),2),ROUND(((1-(TwoDayDiscount_21_Up+FedExExrpessEarnedDiscount))*'2Day Base'!C136)*(1+ExpressFuelSurcharge),2)))*(1+FedEx_Markup),2)</f>
        <v>152.11</v>
      </c>
      <c r="D139" s="275">
        <f>ROUND((IF(MinBase2Day&gt;ROUND(((1-(TwoDayDiscount_21_Up+FedExExrpessEarnedDiscount))*'2Day Base'!D136),2),ROUND(MinBase2Day*(1+ExpressFuelSurcharge),2),ROUND(((1-(TwoDayDiscount_21_Up+FedExExrpessEarnedDiscount))*'2Day Base'!D136)*(1+ExpressFuelSurcharge),2)))*(1+FedEx_Markup),2)</f>
        <v>196.02</v>
      </c>
      <c r="E139" s="275">
        <f>ROUND((IF(MinBase2Day&gt;ROUND(((1-(TwoDayDiscount_21_Up+FedExExrpessEarnedDiscount))*'2Day Base'!E136),2),ROUND(MinBase2Day*(1+ExpressFuelSurcharge),2),ROUND(((1-(TwoDayDiscount_21_Up+FedExExrpessEarnedDiscount))*'2Day Base'!E136)*(1+ExpressFuelSurcharge),2)))*(1+FedEx_Markup),2)</f>
        <v>291.49</v>
      </c>
      <c r="F139" s="275">
        <f>ROUND((IF(MinBase2Day&gt;ROUND(((1-(TwoDayDiscount_21_Up+FedExExrpessEarnedDiscount))*'2Day Base'!F136),2),ROUND(MinBase2Day*(1+ExpressFuelSurcharge),2),ROUND(((1-(TwoDayDiscount_21_Up+FedExExrpessEarnedDiscount))*'2Day Base'!F136)*(1+ExpressFuelSurcharge),2)))*(1+FedEx_Markup),2)</f>
        <v>462.69</v>
      </c>
      <c r="G139" s="275">
        <f>ROUND((IF(MinBase2Day&gt;ROUND(((1-(TwoDayDiscount_21_Up+FedExExrpessEarnedDiscount))*'2Day Base'!G136),2),ROUND(MinBase2Day*(1+ExpressFuelSurcharge),2),ROUND(((1-(TwoDayDiscount_21_Up+FedExExrpessEarnedDiscount))*'2Day Base'!G136)*(1+ExpressFuelSurcharge),2)))*(1+FedEx_Markup),2)</f>
        <v>528.24</v>
      </c>
      <c r="H139" s="275">
        <f>ROUND((IF(MinBase2Day&gt;ROUND(((1-(TwoDayDiscount_21_Up+FedExExrpessEarnedDiscount))*'2Day Base'!H136),2),ROUND(MinBase2Day*(1+ExpressFuelSurcharge),2),ROUND(((1-(TwoDayDiscount_21_Up+FedExExrpessEarnedDiscount))*'2Day Base'!H136)*(1+ExpressFuelSurcharge),2)))*(1+FedEx_Markup),2)</f>
        <v>544.15</v>
      </c>
      <c r="I139" s="275">
        <f>ROUND((IF(MinBase2Day&gt;ROUND(((1-(TwoDayDiscount_21_Up+FedExExrpessEarnedDiscount))*'2Day Base'!I136),2),ROUND(MinBase2Day*(1+ExpressFuelSurcharge),2),ROUND(((1-(TwoDayDiscount_21_Up+FedExExrpessEarnedDiscount))*'2Day Base'!I136)*(1+ExpressFuelSurcharge),2)))*(1+FedEx_Markup),2)</f>
        <v>555.61</v>
      </c>
      <c r="J139" s="275">
        <f>ROUND((IF(MinBase2Day&gt;ROUND(((1-(TwoDayDiscount_21_Up+FedExExrpessEarnedDiscount))*'2Day Base'!J136),2),ROUND(MinBase2Day*(1+ExpressFuelSurcharge),2),ROUND(((1-(TwoDayDiscount_21_Up+FedExExrpessEarnedDiscount))*'2Day Base'!J136)*(1+ExpressFuelSurcharge),2)))*(1+FedEx_Markup),2)</f>
        <v>555.61</v>
      </c>
      <c r="K139" s="275">
        <f>ROUND((IF(MinBase2Day&gt;ROUND(((1-(TwoDayDiscount_21_Up+FedExExrpessEarnedDiscount))*'2Day Base'!K136),2),ROUND(MinBase2Day*(1+ExpressFuelSurcharge),2),ROUND(((1-(TwoDayDiscount_21_Up+FedExExrpessEarnedDiscount))*'2Day Base'!K136)*(1+ExpressFuelSurcharge),2)))*(1+FedEx_Markup),2)</f>
        <v>567.7</v>
      </c>
      <c r="L139" s="275">
        <f>ROUND((IF(MinBase2Day&gt;ROUND(((1-(TwoDayDiscount_21_Up+FedExExrpessEarnedDiscount))*'2Day Base'!L136),2),ROUND(MinBase2Day*(1+ExpressFuelSurcharge),2),ROUND(((1-(TwoDayDiscount_21_Up+FedExExrpessEarnedDiscount))*'2Day Base'!L136)*(1+ExpressFuelSurcharge),2)))*(1+FedEx_Markup),2)</f>
        <v>567.7</v>
      </c>
    </row>
    <row r="140" ht="12.75" customHeight="1">
      <c r="A140" s="274">
        <v>135.0</v>
      </c>
      <c r="B140" s="275">
        <f>ROUND((IF(MinBase2Day&gt;ROUND(((1-(TwoDayDiscount_21_Up+FedExExrpessEarnedDiscount))*'2Day Base'!B137),2),ROUND(MinBase2Day*(1+ExpressFuelSurcharge),2),ROUND(((1-(TwoDayDiscount_21_Up+FedExExrpessEarnedDiscount))*'2Day Base'!B137)*(1+ExpressFuelSurcharge),2)))*(1+FedEx_Markup),2)</f>
        <v>122.46</v>
      </c>
      <c r="C140" s="275">
        <f>ROUND((IF(MinBase2Day&gt;ROUND(((1-(TwoDayDiscount_21_Up+FedExExrpessEarnedDiscount))*'2Day Base'!C137),2),ROUND(MinBase2Day*(1+ExpressFuelSurcharge),2),ROUND(((1-(TwoDayDiscount_21_Up+FedExExrpessEarnedDiscount))*'2Day Base'!C137)*(1+ExpressFuelSurcharge),2)))*(1+FedEx_Markup),2)</f>
        <v>153.24</v>
      </c>
      <c r="D140" s="275">
        <f>ROUND((IF(MinBase2Day&gt;ROUND(((1-(TwoDayDiscount_21_Up+FedExExrpessEarnedDiscount))*'2Day Base'!D137),2),ROUND(MinBase2Day*(1+ExpressFuelSurcharge),2),ROUND(((1-(TwoDayDiscount_21_Up+FedExExrpessEarnedDiscount))*'2Day Base'!D137)*(1+ExpressFuelSurcharge),2)))*(1+FedEx_Markup),2)</f>
        <v>197.49</v>
      </c>
      <c r="E140" s="275">
        <f>ROUND((IF(MinBase2Day&gt;ROUND(((1-(TwoDayDiscount_21_Up+FedExExrpessEarnedDiscount))*'2Day Base'!E137),2),ROUND(MinBase2Day*(1+ExpressFuelSurcharge),2),ROUND(((1-(TwoDayDiscount_21_Up+FedExExrpessEarnedDiscount))*'2Day Base'!E137)*(1+ExpressFuelSurcharge),2)))*(1+FedEx_Markup),2)</f>
        <v>293.66</v>
      </c>
      <c r="F140" s="275">
        <f>ROUND((IF(MinBase2Day&gt;ROUND(((1-(TwoDayDiscount_21_Up+FedExExrpessEarnedDiscount))*'2Day Base'!F137),2),ROUND(MinBase2Day*(1+ExpressFuelSurcharge),2),ROUND(((1-(TwoDayDiscount_21_Up+FedExExrpessEarnedDiscount))*'2Day Base'!F137)*(1+ExpressFuelSurcharge),2)))*(1+FedEx_Markup),2)</f>
        <v>466.14</v>
      </c>
      <c r="G140" s="275">
        <f>ROUND((IF(MinBase2Day&gt;ROUND(((1-(TwoDayDiscount_21_Up+FedExExrpessEarnedDiscount))*'2Day Base'!G137),2),ROUND(MinBase2Day*(1+ExpressFuelSurcharge),2),ROUND(((1-(TwoDayDiscount_21_Up+FedExExrpessEarnedDiscount))*'2Day Base'!G137)*(1+ExpressFuelSurcharge),2)))*(1+FedEx_Markup),2)</f>
        <v>532.19</v>
      </c>
      <c r="H140" s="275">
        <f>ROUND((IF(MinBase2Day&gt;ROUND(((1-(TwoDayDiscount_21_Up+FedExExrpessEarnedDiscount))*'2Day Base'!H137),2),ROUND(MinBase2Day*(1+ExpressFuelSurcharge),2),ROUND(((1-(TwoDayDiscount_21_Up+FedExExrpessEarnedDiscount))*'2Day Base'!H137)*(1+ExpressFuelSurcharge),2)))*(1+FedEx_Markup),2)</f>
        <v>548.22</v>
      </c>
      <c r="I140" s="275">
        <f>ROUND((IF(MinBase2Day&gt;ROUND(((1-(TwoDayDiscount_21_Up+FedExExrpessEarnedDiscount))*'2Day Base'!I137),2),ROUND(MinBase2Day*(1+ExpressFuelSurcharge),2),ROUND(((1-(TwoDayDiscount_21_Up+FedExExrpessEarnedDiscount))*'2Day Base'!I137)*(1+ExpressFuelSurcharge),2)))*(1+FedEx_Markup),2)</f>
        <v>559.75</v>
      </c>
      <c r="J140" s="275">
        <f>ROUND((IF(MinBase2Day&gt;ROUND(((1-(TwoDayDiscount_21_Up+FedExExrpessEarnedDiscount))*'2Day Base'!J137),2),ROUND(MinBase2Day*(1+ExpressFuelSurcharge),2),ROUND(((1-(TwoDayDiscount_21_Up+FedExExrpessEarnedDiscount))*'2Day Base'!J137)*(1+ExpressFuelSurcharge),2)))*(1+FedEx_Markup),2)</f>
        <v>559.75</v>
      </c>
      <c r="K140" s="275">
        <f>ROUND((IF(MinBase2Day&gt;ROUND(((1-(TwoDayDiscount_21_Up+FedExExrpessEarnedDiscount))*'2Day Base'!K137),2),ROUND(MinBase2Day*(1+ExpressFuelSurcharge),2),ROUND(((1-(TwoDayDiscount_21_Up+FedExExrpessEarnedDiscount))*'2Day Base'!K137)*(1+ExpressFuelSurcharge),2)))*(1+FedEx_Markup),2)</f>
        <v>571.93</v>
      </c>
      <c r="L140" s="275">
        <f>ROUND((IF(MinBase2Day&gt;ROUND(((1-(TwoDayDiscount_21_Up+FedExExrpessEarnedDiscount))*'2Day Base'!L137),2),ROUND(MinBase2Day*(1+ExpressFuelSurcharge),2),ROUND(((1-(TwoDayDiscount_21_Up+FedExExrpessEarnedDiscount))*'2Day Base'!L137)*(1+ExpressFuelSurcharge),2)))*(1+FedEx_Markup),2)</f>
        <v>571.93</v>
      </c>
    </row>
    <row r="141" ht="12.75" customHeight="1">
      <c r="A141" s="274">
        <v>136.0</v>
      </c>
      <c r="B141" s="275">
        <f>ROUND((IF(MinBase2Day&gt;ROUND(((1-(TwoDayDiscount_21_Up+FedExExrpessEarnedDiscount))*'2Day Base'!B138),2),ROUND(MinBase2Day*(1+ExpressFuelSurcharge),2),ROUND(((1-(TwoDayDiscount_21_Up+FedExExrpessEarnedDiscount))*'2Day Base'!B138)*(1+ExpressFuelSurcharge),2)))*(1+FedEx_Markup),2)</f>
        <v>123.37</v>
      </c>
      <c r="C141" s="275">
        <f>ROUND((IF(MinBase2Day&gt;ROUND(((1-(TwoDayDiscount_21_Up+FedExExrpessEarnedDiscount))*'2Day Base'!C138),2),ROUND(MinBase2Day*(1+ExpressFuelSurcharge),2),ROUND(((1-(TwoDayDiscount_21_Up+FedExExrpessEarnedDiscount))*'2Day Base'!C138)*(1+ExpressFuelSurcharge),2)))*(1+FedEx_Markup),2)</f>
        <v>154.38</v>
      </c>
      <c r="D141" s="275">
        <f>ROUND((IF(MinBase2Day&gt;ROUND(((1-(TwoDayDiscount_21_Up+FedExExrpessEarnedDiscount))*'2Day Base'!D138),2),ROUND(MinBase2Day*(1+ExpressFuelSurcharge),2),ROUND(((1-(TwoDayDiscount_21_Up+FedExExrpessEarnedDiscount))*'2Day Base'!D138)*(1+ExpressFuelSurcharge),2)))*(1+FedEx_Markup),2)</f>
        <v>198.95</v>
      </c>
      <c r="E141" s="275">
        <f>ROUND((IF(MinBase2Day&gt;ROUND(((1-(TwoDayDiscount_21_Up+FedExExrpessEarnedDiscount))*'2Day Base'!E138),2),ROUND(MinBase2Day*(1+ExpressFuelSurcharge),2),ROUND(((1-(TwoDayDiscount_21_Up+FedExExrpessEarnedDiscount))*'2Day Base'!E138)*(1+ExpressFuelSurcharge),2)))*(1+FedEx_Markup),2)</f>
        <v>295.84</v>
      </c>
      <c r="F141" s="275">
        <f>ROUND((IF(MinBase2Day&gt;ROUND(((1-(TwoDayDiscount_21_Up+FedExExrpessEarnedDiscount))*'2Day Base'!F138),2),ROUND(MinBase2Day*(1+ExpressFuelSurcharge),2),ROUND(((1-(TwoDayDiscount_21_Up+FedExExrpessEarnedDiscount))*'2Day Base'!F138)*(1+ExpressFuelSurcharge),2)))*(1+FedEx_Markup),2)</f>
        <v>469.59</v>
      </c>
      <c r="G141" s="275">
        <f>ROUND((IF(MinBase2Day&gt;ROUND(((1-(TwoDayDiscount_21_Up+FedExExrpessEarnedDiscount))*'2Day Base'!G138),2),ROUND(MinBase2Day*(1+ExpressFuelSurcharge),2),ROUND(((1-(TwoDayDiscount_21_Up+FedExExrpessEarnedDiscount))*'2Day Base'!G138)*(1+ExpressFuelSurcharge),2)))*(1+FedEx_Markup),2)</f>
        <v>536.12</v>
      </c>
      <c r="H141" s="275">
        <f>ROUND((IF(MinBase2Day&gt;ROUND(((1-(TwoDayDiscount_21_Up+FedExExrpessEarnedDiscount))*'2Day Base'!H138),2),ROUND(MinBase2Day*(1+ExpressFuelSurcharge),2),ROUND(((1-(TwoDayDiscount_21_Up+FedExExrpessEarnedDiscount))*'2Day Base'!H138)*(1+ExpressFuelSurcharge),2)))*(1+FedEx_Markup),2)</f>
        <v>552.28</v>
      </c>
      <c r="I141" s="275">
        <f>ROUND((IF(MinBase2Day&gt;ROUND(((1-(TwoDayDiscount_21_Up+FedExExrpessEarnedDiscount))*'2Day Base'!I138),2),ROUND(MinBase2Day*(1+ExpressFuelSurcharge),2),ROUND(((1-(TwoDayDiscount_21_Up+FedExExrpessEarnedDiscount))*'2Day Base'!I138)*(1+ExpressFuelSurcharge),2)))*(1+FedEx_Markup),2)</f>
        <v>563.9</v>
      </c>
      <c r="J141" s="275">
        <f>ROUND((IF(MinBase2Day&gt;ROUND(((1-(TwoDayDiscount_21_Up+FedExExrpessEarnedDiscount))*'2Day Base'!J138),2),ROUND(MinBase2Day*(1+ExpressFuelSurcharge),2),ROUND(((1-(TwoDayDiscount_21_Up+FedExExrpessEarnedDiscount))*'2Day Base'!J138)*(1+ExpressFuelSurcharge),2)))*(1+FedEx_Markup),2)</f>
        <v>563.9</v>
      </c>
      <c r="K141" s="275">
        <f>ROUND((IF(MinBase2Day&gt;ROUND(((1-(TwoDayDiscount_21_Up+FedExExrpessEarnedDiscount))*'2Day Base'!K138),2),ROUND(MinBase2Day*(1+ExpressFuelSurcharge),2),ROUND(((1-(TwoDayDiscount_21_Up+FedExExrpessEarnedDiscount))*'2Day Base'!K138)*(1+ExpressFuelSurcharge),2)))*(1+FedEx_Markup),2)</f>
        <v>576.17</v>
      </c>
      <c r="L141" s="275">
        <f>ROUND((IF(MinBase2Day&gt;ROUND(((1-(TwoDayDiscount_21_Up+FedExExrpessEarnedDiscount))*'2Day Base'!L138),2),ROUND(MinBase2Day*(1+ExpressFuelSurcharge),2),ROUND(((1-(TwoDayDiscount_21_Up+FedExExrpessEarnedDiscount))*'2Day Base'!L138)*(1+ExpressFuelSurcharge),2)))*(1+FedEx_Markup),2)</f>
        <v>576.17</v>
      </c>
    </row>
    <row r="142" ht="12.75" customHeight="1">
      <c r="A142" s="274">
        <v>137.0</v>
      </c>
      <c r="B142" s="275">
        <f>ROUND((IF(MinBase2Day&gt;ROUND(((1-(TwoDayDiscount_21_Up+FedExExrpessEarnedDiscount))*'2Day Base'!B139),2),ROUND(MinBase2Day*(1+ExpressFuelSurcharge),2),ROUND(((1-(TwoDayDiscount_21_Up+FedExExrpessEarnedDiscount))*'2Day Base'!B139)*(1+ExpressFuelSurcharge),2)))*(1+FedEx_Markup),2)</f>
        <v>124.28</v>
      </c>
      <c r="C142" s="275">
        <f>ROUND((IF(MinBase2Day&gt;ROUND(((1-(TwoDayDiscount_21_Up+FedExExrpessEarnedDiscount))*'2Day Base'!C139),2),ROUND(MinBase2Day*(1+ExpressFuelSurcharge),2),ROUND(((1-(TwoDayDiscount_21_Up+FedExExrpessEarnedDiscount))*'2Day Base'!C139)*(1+ExpressFuelSurcharge),2)))*(1+FedEx_Markup),2)</f>
        <v>155.51</v>
      </c>
      <c r="D142" s="275">
        <f>ROUND((IF(MinBase2Day&gt;ROUND(((1-(TwoDayDiscount_21_Up+FedExExrpessEarnedDiscount))*'2Day Base'!D139),2),ROUND(MinBase2Day*(1+ExpressFuelSurcharge),2),ROUND(((1-(TwoDayDiscount_21_Up+FedExExrpessEarnedDiscount))*'2Day Base'!D139)*(1+ExpressFuelSurcharge),2)))*(1+FedEx_Markup),2)</f>
        <v>200.41</v>
      </c>
      <c r="E142" s="275">
        <f>ROUND((IF(MinBase2Day&gt;ROUND(((1-(TwoDayDiscount_21_Up+FedExExrpessEarnedDiscount))*'2Day Base'!E139),2),ROUND(MinBase2Day*(1+ExpressFuelSurcharge),2),ROUND(((1-(TwoDayDiscount_21_Up+FedExExrpessEarnedDiscount))*'2Day Base'!E139)*(1+ExpressFuelSurcharge),2)))*(1+FedEx_Markup),2)</f>
        <v>298.01</v>
      </c>
      <c r="F142" s="275">
        <f>ROUND((IF(MinBase2Day&gt;ROUND(((1-(TwoDayDiscount_21_Up+FedExExrpessEarnedDiscount))*'2Day Base'!F139),2),ROUND(MinBase2Day*(1+ExpressFuelSurcharge),2),ROUND(((1-(TwoDayDiscount_21_Up+FedExExrpessEarnedDiscount))*'2Day Base'!F139)*(1+ExpressFuelSurcharge),2)))*(1+FedEx_Markup),2)</f>
        <v>473.04</v>
      </c>
      <c r="G142" s="275">
        <f>ROUND((IF(MinBase2Day&gt;ROUND(((1-(TwoDayDiscount_21_Up+FedExExrpessEarnedDiscount))*'2Day Base'!G139),2),ROUND(MinBase2Day*(1+ExpressFuelSurcharge),2),ROUND(((1-(TwoDayDiscount_21_Up+FedExExrpessEarnedDiscount))*'2Day Base'!G139)*(1+ExpressFuelSurcharge),2)))*(1+FedEx_Markup),2)</f>
        <v>540.06</v>
      </c>
      <c r="H142" s="275">
        <f>ROUND((IF(MinBase2Day&gt;ROUND(((1-(TwoDayDiscount_21_Up+FedExExrpessEarnedDiscount))*'2Day Base'!H139),2),ROUND(MinBase2Day*(1+ExpressFuelSurcharge),2),ROUND(((1-(TwoDayDiscount_21_Up+FedExExrpessEarnedDiscount))*'2Day Base'!H139)*(1+ExpressFuelSurcharge),2)))*(1+FedEx_Markup),2)</f>
        <v>556.34</v>
      </c>
      <c r="I142" s="275">
        <f>ROUND((IF(MinBase2Day&gt;ROUND(((1-(TwoDayDiscount_21_Up+FedExExrpessEarnedDiscount))*'2Day Base'!I139),2),ROUND(MinBase2Day*(1+ExpressFuelSurcharge),2),ROUND(((1-(TwoDayDiscount_21_Up+FedExExrpessEarnedDiscount))*'2Day Base'!I139)*(1+ExpressFuelSurcharge),2)))*(1+FedEx_Markup),2)</f>
        <v>568.04</v>
      </c>
      <c r="J142" s="275">
        <f>ROUND((IF(MinBase2Day&gt;ROUND(((1-(TwoDayDiscount_21_Up+FedExExrpessEarnedDiscount))*'2Day Base'!J139),2),ROUND(MinBase2Day*(1+ExpressFuelSurcharge),2),ROUND(((1-(TwoDayDiscount_21_Up+FedExExrpessEarnedDiscount))*'2Day Base'!J139)*(1+ExpressFuelSurcharge),2)))*(1+FedEx_Markup),2)</f>
        <v>568.04</v>
      </c>
      <c r="K142" s="275">
        <f>ROUND((IF(MinBase2Day&gt;ROUND(((1-(TwoDayDiscount_21_Up+FedExExrpessEarnedDiscount))*'2Day Base'!K139),2),ROUND(MinBase2Day*(1+ExpressFuelSurcharge),2),ROUND(((1-(TwoDayDiscount_21_Up+FedExExrpessEarnedDiscount))*'2Day Base'!K139)*(1+ExpressFuelSurcharge),2)))*(1+FedEx_Markup),2)</f>
        <v>580.41</v>
      </c>
      <c r="L142" s="275">
        <f>ROUND((IF(MinBase2Day&gt;ROUND(((1-(TwoDayDiscount_21_Up+FedExExrpessEarnedDiscount))*'2Day Base'!L139),2),ROUND(MinBase2Day*(1+ExpressFuelSurcharge),2),ROUND(((1-(TwoDayDiscount_21_Up+FedExExrpessEarnedDiscount))*'2Day Base'!L139)*(1+ExpressFuelSurcharge),2)))*(1+FedEx_Markup),2)</f>
        <v>580.41</v>
      </c>
    </row>
    <row r="143" ht="12.75" customHeight="1">
      <c r="A143" s="274">
        <v>138.0</v>
      </c>
      <c r="B143" s="275">
        <f>ROUND((IF(MinBase2Day&gt;ROUND(((1-(TwoDayDiscount_21_Up+FedExExrpessEarnedDiscount))*'2Day Base'!B140),2),ROUND(MinBase2Day*(1+ExpressFuelSurcharge),2),ROUND(((1-(TwoDayDiscount_21_Up+FedExExrpessEarnedDiscount))*'2Day Base'!B140)*(1+ExpressFuelSurcharge),2)))*(1+FedEx_Markup),2)</f>
        <v>125.19</v>
      </c>
      <c r="C143" s="275">
        <f>ROUND((IF(MinBase2Day&gt;ROUND(((1-(TwoDayDiscount_21_Up+FedExExrpessEarnedDiscount))*'2Day Base'!C140),2),ROUND(MinBase2Day*(1+ExpressFuelSurcharge),2),ROUND(((1-(TwoDayDiscount_21_Up+FedExExrpessEarnedDiscount))*'2Day Base'!C140)*(1+ExpressFuelSurcharge),2)))*(1+FedEx_Markup),2)</f>
        <v>156.65</v>
      </c>
      <c r="D143" s="275">
        <f>ROUND((IF(MinBase2Day&gt;ROUND(((1-(TwoDayDiscount_21_Up+FedExExrpessEarnedDiscount))*'2Day Base'!D140),2),ROUND(MinBase2Day*(1+ExpressFuelSurcharge),2),ROUND(((1-(TwoDayDiscount_21_Up+FedExExrpessEarnedDiscount))*'2Day Base'!D140)*(1+ExpressFuelSurcharge),2)))*(1+FedEx_Markup),2)</f>
        <v>201.87</v>
      </c>
      <c r="E143" s="275">
        <f>ROUND((IF(MinBase2Day&gt;ROUND(((1-(TwoDayDiscount_21_Up+FedExExrpessEarnedDiscount))*'2Day Base'!E140),2),ROUND(MinBase2Day*(1+ExpressFuelSurcharge),2),ROUND(((1-(TwoDayDiscount_21_Up+FedExExrpessEarnedDiscount))*'2Day Base'!E140)*(1+ExpressFuelSurcharge),2)))*(1+FedEx_Markup),2)</f>
        <v>300.18</v>
      </c>
      <c r="F143" s="275">
        <f>ROUND((IF(MinBase2Day&gt;ROUND(((1-(TwoDayDiscount_21_Up+FedExExrpessEarnedDiscount))*'2Day Base'!F140),2),ROUND(MinBase2Day*(1+ExpressFuelSurcharge),2),ROUND(((1-(TwoDayDiscount_21_Up+FedExExrpessEarnedDiscount))*'2Day Base'!F140)*(1+ExpressFuelSurcharge),2)))*(1+FedEx_Markup),2)</f>
        <v>476.5</v>
      </c>
      <c r="G143" s="275">
        <f>ROUND((IF(MinBase2Day&gt;ROUND(((1-(TwoDayDiscount_21_Up+FedExExrpessEarnedDiscount))*'2Day Base'!G140),2),ROUND(MinBase2Day*(1+ExpressFuelSurcharge),2),ROUND(((1-(TwoDayDiscount_21_Up+FedExExrpessEarnedDiscount))*'2Day Base'!G140)*(1+ExpressFuelSurcharge),2)))*(1+FedEx_Markup),2)</f>
        <v>544.01</v>
      </c>
      <c r="H143" s="275">
        <f>ROUND((IF(MinBase2Day&gt;ROUND(((1-(TwoDayDiscount_21_Up+FedExExrpessEarnedDiscount))*'2Day Base'!H140),2),ROUND(MinBase2Day*(1+ExpressFuelSurcharge),2),ROUND(((1-(TwoDayDiscount_21_Up+FedExExrpessEarnedDiscount))*'2Day Base'!H140)*(1+ExpressFuelSurcharge),2)))*(1+FedEx_Markup),2)</f>
        <v>560.4</v>
      </c>
      <c r="I143" s="275">
        <f>ROUND((IF(MinBase2Day&gt;ROUND(((1-(TwoDayDiscount_21_Up+FedExExrpessEarnedDiscount))*'2Day Base'!I140),2),ROUND(MinBase2Day*(1+ExpressFuelSurcharge),2),ROUND(((1-(TwoDayDiscount_21_Up+FedExExrpessEarnedDiscount))*'2Day Base'!I140)*(1+ExpressFuelSurcharge),2)))*(1+FedEx_Markup),2)</f>
        <v>572.19</v>
      </c>
      <c r="J143" s="275">
        <f>ROUND((IF(MinBase2Day&gt;ROUND(((1-(TwoDayDiscount_21_Up+FedExExrpessEarnedDiscount))*'2Day Base'!J140),2),ROUND(MinBase2Day*(1+ExpressFuelSurcharge),2),ROUND(((1-(TwoDayDiscount_21_Up+FedExExrpessEarnedDiscount))*'2Day Base'!J140)*(1+ExpressFuelSurcharge),2)))*(1+FedEx_Markup),2)</f>
        <v>572.19</v>
      </c>
      <c r="K143" s="275">
        <f>ROUND((IF(MinBase2Day&gt;ROUND(((1-(TwoDayDiscount_21_Up+FedExExrpessEarnedDiscount))*'2Day Base'!K140),2),ROUND(MinBase2Day*(1+ExpressFuelSurcharge),2),ROUND(((1-(TwoDayDiscount_21_Up+FedExExrpessEarnedDiscount))*'2Day Base'!K140)*(1+ExpressFuelSurcharge),2)))*(1+FedEx_Markup),2)</f>
        <v>584.65</v>
      </c>
      <c r="L143" s="275">
        <f>ROUND((IF(MinBase2Day&gt;ROUND(((1-(TwoDayDiscount_21_Up+FedExExrpessEarnedDiscount))*'2Day Base'!L140),2),ROUND(MinBase2Day*(1+ExpressFuelSurcharge),2),ROUND(((1-(TwoDayDiscount_21_Up+FedExExrpessEarnedDiscount))*'2Day Base'!L140)*(1+ExpressFuelSurcharge),2)))*(1+FedEx_Markup),2)</f>
        <v>584.65</v>
      </c>
    </row>
    <row r="144" ht="12.75" customHeight="1">
      <c r="A144" s="274">
        <v>139.0</v>
      </c>
      <c r="B144" s="275">
        <f>ROUND((IF(MinBase2Day&gt;ROUND(((1-(TwoDayDiscount_21_Up+FedExExrpessEarnedDiscount))*'2Day Base'!B141),2),ROUND(MinBase2Day*(1+ExpressFuelSurcharge),2),ROUND(((1-(TwoDayDiscount_21_Up+FedExExrpessEarnedDiscount))*'2Day Base'!B141)*(1+ExpressFuelSurcharge),2)))*(1+FedEx_Markup),2)</f>
        <v>126.1</v>
      </c>
      <c r="C144" s="275">
        <f>ROUND((IF(MinBase2Day&gt;ROUND(((1-(TwoDayDiscount_21_Up+FedExExrpessEarnedDiscount))*'2Day Base'!C141),2),ROUND(MinBase2Day*(1+ExpressFuelSurcharge),2),ROUND(((1-(TwoDayDiscount_21_Up+FedExExrpessEarnedDiscount))*'2Day Base'!C141)*(1+ExpressFuelSurcharge),2)))*(1+FedEx_Markup),2)</f>
        <v>157.78</v>
      </c>
      <c r="D144" s="275">
        <f>ROUND((IF(MinBase2Day&gt;ROUND(((1-(TwoDayDiscount_21_Up+FedExExrpessEarnedDiscount))*'2Day Base'!D141),2),ROUND(MinBase2Day*(1+ExpressFuelSurcharge),2),ROUND(((1-(TwoDayDiscount_21_Up+FedExExrpessEarnedDiscount))*'2Day Base'!D141)*(1+ExpressFuelSurcharge),2)))*(1+FedEx_Markup),2)</f>
        <v>203.33</v>
      </c>
      <c r="E144" s="275">
        <f>ROUND((IF(MinBase2Day&gt;ROUND(((1-(TwoDayDiscount_21_Up+FedExExrpessEarnedDiscount))*'2Day Base'!E141),2),ROUND(MinBase2Day*(1+ExpressFuelSurcharge),2),ROUND(((1-(TwoDayDiscount_21_Up+FedExExrpessEarnedDiscount))*'2Day Base'!E141)*(1+ExpressFuelSurcharge),2)))*(1+FedEx_Markup),2)</f>
        <v>302.36</v>
      </c>
      <c r="F144" s="275">
        <f>ROUND((IF(MinBase2Day&gt;ROUND(((1-(TwoDayDiscount_21_Up+FedExExrpessEarnedDiscount))*'2Day Base'!F141),2),ROUND(MinBase2Day*(1+ExpressFuelSurcharge),2),ROUND(((1-(TwoDayDiscount_21_Up+FedExExrpessEarnedDiscount))*'2Day Base'!F141)*(1+ExpressFuelSurcharge),2)))*(1+FedEx_Markup),2)</f>
        <v>479.95</v>
      </c>
      <c r="G144" s="275">
        <f>ROUND((IF(MinBase2Day&gt;ROUND(((1-(TwoDayDiscount_21_Up+FedExExrpessEarnedDiscount))*'2Day Base'!G141),2),ROUND(MinBase2Day*(1+ExpressFuelSurcharge),2),ROUND(((1-(TwoDayDiscount_21_Up+FedExExrpessEarnedDiscount))*'2Day Base'!G141)*(1+ExpressFuelSurcharge),2)))*(1+FedEx_Markup),2)</f>
        <v>547.95</v>
      </c>
      <c r="H144" s="275">
        <f>ROUND((IF(MinBase2Day&gt;ROUND(((1-(TwoDayDiscount_21_Up+FedExExrpessEarnedDiscount))*'2Day Base'!H141),2),ROUND(MinBase2Day*(1+ExpressFuelSurcharge),2),ROUND(((1-(TwoDayDiscount_21_Up+FedExExrpessEarnedDiscount))*'2Day Base'!H141)*(1+ExpressFuelSurcharge),2)))*(1+FedEx_Markup),2)</f>
        <v>564.45</v>
      </c>
      <c r="I144" s="275">
        <f>ROUND((IF(MinBase2Day&gt;ROUND(((1-(TwoDayDiscount_21_Up+FedExExrpessEarnedDiscount))*'2Day Base'!I141),2),ROUND(MinBase2Day*(1+ExpressFuelSurcharge),2),ROUND(((1-(TwoDayDiscount_21_Up+FedExExrpessEarnedDiscount))*'2Day Base'!I141)*(1+ExpressFuelSurcharge),2)))*(1+FedEx_Markup),2)</f>
        <v>576.33</v>
      </c>
      <c r="J144" s="275">
        <f>ROUND((IF(MinBase2Day&gt;ROUND(((1-(TwoDayDiscount_21_Up+FedExExrpessEarnedDiscount))*'2Day Base'!J141),2),ROUND(MinBase2Day*(1+ExpressFuelSurcharge),2),ROUND(((1-(TwoDayDiscount_21_Up+FedExExrpessEarnedDiscount))*'2Day Base'!J141)*(1+ExpressFuelSurcharge),2)))*(1+FedEx_Markup),2)</f>
        <v>576.33</v>
      </c>
      <c r="K144" s="275">
        <f>ROUND((IF(MinBase2Day&gt;ROUND(((1-(TwoDayDiscount_21_Up+FedExExrpessEarnedDiscount))*'2Day Base'!K141),2),ROUND(MinBase2Day*(1+ExpressFuelSurcharge),2),ROUND(((1-(TwoDayDiscount_21_Up+FedExExrpessEarnedDiscount))*'2Day Base'!K141)*(1+ExpressFuelSurcharge),2)))*(1+FedEx_Markup),2)</f>
        <v>588.88</v>
      </c>
      <c r="L144" s="275">
        <f>ROUND((IF(MinBase2Day&gt;ROUND(((1-(TwoDayDiscount_21_Up+FedExExrpessEarnedDiscount))*'2Day Base'!L141),2),ROUND(MinBase2Day*(1+ExpressFuelSurcharge),2),ROUND(((1-(TwoDayDiscount_21_Up+FedExExrpessEarnedDiscount))*'2Day Base'!L141)*(1+ExpressFuelSurcharge),2)))*(1+FedEx_Markup),2)</f>
        <v>588.88</v>
      </c>
    </row>
    <row r="145" ht="12.75" customHeight="1">
      <c r="A145" s="274">
        <v>140.0</v>
      </c>
      <c r="B145" s="275">
        <f>ROUND((IF(MinBase2Day&gt;ROUND(((1-(TwoDayDiscount_21_Up+FedExExrpessEarnedDiscount))*'2Day Base'!B142),2),ROUND(MinBase2Day*(1+ExpressFuelSurcharge),2),ROUND(((1-(TwoDayDiscount_21_Up+FedExExrpessEarnedDiscount))*'2Day Base'!B142)*(1+ExpressFuelSurcharge),2)))*(1+FedEx_Markup),2)</f>
        <v>127.01</v>
      </c>
      <c r="C145" s="275">
        <f>ROUND((IF(MinBase2Day&gt;ROUND(((1-(TwoDayDiscount_21_Up+FedExExrpessEarnedDiscount))*'2Day Base'!C142),2),ROUND(MinBase2Day*(1+ExpressFuelSurcharge),2),ROUND(((1-(TwoDayDiscount_21_Up+FedExExrpessEarnedDiscount))*'2Day Base'!C142)*(1+ExpressFuelSurcharge),2)))*(1+FedEx_Markup),2)</f>
        <v>158.92</v>
      </c>
      <c r="D145" s="275">
        <f>ROUND((IF(MinBase2Day&gt;ROUND(((1-(TwoDayDiscount_21_Up+FedExExrpessEarnedDiscount))*'2Day Base'!D142),2),ROUND(MinBase2Day*(1+ExpressFuelSurcharge),2),ROUND(((1-(TwoDayDiscount_21_Up+FedExExrpessEarnedDiscount))*'2Day Base'!D142)*(1+ExpressFuelSurcharge),2)))*(1+FedEx_Markup),2)</f>
        <v>204.8</v>
      </c>
      <c r="E145" s="275">
        <f>ROUND((IF(MinBase2Day&gt;ROUND(((1-(TwoDayDiscount_21_Up+FedExExrpessEarnedDiscount))*'2Day Base'!E142),2),ROUND(MinBase2Day*(1+ExpressFuelSurcharge),2),ROUND(((1-(TwoDayDiscount_21_Up+FedExExrpessEarnedDiscount))*'2Day Base'!E142)*(1+ExpressFuelSurcharge),2)))*(1+FedEx_Markup),2)</f>
        <v>304.54</v>
      </c>
      <c r="F145" s="275">
        <f>ROUND((IF(MinBase2Day&gt;ROUND(((1-(TwoDayDiscount_21_Up+FedExExrpessEarnedDiscount))*'2Day Base'!F142),2),ROUND(MinBase2Day*(1+ExpressFuelSurcharge),2),ROUND(((1-(TwoDayDiscount_21_Up+FedExExrpessEarnedDiscount))*'2Day Base'!F142)*(1+ExpressFuelSurcharge),2)))*(1+FedEx_Markup),2)</f>
        <v>483.4</v>
      </c>
      <c r="G145" s="275">
        <f>ROUND((IF(MinBase2Day&gt;ROUND(((1-(TwoDayDiscount_21_Up+FedExExrpessEarnedDiscount))*'2Day Base'!G142),2),ROUND(MinBase2Day*(1+ExpressFuelSurcharge),2),ROUND(((1-(TwoDayDiscount_21_Up+FedExExrpessEarnedDiscount))*'2Day Base'!G142)*(1+ExpressFuelSurcharge),2)))*(1+FedEx_Markup),2)</f>
        <v>551.9</v>
      </c>
      <c r="H145" s="275">
        <f>ROUND((IF(MinBase2Day&gt;ROUND(((1-(TwoDayDiscount_21_Up+FedExExrpessEarnedDiscount))*'2Day Base'!H142),2),ROUND(MinBase2Day*(1+ExpressFuelSurcharge),2),ROUND(((1-(TwoDayDiscount_21_Up+FedExExrpessEarnedDiscount))*'2Day Base'!H142)*(1+ExpressFuelSurcharge),2)))*(1+FedEx_Markup),2)</f>
        <v>568.51</v>
      </c>
      <c r="I145" s="275">
        <f>ROUND((IF(MinBase2Day&gt;ROUND(((1-(TwoDayDiscount_21_Up+FedExExrpessEarnedDiscount))*'2Day Base'!I142),2),ROUND(MinBase2Day*(1+ExpressFuelSurcharge),2),ROUND(((1-(TwoDayDiscount_21_Up+FedExExrpessEarnedDiscount))*'2Day Base'!I142)*(1+ExpressFuelSurcharge),2)))*(1+FedEx_Markup),2)</f>
        <v>580.49</v>
      </c>
      <c r="J145" s="275">
        <f>ROUND((IF(MinBase2Day&gt;ROUND(((1-(TwoDayDiscount_21_Up+FedExExrpessEarnedDiscount))*'2Day Base'!J142),2),ROUND(MinBase2Day*(1+ExpressFuelSurcharge),2),ROUND(((1-(TwoDayDiscount_21_Up+FedExExrpessEarnedDiscount))*'2Day Base'!J142)*(1+ExpressFuelSurcharge),2)))*(1+FedEx_Markup),2)</f>
        <v>580.49</v>
      </c>
      <c r="K145" s="275">
        <f>ROUND((IF(MinBase2Day&gt;ROUND(((1-(TwoDayDiscount_21_Up+FedExExrpessEarnedDiscount))*'2Day Base'!K142),2),ROUND(MinBase2Day*(1+ExpressFuelSurcharge),2),ROUND(((1-(TwoDayDiscount_21_Up+FedExExrpessEarnedDiscount))*'2Day Base'!K142)*(1+ExpressFuelSurcharge),2)))*(1+FedEx_Markup),2)</f>
        <v>593.11</v>
      </c>
      <c r="L145" s="275">
        <f>ROUND((IF(MinBase2Day&gt;ROUND(((1-(TwoDayDiscount_21_Up+FedExExrpessEarnedDiscount))*'2Day Base'!L142),2),ROUND(MinBase2Day*(1+ExpressFuelSurcharge),2),ROUND(((1-(TwoDayDiscount_21_Up+FedExExrpessEarnedDiscount))*'2Day Base'!L142)*(1+ExpressFuelSurcharge),2)))*(1+FedEx_Markup),2)</f>
        <v>593.11</v>
      </c>
    </row>
    <row r="146" ht="12.75" customHeight="1">
      <c r="A146" s="274">
        <v>141.0</v>
      </c>
      <c r="B146" s="275">
        <f>ROUND((IF(MinBase2Day&gt;ROUND(((1-(TwoDayDiscount_21_Up+FedExExrpessEarnedDiscount))*'2Day Base'!B143),2),ROUND(MinBase2Day*(1+ExpressFuelSurcharge),2),ROUND(((1-(TwoDayDiscount_21_Up+FedExExrpessEarnedDiscount))*'2Day Base'!B143)*(1+ExpressFuelSurcharge),2)))*(1+FedEx_Markup),2)</f>
        <v>127.91</v>
      </c>
      <c r="C146" s="275">
        <f>ROUND((IF(MinBase2Day&gt;ROUND(((1-(TwoDayDiscount_21_Up+FedExExrpessEarnedDiscount))*'2Day Base'!C143),2),ROUND(MinBase2Day*(1+ExpressFuelSurcharge),2),ROUND(((1-(TwoDayDiscount_21_Up+FedExExrpessEarnedDiscount))*'2Day Base'!C143)*(1+ExpressFuelSurcharge),2)))*(1+FedEx_Markup),2)</f>
        <v>160.06</v>
      </c>
      <c r="D146" s="275">
        <f>ROUND((IF(MinBase2Day&gt;ROUND(((1-(TwoDayDiscount_21_Up+FedExExrpessEarnedDiscount))*'2Day Base'!D143),2),ROUND(MinBase2Day*(1+ExpressFuelSurcharge),2),ROUND(((1-(TwoDayDiscount_21_Up+FedExExrpessEarnedDiscount))*'2Day Base'!D143)*(1+ExpressFuelSurcharge),2)))*(1+FedEx_Markup),2)</f>
        <v>206.26</v>
      </c>
      <c r="E146" s="275">
        <f>ROUND((IF(MinBase2Day&gt;ROUND(((1-(TwoDayDiscount_21_Up+FedExExrpessEarnedDiscount))*'2Day Base'!E143),2),ROUND(MinBase2Day*(1+ExpressFuelSurcharge),2),ROUND(((1-(TwoDayDiscount_21_Up+FedExExrpessEarnedDiscount))*'2Day Base'!E143)*(1+ExpressFuelSurcharge),2)))*(1+FedEx_Markup),2)</f>
        <v>306.72</v>
      </c>
      <c r="F146" s="275">
        <f>ROUND((IF(MinBase2Day&gt;ROUND(((1-(TwoDayDiscount_21_Up+FedExExrpessEarnedDiscount))*'2Day Base'!F143),2),ROUND(MinBase2Day*(1+ExpressFuelSurcharge),2),ROUND(((1-(TwoDayDiscount_21_Up+FedExExrpessEarnedDiscount))*'2Day Base'!F143)*(1+ExpressFuelSurcharge),2)))*(1+FedEx_Markup),2)</f>
        <v>486.85</v>
      </c>
      <c r="G146" s="275">
        <f>ROUND((IF(MinBase2Day&gt;ROUND(((1-(TwoDayDiscount_21_Up+FedExExrpessEarnedDiscount))*'2Day Base'!G143),2),ROUND(MinBase2Day*(1+ExpressFuelSurcharge),2),ROUND(((1-(TwoDayDiscount_21_Up+FedExExrpessEarnedDiscount))*'2Day Base'!G143)*(1+ExpressFuelSurcharge),2)))*(1+FedEx_Markup),2)</f>
        <v>555.83</v>
      </c>
      <c r="H146" s="275">
        <f>ROUND((IF(MinBase2Day&gt;ROUND(((1-(TwoDayDiscount_21_Up+FedExExrpessEarnedDiscount))*'2Day Base'!H143),2),ROUND(MinBase2Day*(1+ExpressFuelSurcharge),2),ROUND(((1-(TwoDayDiscount_21_Up+FedExExrpessEarnedDiscount))*'2Day Base'!H143)*(1+ExpressFuelSurcharge),2)))*(1+FedEx_Markup),2)</f>
        <v>572.57</v>
      </c>
      <c r="I146" s="275">
        <f>ROUND((IF(MinBase2Day&gt;ROUND(((1-(TwoDayDiscount_21_Up+FedExExrpessEarnedDiscount))*'2Day Base'!I143),2),ROUND(MinBase2Day*(1+ExpressFuelSurcharge),2),ROUND(((1-(TwoDayDiscount_21_Up+FedExExrpessEarnedDiscount))*'2Day Base'!I143)*(1+ExpressFuelSurcharge),2)))*(1+FedEx_Markup),2)</f>
        <v>584.63</v>
      </c>
      <c r="J146" s="275">
        <f>ROUND((IF(MinBase2Day&gt;ROUND(((1-(TwoDayDiscount_21_Up+FedExExrpessEarnedDiscount))*'2Day Base'!J143),2),ROUND(MinBase2Day*(1+ExpressFuelSurcharge),2),ROUND(((1-(TwoDayDiscount_21_Up+FedExExrpessEarnedDiscount))*'2Day Base'!J143)*(1+ExpressFuelSurcharge),2)))*(1+FedEx_Markup),2)</f>
        <v>584.63</v>
      </c>
      <c r="K146" s="275">
        <f>ROUND((IF(MinBase2Day&gt;ROUND(((1-(TwoDayDiscount_21_Up+FedExExrpessEarnedDiscount))*'2Day Base'!K143),2),ROUND(MinBase2Day*(1+ExpressFuelSurcharge),2),ROUND(((1-(TwoDayDiscount_21_Up+FedExExrpessEarnedDiscount))*'2Day Base'!K143)*(1+ExpressFuelSurcharge),2)))*(1+FedEx_Markup),2)</f>
        <v>597.36</v>
      </c>
      <c r="L146" s="275">
        <f>ROUND((IF(MinBase2Day&gt;ROUND(((1-(TwoDayDiscount_21_Up+FedExExrpessEarnedDiscount))*'2Day Base'!L143),2),ROUND(MinBase2Day*(1+ExpressFuelSurcharge),2),ROUND(((1-(TwoDayDiscount_21_Up+FedExExrpessEarnedDiscount))*'2Day Base'!L143)*(1+ExpressFuelSurcharge),2)))*(1+FedEx_Markup),2)</f>
        <v>597.36</v>
      </c>
    </row>
    <row r="147" ht="12.75" customHeight="1">
      <c r="A147" s="274">
        <v>142.0</v>
      </c>
      <c r="B147" s="275">
        <f>ROUND((IF(MinBase2Day&gt;ROUND(((1-(TwoDayDiscount_21_Up+FedExExrpessEarnedDiscount))*'2Day Base'!B144),2),ROUND(MinBase2Day*(1+ExpressFuelSurcharge),2),ROUND(((1-(TwoDayDiscount_21_Up+FedExExrpessEarnedDiscount))*'2Day Base'!B144)*(1+ExpressFuelSurcharge),2)))*(1+FedEx_Markup),2)</f>
        <v>128.81</v>
      </c>
      <c r="C147" s="275">
        <f>ROUND((IF(MinBase2Day&gt;ROUND(((1-(TwoDayDiscount_21_Up+FedExExrpessEarnedDiscount))*'2Day Base'!C144),2),ROUND(MinBase2Day*(1+ExpressFuelSurcharge),2),ROUND(((1-(TwoDayDiscount_21_Up+FedExExrpessEarnedDiscount))*'2Day Base'!C144)*(1+ExpressFuelSurcharge),2)))*(1+FedEx_Markup),2)</f>
        <v>161.18</v>
      </c>
      <c r="D147" s="275">
        <f>ROUND((IF(MinBase2Day&gt;ROUND(((1-(TwoDayDiscount_21_Up+FedExExrpessEarnedDiscount))*'2Day Base'!D144),2),ROUND(MinBase2Day*(1+ExpressFuelSurcharge),2),ROUND(((1-(TwoDayDiscount_21_Up+FedExExrpessEarnedDiscount))*'2Day Base'!D144)*(1+ExpressFuelSurcharge),2)))*(1+FedEx_Markup),2)</f>
        <v>207.72</v>
      </c>
      <c r="E147" s="275">
        <f>ROUND((IF(MinBase2Day&gt;ROUND(((1-(TwoDayDiscount_21_Up+FedExExrpessEarnedDiscount))*'2Day Base'!E144),2),ROUND(MinBase2Day*(1+ExpressFuelSurcharge),2),ROUND(((1-(TwoDayDiscount_21_Up+FedExExrpessEarnedDiscount))*'2Day Base'!E144)*(1+ExpressFuelSurcharge),2)))*(1+FedEx_Markup),2)</f>
        <v>308.89</v>
      </c>
      <c r="F147" s="275">
        <f>ROUND((IF(MinBase2Day&gt;ROUND(((1-(TwoDayDiscount_21_Up+FedExExrpessEarnedDiscount))*'2Day Base'!F144),2),ROUND(MinBase2Day*(1+ExpressFuelSurcharge),2),ROUND(((1-(TwoDayDiscount_21_Up+FedExExrpessEarnedDiscount))*'2Day Base'!F144)*(1+ExpressFuelSurcharge),2)))*(1+FedEx_Markup),2)</f>
        <v>490.31</v>
      </c>
      <c r="G147" s="275">
        <f>ROUND((IF(MinBase2Day&gt;ROUND(((1-(TwoDayDiscount_21_Up+FedExExrpessEarnedDiscount))*'2Day Base'!G144),2),ROUND(MinBase2Day*(1+ExpressFuelSurcharge),2),ROUND(((1-(TwoDayDiscount_21_Up+FedExExrpessEarnedDiscount))*'2Day Base'!G144)*(1+ExpressFuelSurcharge),2)))*(1+FedEx_Markup),2)</f>
        <v>559.77</v>
      </c>
      <c r="H147" s="275">
        <f>ROUND((IF(MinBase2Day&gt;ROUND(((1-(TwoDayDiscount_21_Up+FedExExrpessEarnedDiscount))*'2Day Base'!H144),2),ROUND(MinBase2Day*(1+ExpressFuelSurcharge),2),ROUND(((1-(TwoDayDiscount_21_Up+FedExExrpessEarnedDiscount))*'2Day Base'!H144)*(1+ExpressFuelSurcharge),2)))*(1+FedEx_Markup),2)</f>
        <v>576.63</v>
      </c>
      <c r="I147" s="275">
        <f>ROUND((IF(MinBase2Day&gt;ROUND(((1-(TwoDayDiscount_21_Up+FedExExrpessEarnedDiscount))*'2Day Base'!I144),2),ROUND(MinBase2Day*(1+ExpressFuelSurcharge),2),ROUND(((1-(TwoDayDiscount_21_Up+FedExExrpessEarnedDiscount))*'2Day Base'!I144)*(1+ExpressFuelSurcharge),2)))*(1+FedEx_Markup),2)</f>
        <v>588.78</v>
      </c>
      <c r="J147" s="275">
        <f>ROUND((IF(MinBase2Day&gt;ROUND(((1-(TwoDayDiscount_21_Up+FedExExrpessEarnedDiscount))*'2Day Base'!J144),2),ROUND(MinBase2Day*(1+ExpressFuelSurcharge),2),ROUND(((1-(TwoDayDiscount_21_Up+FedExExrpessEarnedDiscount))*'2Day Base'!J144)*(1+ExpressFuelSurcharge),2)))*(1+FedEx_Markup),2)</f>
        <v>588.78</v>
      </c>
      <c r="K147" s="275">
        <f>ROUND((IF(MinBase2Day&gt;ROUND(((1-(TwoDayDiscount_21_Up+FedExExrpessEarnedDiscount))*'2Day Base'!K144),2),ROUND(MinBase2Day*(1+ExpressFuelSurcharge),2),ROUND(((1-(TwoDayDiscount_21_Up+FedExExrpessEarnedDiscount))*'2Day Base'!K144)*(1+ExpressFuelSurcharge),2)))*(1+FedEx_Markup),2)</f>
        <v>601.59</v>
      </c>
      <c r="L147" s="275">
        <f>ROUND((IF(MinBase2Day&gt;ROUND(((1-(TwoDayDiscount_21_Up+FedExExrpessEarnedDiscount))*'2Day Base'!L144),2),ROUND(MinBase2Day*(1+ExpressFuelSurcharge),2),ROUND(((1-(TwoDayDiscount_21_Up+FedExExrpessEarnedDiscount))*'2Day Base'!L144)*(1+ExpressFuelSurcharge),2)))*(1+FedEx_Markup),2)</f>
        <v>601.59</v>
      </c>
    </row>
    <row r="148" ht="12.75" customHeight="1">
      <c r="A148" s="274">
        <v>143.0</v>
      </c>
      <c r="B148" s="275">
        <f>ROUND((IF(MinBase2Day&gt;ROUND(((1-(TwoDayDiscount_21_Up+FedExExrpessEarnedDiscount))*'2Day Base'!B145),2),ROUND(MinBase2Day*(1+ExpressFuelSurcharge),2),ROUND(((1-(TwoDayDiscount_21_Up+FedExExrpessEarnedDiscount))*'2Day Base'!B145)*(1+ExpressFuelSurcharge),2)))*(1+FedEx_Markup),2)</f>
        <v>129.72</v>
      </c>
      <c r="C148" s="275">
        <f>ROUND((IF(MinBase2Day&gt;ROUND(((1-(TwoDayDiscount_21_Up+FedExExrpessEarnedDiscount))*'2Day Base'!C145),2),ROUND(MinBase2Day*(1+ExpressFuelSurcharge),2),ROUND(((1-(TwoDayDiscount_21_Up+FedExExrpessEarnedDiscount))*'2Day Base'!C145)*(1+ExpressFuelSurcharge),2)))*(1+FedEx_Markup),2)</f>
        <v>162.32</v>
      </c>
      <c r="D148" s="275">
        <f>ROUND((IF(MinBase2Day&gt;ROUND(((1-(TwoDayDiscount_21_Up+FedExExrpessEarnedDiscount))*'2Day Base'!D145),2),ROUND(MinBase2Day*(1+ExpressFuelSurcharge),2),ROUND(((1-(TwoDayDiscount_21_Up+FedExExrpessEarnedDiscount))*'2Day Base'!D145)*(1+ExpressFuelSurcharge),2)))*(1+FedEx_Markup),2)</f>
        <v>209.19</v>
      </c>
      <c r="E148" s="275">
        <f>ROUND((IF(MinBase2Day&gt;ROUND(((1-(TwoDayDiscount_21_Up+FedExExrpessEarnedDiscount))*'2Day Base'!E145),2),ROUND(MinBase2Day*(1+ExpressFuelSurcharge),2),ROUND(((1-(TwoDayDiscount_21_Up+FedExExrpessEarnedDiscount))*'2Day Base'!E145)*(1+ExpressFuelSurcharge),2)))*(1+FedEx_Markup),2)</f>
        <v>311.06</v>
      </c>
      <c r="F148" s="275">
        <f>ROUND((IF(MinBase2Day&gt;ROUND(((1-(TwoDayDiscount_21_Up+FedExExrpessEarnedDiscount))*'2Day Base'!F145),2),ROUND(MinBase2Day*(1+ExpressFuelSurcharge),2),ROUND(((1-(TwoDayDiscount_21_Up+FedExExrpessEarnedDiscount))*'2Day Base'!F145)*(1+ExpressFuelSurcharge),2)))*(1+FedEx_Markup),2)</f>
        <v>493.76</v>
      </c>
      <c r="G148" s="275">
        <f>ROUND((IF(MinBase2Day&gt;ROUND(((1-(TwoDayDiscount_21_Up+FedExExrpessEarnedDiscount))*'2Day Base'!G145),2),ROUND(MinBase2Day*(1+ExpressFuelSurcharge),2),ROUND(((1-(TwoDayDiscount_21_Up+FedExExrpessEarnedDiscount))*'2Day Base'!G145)*(1+ExpressFuelSurcharge),2)))*(1+FedEx_Markup),2)</f>
        <v>563.72</v>
      </c>
      <c r="H148" s="275">
        <f>ROUND((IF(MinBase2Day&gt;ROUND(((1-(TwoDayDiscount_21_Up+FedExExrpessEarnedDiscount))*'2Day Base'!H145),2),ROUND(MinBase2Day*(1+ExpressFuelSurcharge),2),ROUND(((1-(TwoDayDiscount_21_Up+FedExExrpessEarnedDiscount))*'2Day Base'!H145)*(1+ExpressFuelSurcharge),2)))*(1+FedEx_Markup),2)</f>
        <v>580.69</v>
      </c>
      <c r="I148" s="275">
        <f>ROUND((IF(MinBase2Day&gt;ROUND(((1-(TwoDayDiscount_21_Up+FedExExrpessEarnedDiscount))*'2Day Base'!I145),2),ROUND(MinBase2Day*(1+ExpressFuelSurcharge),2),ROUND(((1-(TwoDayDiscount_21_Up+FedExExrpessEarnedDiscount))*'2Day Base'!I145)*(1+ExpressFuelSurcharge),2)))*(1+FedEx_Markup),2)</f>
        <v>592.93</v>
      </c>
      <c r="J148" s="275">
        <f>ROUND((IF(MinBase2Day&gt;ROUND(((1-(TwoDayDiscount_21_Up+FedExExrpessEarnedDiscount))*'2Day Base'!J145),2),ROUND(MinBase2Day*(1+ExpressFuelSurcharge),2),ROUND(((1-(TwoDayDiscount_21_Up+FedExExrpessEarnedDiscount))*'2Day Base'!J145)*(1+ExpressFuelSurcharge),2)))*(1+FedEx_Markup),2)</f>
        <v>592.93</v>
      </c>
      <c r="K148" s="275">
        <f>ROUND((IF(MinBase2Day&gt;ROUND(((1-(TwoDayDiscount_21_Up+FedExExrpessEarnedDiscount))*'2Day Base'!K145),2),ROUND(MinBase2Day*(1+ExpressFuelSurcharge),2),ROUND(((1-(TwoDayDiscount_21_Up+FedExExrpessEarnedDiscount))*'2Day Base'!K145)*(1+ExpressFuelSurcharge),2)))*(1+FedEx_Markup),2)</f>
        <v>605.83</v>
      </c>
      <c r="L148" s="275">
        <f>ROUND((IF(MinBase2Day&gt;ROUND(((1-(TwoDayDiscount_21_Up+FedExExrpessEarnedDiscount))*'2Day Base'!L145),2),ROUND(MinBase2Day*(1+ExpressFuelSurcharge),2),ROUND(((1-(TwoDayDiscount_21_Up+FedExExrpessEarnedDiscount))*'2Day Base'!L145)*(1+ExpressFuelSurcharge),2)))*(1+FedEx_Markup),2)</f>
        <v>605.83</v>
      </c>
    </row>
    <row r="149" ht="12.75" customHeight="1">
      <c r="A149" s="274">
        <v>144.0</v>
      </c>
      <c r="B149" s="275">
        <f>ROUND((IF(MinBase2Day&gt;ROUND(((1-(TwoDayDiscount_21_Up+FedExExrpessEarnedDiscount))*'2Day Base'!B146),2),ROUND(MinBase2Day*(1+ExpressFuelSurcharge),2),ROUND(((1-(TwoDayDiscount_21_Up+FedExExrpessEarnedDiscount))*'2Day Base'!B146)*(1+ExpressFuelSurcharge),2)))*(1+FedEx_Markup),2)</f>
        <v>130.63</v>
      </c>
      <c r="C149" s="275">
        <f>ROUND((IF(MinBase2Day&gt;ROUND(((1-(TwoDayDiscount_21_Up+FedExExrpessEarnedDiscount))*'2Day Base'!C146),2),ROUND(MinBase2Day*(1+ExpressFuelSurcharge),2),ROUND(((1-(TwoDayDiscount_21_Up+FedExExrpessEarnedDiscount))*'2Day Base'!C146)*(1+ExpressFuelSurcharge),2)))*(1+FedEx_Markup),2)</f>
        <v>163.46</v>
      </c>
      <c r="D149" s="275">
        <f>ROUND((IF(MinBase2Day&gt;ROUND(((1-(TwoDayDiscount_21_Up+FedExExrpessEarnedDiscount))*'2Day Base'!D146),2),ROUND(MinBase2Day*(1+ExpressFuelSurcharge),2),ROUND(((1-(TwoDayDiscount_21_Up+FedExExrpessEarnedDiscount))*'2Day Base'!D146)*(1+ExpressFuelSurcharge),2)))*(1+FedEx_Markup),2)</f>
        <v>210.65</v>
      </c>
      <c r="E149" s="275">
        <f>ROUND((IF(MinBase2Day&gt;ROUND(((1-(TwoDayDiscount_21_Up+FedExExrpessEarnedDiscount))*'2Day Base'!E146),2),ROUND(MinBase2Day*(1+ExpressFuelSurcharge),2),ROUND(((1-(TwoDayDiscount_21_Up+FedExExrpessEarnedDiscount))*'2Day Base'!E146)*(1+ExpressFuelSurcharge),2)))*(1+FedEx_Markup),2)</f>
        <v>313.24</v>
      </c>
      <c r="F149" s="275">
        <f>ROUND((IF(MinBase2Day&gt;ROUND(((1-(TwoDayDiscount_21_Up+FedExExrpessEarnedDiscount))*'2Day Base'!F146),2),ROUND(MinBase2Day*(1+ExpressFuelSurcharge),2),ROUND(((1-(TwoDayDiscount_21_Up+FedExExrpessEarnedDiscount))*'2Day Base'!F146)*(1+ExpressFuelSurcharge),2)))*(1+FedEx_Markup),2)</f>
        <v>497.21</v>
      </c>
      <c r="G149" s="275">
        <f>ROUND((IF(MinBase2Day&gt;ROUND(((1-(TwoDayDiscount_21_Up+FedExExrpessEarnedDiscount))*'2Day Base'!G146),2),ROUND(MinBase2Day*(1+ExpressFuelSurcharge),2),ROUND(((1-(TwoDayDiscount_21_Up+FedExExrpessEarnedDiscount))*'2Day Base'!G146)*(1+ExpressFuelSurcharge),2)))*(1+FedEx_Markup),2)</f>
        <v>567.66</v>
      </c>
      <c r="H149" s="275">
        <f>ROUND((IF(MinBase2Day&gt;ROUND(((1-(TwoDayDiscount_21_Up+FedExExrpessEarnedDiscount))*'2Day Base'!H146),2),ROUND(MinBase2Day*(1+ExpressFuelSurcharge),2),ROUND(((1-(TwoDayDiscount_21_Up+FedExExrpessEarnedDiscount))*'2Day Base'!H146)*(1+ExpressFuelSurcharge),2)))*(1+FedEx_Markup),2)</f>
        <v>584.76</v>
      </c>
      <c r="I149" s="275">
        <f>ROUND((IF(MinBase2Day&gt;ROUND(((1-(TwoDayDiscount_21_Up+FedExExrpessEarnedDiscount))*'2Day Base'!I146),2),ROUND(MinBase2Day*(1+ExpressFuelSurcharge),2),ROUND(((1-(TwoDayDiscount_21_Up+FedExExrpessEarnedDiscount))*'2Day Base'!I146)*(1+ExpressFuelSurcharge),2)))*(1+FedEx_Markup),2)</f>
        <v>597.07</v>
      </c>
      <c r="J149" s="275">
        <f>ROUND((IF(MinBase2Day&gt;ROUND(((1-(TwoDayDiscount_21_Up+FedExExrpessEarnedDiscount))*'2Day Base'!J146),2),ROUND(MinBase2Day*(1+ExpressFuelSurcharge),2),ROUND(((1-(TwoDayDiscount_21_Up+FedExExrpessEarnedDiscount))*'2Day Base'!J146)*(1+ExpressFuelSurcharge),2)))*(1+FedEx_Markup),2)</f>
        <v>597.07</v>
      </c>
      <c r="K149" s="275">
        <f>ROUND((IF(MinBase2Day&gt;ROUND(((1-(TwoDayDiscount_21_Up+FedExExrpessEarnedDiscount))*'2Day Base'!K146),2),ROUND(MinBase2Day*(1+ExpressFuelSurcharge),2),ROUND(((1-(TwoDayDiscount_21_Up+FedExExrpessEarnedDiscount))*'2Day Base'!K146)*(1+ExpressFuelSurcharge),2)))*(1+FedEx_Markup),2)</f>
        <v>610.06</v>
      </c>
      <c r="L149" s="275">
        <f>ROUND((IF(MinBase2Day&gt;ROUND(((1-(TwoDayDiscount_21_Up+FedExExrpessEarnedDiscount))*'2Day Base'!L146),2),ROUND(MinBase2Day*(1+ExpressFuelSurcharge),2),ROUND(((1-(TwoDayDiscount_21_Up+FedExExrpessEarnedDiscount))*'2Day Base'!L146)*(1+ExpressFuelSurcharge),2)))*(1+FedEx_Markup),2)</f>
        <v>610.06</v>
      </c>
    </row>
    <row r="150" ht="12.75" customHeight="1">
      <c r="A150" s="274">
        <v>145.0</v>
      </c>
      <c r="B150" s="275">
        <f>ROUND((IF(MinBase2Day&gt;ROUND(((1-(TwoDayDiscount_21_Up+FedExExrpessEarnedDiscount))*'2Day Base'!B147),2),ROUND(MinBase2Day*(1+ExpressFuelSurcharge),2),ROUND(((1-(TwoDayDiscount_21_Up+FedExExrpessEarnedDiscount))*'2Day Base'!B147)*(1+ExpressFuelSurcharge),2)))*(1+FedEx_Markup),2)</f>
        <v>131.54</v>
      </c>
      <c r="C150" s="275">
        <f>ROUND((IF(MinBase2Day&gt;ROUND(((1-(TwoDayDiscount_21_Up+FedExExrpessEarnedDiscount))*'2Day Base'!C147),2),ROUND(MinBase2Day*(1+ExpressFuelSurcharge),2),ROUND(((1-(TwoDayDiscount_21_Up+FedExExrpessEarnedDiscount))*'2Day Base'!C147)*(1+ExpressFuelSurcharge),2)))*(1+FedEx_Markup),2)</f>
        <v>164.6</v>
      </c>
      <c r="D150" s="275">
        <f>ROUND((IF(MinBase2Day&gt;ROUND(((1-(TwoDayDiscount_21_Up+FedExExrpessEarnedDiscount))*'2Day Base'!D147),2),ROUND(MinBase2Day*(1+ExpressFuelSurcharge),2),ROUND(((1-(TwoDayDiscount_21_Up+FedExExrpessEarnedDiscount))*'2Day Base'!D147)*(1+ExpressFuelSurcharge),2)))*(1+FedEx_Markup),2)</f>
        <v>212.12</v>
      </c>
      <c r="E150" s="275">
        <f>ROUND((IF(MinBase2Day&gt;ROUND(((1-(TwoDayDiscount_21_Up+FedExExrpessEarnedDiscount))*'2Day Base'!E147),2),ROUND(MinBase2Day*(1+ExpressFuelSurcharge),2),ROUND(((1-(TwoDayDiscount_21_Up+FedExExrpessEarnedDiscount))*'2Day Base'!E147)*(1+ExpressFuelSurcharge),2)))*(1+FedEx_Markup),2)</f>
        <v>315.41</v>
      </c>
      <c r="F150" s="275">
        <f>ROUND((IF(MinBase2Day&gt;ROUND(((1-(TwoDayDiscount_21_Up+FedExExrpessEarnedDiscount))*'2Day Base'!F147),2),ROUND(MinBase2Day*(1+ExpressFuelSurcharge),2),ROUND(((1-(TwoDayDiscount_21_Up+FedExExrpessEarnedDiscount))*'2Day Base'!F147)*(1+ExpressFuelSurcharge),2)))*(1+FedEx_Markup),2)</f>
        <v>500.66</v>
      </c>
      <c r="G150" s="275">
        <f>ROUND((IF(MinBase2Day&gt;ROUND(((1-(TwoDayDiscount_21_Up+FedExExrpessEarnedDiscount))*'2Day Base'!G147),2),ROUND(MinBase2Day*(1+ExpressFuelSurcharge),2),ROUND(((1-(TwoDayDiscount_21_Up+FedExExrpessEarnedDiscount))*'2Day Base'!G147)*(1+ExpressFuelSurcharge),2)))*(1+FedEx_Markup),2)</f>
        <v>571.61</v>
      </c>
      <c r="H150" s="275">
        <f>ROUND((IF(MinBase2Day&gt;ROUND(((1-(TwoDayDiscount_21_Up+FedExExrpessEarnedDiscount))*'2Day Base'!H147),2),ROUND(MinBase2Day*(1+ExpressFuelSurcharge),2),ROUND(((1-(TwoDayDiscount_21_Up+FedExExrpessEarnedDiscount))*'2Day Base'!H147)*(1+ExpressFuelSurcharge),2)))*(1+FedEx_Markup),2)</f>
        <v>588.82</v>
      </c>
      <c r="I150" s="275">
        <f>ROUND((IF(MinBase2Day&gt;ROUND(((1-(TwoDayDiscount_21_Up+FedExExrpessEarnedDiscount))*'2Day Base'!I147),2),ROUND(MinBase2Day*(1+ExpressFuelSurcharge),2),ROUND(((1-(TwoDayDiscount_21_Up+FedExExrpessEarnedDiscount))*'2Day Base'!I147)*(1+ExpressFuelSurcharge),2)))*(1+FedEx_Markup),2)</f>
        <v>601.22</v>
      </c>
      <c r="J150" s="275">
        <f>ROUND((IF(MinBase2Day&gt;ROUND(((1-(TwoDayDiscount_21_Up+FedExExrpessEarnedDiscount))*'2Day Base'!J147),2),ROUND(MinBase2Day*(1+ExpressFuelSurcharge),2),ROUND(((1-(TwoDayDiscount_21_Up+FedExExrpessEarnedDiscount))*'2Day Base'!J147)*(1+ExpressFuelSurcharge),2)))*(1+FedEx_Markup),2)</f>
        <v>601.22</v>
      </c>
      <c r="K150" s="275">
        <f>ROUND((IF(MinBase2Day&gt;ROUND(((1-(TwoDayDiscount_21_Up+FedExExrpessEarnedDiscount))*'2Day Base'!K147),2),ROUND(MinBase2Day*(1+ExpressFuelSurcharge),2),ROUND(((1-(TwoDayDiscount_21_Up+FedExExrpessEarnedDiscount))*'2Day Base'!K147)*(1+ExpressFuelSurcharge),2)))*(1+FedEx_Markup),2)</f>
        <v>614.3</v>
      </c>
      <c r="L150" s="275">
        <f>ROUND((IF(MinBase2Day&gt;ROUND(((1-(TwoDayDiscount_21_Up+FedExExrpessEarnedDiscount))*'2Day Base'!L147),2),ROUND(MinBase2Day*(1+ExpressFuelSurcharge),2),ROUND(((1-(TwoDayDiscount_21_Up+FedExExrpessEarnedDiscount))*'2Day Base'!L147)*(1+ExpressFuelSurcharge),2)))*(1+FedEx_Markup),2)</f>
        <v>614.3</v>
      </c>
    </row>
    <row r="151" ht="12.75" customHeight="1">
      <c r="A151" s="274">
        <v>146.0</v>
      </c>
      <c r="B151" s="275">
        <f>ROUND((IF(MinBase2Day&gt;ROUND(((1-(TwoDayDiscount_21_Up+FedExExrpessEarnedDiscount))*'2Day Base'!B148),2),ROUND(MinBase2Day*(1+ExpressFuelSurcharge),2),ROUND(((1-(TwoDayDiscount_21_Up+FedExExrpessEarnedDiscount))*'2Day Base'!B148)*(1+ExpressFuelSurcharge),2)))*(1+FedEx_Markup),2)</f>
        <v>132.45</v>
      </c>
      <c r="C151" s="275">
        <f>ROUND((IF(MinBase2Day&gt;ROUND(((1-(TwoDayDiscount_21_Up+FedExExrpessEarnedDiscount))*'2Day Base'!C148),2),ROUND(MinBase2Day*(1+ExpressFuelSurcharge),2),ROUND(((1-(TwoDayDiscount_21_Up+FedExExrpessEarnedDiscount))*'2Day Base'!C148)*(1+ExpressFuelSurcharge),2)))*(1+FedEx_Markup),2)</f>
        <v>165.73</v>
      </c>
      <c r="D151" s="275">
        <f>ROUND((IF(MinBase2Day&gt;ROUND(((1-(TwoDayDiscount_21_Up+FedExExrpessEarnedDiscount))*'2Day Base'!D148),2),ROUND(MinBase2Day*(1+ExpressFuelSurcharge),2),ROUND(((1-(TwoDayDiscount_21_Up+FedExExrpessEarnedDiscount))*'2Day Base'!D148)*(1+ExpressFuelSurcharge),2)))*(1+FedEx_Markup),2)</f>
        <v>213.58</v>
      </c>
      <c r="E151" s="275">
        <f>ROUND((IF(MinBase2Day&gt;ROUND(((1-(TwoDayDiscount_21_Up+FedExExrpessEarnedDiscount))*'2Day Base'!E148),2),ROUND(MinBase2Day*(1+ExpressFuelSurcharge),2),ROUND(((1-(TwoDayDiscount_21_Up+FedExExrpessEarnedDiscount))*'2Day Base'!E148)*(1+ExpressFuelSurcharge),2)))*(1+FedEx_Markup),2)</f>
        <v>317.58</v>
      </c>
      <c r="F151" s="275">
        <f>ROUND((IF(MinBase2Day&gt;ROUND(((1-(TwoDayDiscount_21_Up+FedExExrpessEarnedDiscount))*'2Day Base'!F148),2),ROUND(MinBase2Day*(1+ExpressFuelSurcharge),2),ROUND(((1-(TwoDayDiscount_21_Up+FedExExrpessEarnedDiscount))*'2Day Base'!F148)*(1+ExpressFuelSurcharge),2)))*(1+FedEx_Markup),2)</f>
        <v>504.13</v>
      </c>
      <c r="G151" s="275">
        <f>ROUND((IF(MinBase2Day&gt;ROUND(((1-(TwoDayDiscount_21_Up+FedExExrpessEarnedDiscount))*'2Day Base'!G148),2),ROUND(MinBase2Day*(1+ExpressFuelSurcharge),2),ROUND(((1-(TwoDayDiscount_21_Up+FedExExrpessEarnedDiscount))*'2Day Base'!G148)*(1+ExpressFuelSurcharge),2)))*(1+FedEx_Markup),2)</f>
        <v>575.54</v>
      </c>
      <c r="H151" s="275">
        <f>ROUND((IF(MinBase2Day&gt;ROUND(((1-(TwoDayDiscount_21_Up+FedExExrpessEarnedDiscount))*'2Day Base'!H148),2),ROUND(MinBase2Day*(1+ExpressFuelSurcharge),2),ROUND(((1-(TwoDayDiscount_21_Up+FedExExrpessEarnedDiscount))*'2Day Base'!H148)*(1+ExpressFuelSurcharge),2)))*(1+FedEx_Markup),2)</f>
        <v>592.88</v>
      </c>
      <c r="I151" s="275">
        <f>ROUND((IF(MinBase2Day&gt;ROUND(((1-(TwoDayDiscount_21_Up+FedExExrpessEarnedDiscount))*'2Day Base'!I148),2),ROUND(MinBase2Day*(1+ExpressFuelSurcharge),2),ROUND(((1-(TwoDayDiscount_21_Up+FedExExrpessEarnedDiscount))*'2Day Base'!I148)*(1+ExpressFuelSurcharge),2)))*(1+FedEx_Markup),2)</f>
        <v>605.36</v>
      </c>
      <c r="J151" s="275">
        <f>ROUND((IF(MinBase2Day&gt;ROUND(((1-(TwoDayDiscount_21_Up+FedExExrpessEarnedDiscount))*'2Day Base'!J148),2),ROUND(MinBase2Day*(1+ExpressFuelSurcharge),2),ROUND(((1-(TwoDayDiscount_21_Up+FedExExrpessEarnedDiscount))*'2Day Base'!J148)*(1+ExpressFuelSurcharge),2)))*(1+FedEx_Markup),2)</f>
        <v>605.36</v>
      </c>
      <c r="K151" s="275">
        <f>ROUND((IF(MinBase2Day&gt;ROUND(((1-(TwoDayDiscount_21_Up+FedExExrpessEarnedDiscount))*'2Day Base'!K148),2),ROUND(MinBase2Day*(1+ExpressFuelSurcharge),2),ROUND(((1-(TwoDayDiscount_21_Up+FedExExrpessEarnedDiscount))*'2Day Base'!K148)*(1+ExpressFuelSurcharge),2)))*(1+FedEx_Markup),2)</f>
        <v>618.54</v>
      </c>
      <c r="L151" s="275">
        <f>ROUND((IF(MinBase2Day&gt;ROUND(((1-(TwoDayDiscount_21_Up+FedExExrpessEarnedDiscount))*'2Day Base'!L148),2),ROUND(MinBase2Day*(1+ExpressFuelSurcharge),2),ROUND(((1-(TwoDayDiscount_21_Up+FedExExrpessEarnedDiscount))*'2Day Base'!L148)*(1+ExpressFuelSurcharge),2)))*(1+FedEx_Markup),2)</f>
        <v>618.54</v>
      </c>
    </row>
    <row r="152" ht="12.75" customHeight="1">
      <c r="A152" s="274">
        <v>147.0</v>
      </c>
      <c r="B152" s="275">
        <f>ROUND((IF(MinBase2Day&gt;ROUND(((1-(TwoDayDiscount_21_Up+FedExExrpessEarnedDiscount))*'2Day Base'!B149),2),ROUND(MinBase2Day*(1+ExpressFuelSurcharge),2),ROUND(((1-(TwoDayDiscount_21_Up+FedExExrpessEarnedDiscount))*'2Day Base'!B149)*(1+ExpressFuelSurcharge),2)))*(1+FedEx_Markup),2)</f>
        <v>133.35</v>
      </c>
      <c r="C152" s="275">
        <f>ROUND((IF(MinBase2Day&gt;ROUND(((1-(TwoDayDiscount_21_Up+FedExExrpessEarnedDiscount))*'2Day Base'!C149),2),ROUND(MinBase2Day*(1+ExpressFuelSurcharge),2),ROUND(((1-(TwoDayDiscount_21_Up+FedExExrpessEarnedDiscount))*'2Day Base'!C149)*(1+ExpressFuelSurcharge),2)))*(1+FedEx_Markup),2)</f>
        <v>166.87</v>
      </c>
      <c r="D152" s="275">
        <f>ROUND((IF(MinBase2Day&gt;ROUND(((1-(TwoDayDiscount_21_Up+FedExExrpessEarnedDiscount))*'2Day Base'!D149),2),ROUND(MinBase2Day*(1+ExpressFuelSurcharge),2),ROUND(((1-(TwoDayDiscount_21_Up+FedExExrpessEarnedDiscount))*'2Day Base'!D149)*(1+ExpressFuelSurcharge),2)))*(1+FedEx_Markup),2)</f>
        <v>215.04</v>
      </c>
      <c r="E152" s="275">
        <f>ROUND((IF(MinBase2Day&gt;ROUND(((1-(TwoDayDiscount_21_Up+FedExExrpessEarnedDiscount))*'2Day Base'!E149),2),ROUND(MinBase2Day*(1+ExpressFuelSurcharge),2),ROUND(((1-(TwoDayDiscount_21_Up+FedExExrpessEarnedDiscount))*'2Day Base'!E149)*(1+ExpressFuelSurcharge),2)))*(1+FedEx_Markup),2)</f>
        <v>319.77</v>
      </c>
      <c r="F152" s="275">
        <f>ROUND((IF(MinBase2Day&gt;ROUND(((1-(TwoDayDiscount_21_Up+FedExExrpessEarnedDiscount))*'2Day Base'!F149),2),ROUND(MinBase2Day*(1+ExpressFuelSurcharge),2),ROUND(((1-(TwoDayDiscount_21_Up+FedExExrpessEarnedDiscount))*'2Day Base'!F149)*(1+ExpressFuelSurcharge),2)))*(1+FedEx_Markup),2)</f>
        <v>507.58</v>
      </c>
      <c r="G152" s="275">
        <f>ROUND((IF(MinBase2Day&gt;ROUND(((1-(TwoDayDiscount_21_Up+FedExExrpessEarnedDiscount))*'2Day Base'!G149),2),ROUND(MinBase2Day*(1+ExpressFuelSurcharge),2),ROUND(((1-(TwoDayDiscount_21_Up+FedExExrpessEarnedDiscount))*'2Day Base'!G149)*(1+ExpressFuelSurcharge),2)))*(1+FedEx_Markup),2)</f>
        <v>579.49</v>
      </c>
      <c r="H152" s="275">
        <f>ROUND((IF(MinBase2Day&gt;ROUND(((1-(TwoDayDiscount_21_Up+FedExExrpessEarnedDiscount))*'2Day Base'!H149),2),ROUND(MinBase2Day*(1+ExpressFuelSurcharge),2),ROUND(((1-(TwoDayDiscount_21_Up+FedExExrpessEarnedDiscount))*'2Day Base'!H149)*(1+ExpressFuelSurcharge),2)))*(1+FedEx_Markup),2)</f>
        <v>596.94</v>
      </c>
      <c r="I152" s="275">
        <f>ROUND((IF(MinBase2Day&gt;ROUND(((1-(TwoDayDiscount_21_Up+FedExExrpessEarnedDiscount))*'2Day Base'!I149),2),ROUND(MinBase2Day*(1+ExpressFuelSurcharge),2),ROUND(((1-(TwoDayDiscount_21_Up+FedExExrpessEarnedDiscount))*'2Day Base'!I149)*(1+ExpressFuelSurcharge),2)))*(1+FedEx_Markup),2)</f>
        <v>609.51</v>
      </c>
      <c r="J152" s="275">
        <f>ROUND((IF(MinBase2Day&gt;ROUND(((1-(TwoDayDiscount_21_Up+FedExExrpessEarnedDiscount))*'2Day Base'!J149),2),ROUND(MinBase2Day*(1+ExpressFuelSurcharge),2),ROUND(((1-(TwoDayDiscount_21_Up+FedExExrpessEarnedDiscount))*'2Day Base'!J149)*(1+ExpressFuelSurcharge),2)))*(1+FedEx_Markup),2)</f>
        <v>609.51</v>
      </c>
      <c r="K152" s="275">
        <f>ROUND((IF(MinBase2Day&gt;ROUND(((1-(TwoDayDiscount_21_Up+FedExExrpessEarnedDiscount))*'2Day Base'!K149),2),ROUND(MinBase2Day*(1+ExpressFuelSurcharge),2),ROUND(((1-(TwoDayDiscount_21_Up+FedExExrpessEarnedDiscount))*'2Day Base'!K149)*(1+ExpressFuelSurcharge),2)))*(1+FedEx_Markup),2)</f>
        <v>622.77</v>
      </c>
      <c r="L152" s="275">
        <f>ROUND((IF(MinBase2Day&gt;ROUND(((1-(TwoDayDiscount_21_Up+FedExExrpessEarnedDiscount))*'2Day Base'!L149),2),ROUND(MinBase2Day*(1+ExpressFuelSurcharge),2),ROUND(((1-(TwoDayDiscount_21_Up+FedExExrpessEarnedDiscount))*'2Day Base'!L149)*(1+ExpressFuelSurcharge),2)))*(1+FedEx_Markup),2)</f>
        <v>622.77</v>
      </c>
    </row>
    <row r="153" ht="12.75" customHeight="1">
      <c r="A153" s="274">
        <v>148.0</v>
      </c>
      <c r="B153" s="275">
        <f>ROUND((IF(MinBase2Day&gt;ROUND(((1-(TwoDayDiscount_21_Up+FedExExrpessEarnedDiscount))*'2Day Base'!B150),2),ROUND(MinBase2Day*(1+ExpressFuelSurcharge),2),ROUND(((1-(TwoDayDiscount_21_Up+FedExExrpessEarnedDiscount))*'2Day Base'!B150)*(1+ExpressFuelSurcharge),2)))*(1+FedEx_Markup),2)</f>
        <v>134.26</v>
      </c>
      <c r="C153" s="275">
        <f>ROUND((IF(MinBase2Day&gt;ROUND(((1-(TwoDayDiscount_21_Up+FedExExrpessEarnedDiscount))*'2Day Base'!C150),2),ROUND(MinBase2Day*(1+ExpressFuelSurcharge),2),ROUND(((1-(TwoDayDiscount_21_Up+FedExExrpessEarnedDiscount))*'2Day Base'!C150)*(1+ExpressFuelSurcharge),2)))*(1+FedEx_Markup),2)</f>
        <v>168</v>
      </c>
      <c r="D153" s="275">
        <f>ROUND((IF(MinBase2Day&gt;ROUND(((1-(TwoDayDiscount_21_Up+FedExExrpessEarnedDiscount))*'2Day Base'!D150),2),ROUND(MinBase2Day*(1+ExpressFuelSurcharge),2),ROUND(((1-(TwoDayDiscount_21_Up+FedExExrpessEarnedDiscount))*'2Day Base'!D150)*(1+ExpressFuelSurcharge),2)))*(1+FedEx_Markup),2)</f>
        <v>216.5</v>
      </c>
      <c r="E153" s="275">
        <f>ROUND((IF(MinBase2Day&gt;ROUND(((1-(TwoDayDiscount_21_Up+FedExExrpessEarnedDiscount))*'2Day Base'!E150),2),ROUND(MinBase2Day*(1+ExpressFuelSurcharge),2),ROUND(((1-(TwoDayDiscount_21_Up+FedExExrpessEarnedDiscount))*'2Day Base'!E150)*(1+ExpressFuelSurcharge),2)))*(1+FedEx_Markup),2)</f>
        <v>321.94</v>
      </c>
      <c r="F153" s="275">
        <f>ROUND((IF(MinBase2Day&gt;ROUND(((1-(TwoDayDiscount_21_Up+FedExExrpessEarnedDiscount))*'2Day Base'!F150),2),ROUND(MinBase2Day*(1+ExpressFuelSurcharge),2),ROUND(((1-(TwoDayDiscount_21_Up+FedExExrpessEarnedDiscount))*'2Day Base'!F150)*(1+ExpressFuelSurcharge),2)))*(1+FedEx_Markup),2)</f>
        <v>511.03</v>
      </c>
      <c r="G153" s="275">
        <f>ROUND((IF(MinBase2Day&gt;ROUND(((1-(TwoDayDiscount_21_Up+FedExExrpessEarnedDiscount))*'2Day Base'!G150),2),ROUND(MinBase2Day*(1+ExpressFuelSurcharge),2),ROUND(((1-(TwoDayDiscount_21_Up+FedExExrpessEarnedDiscount))*'2Day Base'!G150)*(1+ExpressFuelSurcharge),2)))*(1+FedEx_Markup),2)</f>
        <v>583.43</v>
      </c>
      <c r="H153" s="275">
        <f>ROUND((IF(MinBase2Day&gt;ROUND(((1-(TwoDayDiscount_21_Up+FedExExrpessEarnedDiscount))*'2Day Base'!H150),2),ROUND(MinBase2Day*(1+ExpressFuelSurcharge),2),ROUND(((1-(TwoDayDiscount_21_Up+FedExExrpessEarnedDiscount))*'2Day Base'!H150)*(1+ExpressFuelSurcharge),2)))*(1+FedEx_Markup),2)</f>
        <v>601</v>
      </c>
      <c r="I153" s="275">
        <f>ROUND((IF(MinBase2Day&gt;ROUND(((1-(TwoDayDiscount_21_Up+FedExExrpessEarnedDiscount))*'2Day Base'!I150),2),ROUND(MinBase2Day*(1+ExpressFuelSurcharge),2),ROUND(((1-(TwoDayDiscount_21_Up+FedExExrpessEarnedDiscount))*'2Day Base'!I150)*(1+ExpressFuelSurcharge),2)))*(1+FedEx_Markup),2)</f>
        <v>613.65</v>
      </c>
      <c r="J153" s="275">
        <f>ROUND((IF(MinBase2Day&gt;ROUND(((1-(TwoDayDiscount_21_Up+FedExExrpessEarnedDiscount))*'2Day Base'!J150),2),ROUND(MinBase2Day*(1+ExpressFuelSurcharge),2),ROUND(((1-(TwoDayDiscount_21_Up+FedExExrpessEarnedDiscount))*'2Day Base'!J150)*(1+ExpressFuelSurcharge),2)))*(1+FedEx_Markup),2)</f>
        <v>613.65</v>
      </c>
      <c r="K153" s="275">
        <f>ROUND((IF(MinBase2Day&gt;ROUND(((1-(TwoDayDiscount_21_Up+FedExExrpessEarnedDiscount))*'2Day Base'!K150),2),ROUND(MinBase2Day*(1+ExpressFuelSurcharge),2),ROUND(((1-(TwoDayDiscount_21_Up+FedExExrpessEarnedDiscount))*'2Day Base'!K150)*(1+ExpressFuelSurcharge),2)))*(1+FedEx_Markup),2)</f>
        <v>627.01</v>
      </c>
      <c r="L153" s="275">
        <f>ROUND((IF(MinBase2Day&gt;ROUND(((1-(TwoDayDiscount_21_Up+FedExExrpessEarnedDiscount))*'2Day Base'!L150),2),ROUND(MinBase2Day*(1+ExpressFuelSurcharge),2),ROUND(((1-(TwoDayDiscount_21_Up+FedExExrpessEarnedDiscount))*'2Day Base'!L150)*(1+ExpressFuelSurcharge),2)))*(1+FedEx_Markup),2)</f>
        <v>627.01</v>
      </c>
    </row>
    <row r="154" ht="12.75" customHeight="1">
      <c r="A154" s="274">
        <v>149.0</v>
      </c>
      <c r="B154" s="275">
        <f>ROUND((IF(MinBase2Day&gt;ROUND(((1-(TwoDayDiscount_21_Up+FedExExrpessEarnedDiscount))*'2Day Base'!B151),2),ROUND(MinBase2Day*(1+ExpressFuelSurcharge),2),ROUND(((1-(TwoDayDiscount_21_Up+FedExExrpessEarnedDiscount))*'2Day Base'!B151)*(1+ExpressFuelSurcharge),2)))*(1+FedEx_Markup),2)</f>
        <v>135.17</v>
      </c>
      <c r="C154" s="275">
        <f>ROUND((IF(MinBase2Day&gt;ROUND(((1-(TwoDayDiscount_21_Up+FedExExrpessEarnedDiscount))*'2Day Base'!C151),2),ROUND(MinBase2Day*(1+ExpressFuelSurcharge),2),ROUND(((1-(TwoDayDiscount_21_Up+FedExExrpessEarnedDiscount))*'2Day Base'!C151)*(1+ExpressFuelSurcharge),2)))*(1+FedEx_Markup),2)</f>
        <v>169.13</v>
      </c>
      <c r="D154" s="275">
        <f>ROUND((IF(MinBase2Day&gt;ROUND(((1-(TwoDayDiscount_21_Up+FedExExrpessEarnedDiscount))*'2Day Base'!D151),2),ROUND(MinBase2Day*(1+ExpressFuelSurcharge),2),ROUND(((1-(TwoDayDiscount_21_Up+FedExExrpessEarnedDiscount))*'2Day Base'!D151)*(1+ExpressFuelSurcharge),2)))*(1+FedEx_Markup),2)</f>
        <v>217.96</v>
      </c>
      <c r="E154" s="275">
        <f>ROUND((IF(MinBase2Day&gt;ROUND(((1-(TwoDayDiscount_21_Up+FedExExrpessEarnedDiscount))*'2Day Base'!E151),2),ROUND(MinBase2Day*(1+ExpressFuelSurcharge),2),ROUND(((1-(TwoDayDiscount_21_Up+FedExExrpessEarnedDiscount))*'2Day Base'!E151)*(1+ExpressFuelSurcharge),2)))*(1+FedEx_Markup),2)</f>
        <v>324.12</v>
      </c>
      <c r="F154" s="275">
        <f>ROUND((IF(MinBase2Day&gt;ROUND(((1-(TwoDayDiscount_21_Up+FedExExrpessEarnedDiscount))*'2Day Base'!F151),2),ROUND(MinBase2Day*(1+ExpressFuelSurcharge),2),ROUND(((1-(TwoDayDiscount_21_Up+FedExExrpessEarnedDiscount))*'2Day Base'!F151)*(1+ExpressFuelSurcharge),2)))*(1+FedEx_Markup),2)</f>
        <v>514.48</v>
      </c>
      <c r="G154" s="275">
        <f>ROUND((IF(MinBase2Day&gt;ROUND(((1-(TwoDayDiscount_21_Up+FedExExrpessEarnedDiscount))*'2Day Base'!G151),2),ROUND(MinBase2Day*(1+ExpressFuelSurcharge),2),ROUND(((1-(TwoDayDiscount_21_Up+FedExExrpessEarnedDiscount))*'2Day Base'!G151)*(1+ExpressFuelSurcharge),2)))*(1+FedEx_Markup),2)</f>
        <v>587.37</v>
      </c>
      <c r="H154" s="275">
        <f>ROUND((IF(MinBase2Day&gt;ROUND(((1-(TwoDayDiscount_21_Up+FedExExrpessEarnedDiscount))*'2Day Base'!H151),2),ROUND(MinBase2Day*(1+ExpressFuelSurcharge),2),ROUND(((1-(TwoDayDiscount_21_Up+FedExExrpessEarnedDiscount))*'2Day Base'!H151)*(1+ExpressFuelSurcharge),2)))*(1+FedEx_Markup),2)</f>
        <v>605.06</v>
      </c>
      <c r="I154" s="275">
        <f>ROUND((IF(MinBase2Day&gt;ROUND(((1-(TwoDayDiscount_21_Up+FedExExrpessEarnedDiscount))*'2Day Base'!I151),2),ROUND(MinBase2Day*(1+ExpressFuelSurcharge),2),ROUND(((1-(TwoDayDiscount_21_Up+FedExExrpessEarnedDiscount))*'2Day Base'!I151)*(1+ExpressFuelSurcharge),2)))*(1+FedEx_Markup),2)</f>
        <v>617.8</v>
      </c>
      <c r="J154" s="275">
        <f>ROUND((IF(MinBase2Day&gt;ROUND(((1-(TwoDayDiscount_21_Up+FedExExrpessEarnedDiscount))*'2Day Base'!J151),2),ROUND(MinBase2Day*(1+ExpressFuelSurcharge),2),ROUND(((1-(TwoDayDiscount_21_Up+FedExExrpessEarnedDiscount))*'2Day Base'!J151)*(1+ExpressFuelSurcharge),2)))*(1+FedEx_Markup),2)</f>
        <v>617.8</v>
      </c>
      <c r="K154" s="275">
        <f>ROUND((IF(MinBase2Day&gt;ROUND(((1-(TwoDayDiscount_21_Up+FedExExrpessEarnedDiscount))*'2Day Base'!K151),2),ROUND(MinBase2Day*(1+ExpressFuelSurcharge),2),ROUND(((1-(TwoDayDiscount_21_Up+FedExExrpessEarnedDiscount))*'2Day Base'!K151)*(1+ExpressFuelSurcharge),2)))*(1+FedEx_Markup),2)</f>
        <v>631.25</v>
      </c>
      <c r="L154" s="275">
        <f>ROUND((IF(MinBase2Day&gt;ROUND(((1-(TwoDayDiscount_21_Up+FedExExrpessEarnedDiscount))*'2Day Base'!L151),2),ROUND(MinBase2Day*(1+ExpressFuelSurcharge),2),ROUND(((1-(TwoDayDiscount_21_Up+FedExExrpessEarnedDiscount))*'2Day Base'!L151)*(1+ExpressFuelSurcharge),2)))*(1+FedEx_Markup),2)</f>
        <v>631.25</v>
      </c>
    </row>
    <row r="155" ht="12.75" customHeight="1">
      <c r="A155" s="274">
        <v>150.0</v>
      </c>
      <c r="B155" s="275">
        <f>ROUND((IF(MinBase2Day&gt;ROUND(((1-(TwoDayDiscount_21_Up+FedExExrpessEarnedDiscount))*'2Day Base'!B152),2),ROUND(MinBase2Day*(1+ExpressFuelSurcharge),2),ROUND(((1-(TwoDayDiscount_21_Up+FedExExrpessEarnedDiscount))*'2Day Base'!B152)*(1+ExpressFuelSurcharge),2)))*(1+FedEx_Markup),2)</f>
        <v>136.07</v>
      </c>
      <c r="C155" s="275">
        <f>ROUND((IF(MinBase2Day&gt;ROUND(((1-(TwoDayDiscount_21_Up+FedExExrpessEarnedDiscount))*'2Day Base'!C152),2),ROUND(MinBase2Day*(1+ExpressFuelSurcharge),2),ROUND(((1-(TwoDayDiscount_21_Up+FedExExrpessEarnedDiscount))*'2Day Base'!C152)*(1+ExpressFuelSurcharge),2)))*(1+FedEx_Markup),2)</f>
        <v>170.27</v>
      </c>
      <c r="D155" s="275">
        <f>ROUND((IF(MinBase2Day&gt;ROUND(((1-(TwoDayDiscount_21_Up+FedExExrpessEarnedDiscount))*'2Day Base'!D152),2),ROUND(MinBase2Day*(1+ExpressFuelSurcharge),2),ROUND(((1-(TwoDayDiscount_21_Up+FedExExrpessEarnedDiscount))*'2Day Base'!D152)*(1+ExpressFuelSurcharge),2)))*(1+FedEx_Markup),2)</f>
        <v>219.43</v>
      </c>
      <c r="E155" s="275">
        <f>ROUND((IF(MinBase2Day&gt;ROUND(((1-(TwoDayDiscount_21_Up+FedExExrpessEarnedDiscount))*'2Day Base'!E152),2),ROUND(MinBase2Day*(1+ExpressFuelSurcharge),2),ROUND(((1-(TwoDayDiscount_21_Up+FedExExrpessEarnedDiscount))*'2Day Base'!E152)*(1+ExpressFuelSurcharge),2)))*(1+FedEx_Markup),2)</f>
        <v>326.29</v>
      </c>
      <c r="F155" s="275">
        <f>ROUND((IF(MinBase2Day&gt;ROUND(((1-(TwoDayDiscount_21_Up+FedExExrpessEarnedDiscount))*'2Day Base'!F152),2),ROUND(MinBase2Day*(1+ExpressFuelSurcharge),2),ROUND(((1-(TwoDayDiscount_21_Up+FedExExrpessEarnedDiscount))*'2Day Base'!F152)*(1+ExpressFuelSurcharge),2)))*(1+FedEx_Markup),2)</f>
        <v>517.94</v>
      </c>
      <c r="G155" s="275">
        <f>ROUND((IF(MinBase2Day&gt;ROUND(((1-(TwoDayDiscount_21_Up+FedExExrpessEarnedDiscount))*'2Day Base'!G152),2),ROUND(MinBase2Day*(1+ExpressFuelSurcharge),2),ROUND(((1-(TwoDayDiscount_21_Up+FedExExrpessEarnedDiscount))*'2Day Base'!G152)*(1+ExpressFuelSurcharge),2)))*(1+FedEx_Markup),2)</f>
        <v>591.32</v>
      </c>
      <c r="H155" s="275">
        <f>ROUND((IF(MinBase2Day&gt;ROUND(((1-(TwoDayDiscount_21_Up+FedExExrpessEarnedDiscount))*'2Day Base'!H152),2),ROUND(MinBase2Day*(1+ExpressFuelSurcharge),2),ROUND(((1-(TwoDayDiscount_21_Up+FedExExrpessEarnedDiscount))*'2Day Base'!H152)*(1+ExpressFuelSurcharge),2)))*(1+FedEx_Markup),2)</f>
        <v>609.12</v>
      </c>
      <c r="I155" s="275">
        <f>ROUND((IF(MinBase2Day&gt;ROUND(((1-(TwoDayDiscount_21_Up+FedExExrpessEarnedDiscount))*'2Day Base'!I152),2),ROUND(MinBase2Day*(1+ExpressFuelSurcharge),2),ROUND(((1-(TwoDayDiscount_21_Up+FedExExrpessEarnedDiscount))*'2Day Base'!I152)*(1+ExpressFuelSurcharge),2)))*(1+FedEx_Markup),2)</f>
        <v>621.94</v>
      </c>
      <c r="J155" s="275">
        <f>ROUND((IF(MinBase2Day&gt;ROUND(((1-(TwoDayDiscount_21_Up+FedExExrpessEarnedDiscount))*'2Day Base'!J152),2),ROUND(MinBase2Day*(1+ExpressFuelSurcharge),2),ROUND(((1-(TwoDayDiscount_21_Up+FedExExrpessEarnedDiscount))*'2Day Base'!J152)*(1+ExpressFuelSurcharge),2)))*(1+FedEx_Markup),2)</f>
        <v>621.94</v>
      </c>
      <c r="K155" s="275">
        <f>ROUND((IF(MinBase2Day&gt;ROUND(((1-(TwoDayDiscount_21_Up+FedExExrpessEarnedDiscount))*'2Day Base'!K152),2),ROUND(MinBase2Day*(1+ExpressFuelSurcharge),2),ROUND(((1-(TwoDayDiscount_21_Up+FedExExrpessEarnedDiscount))*'2Day Base'!K152)*(1+ExpressFuelSurcharge),2)))*(1+FedEx_Markup),2)</f>
        <v>635.48</v>
      </c>
      <c r="L155" s="275">
        <f>ROUND((IF(MinBase2Day&gt;ROUND(((1-(TwoDayDiscount_21_Up+FedExExrpessEarnedDiscount))*'2Day Base'!L152),2),ROUND(MinBase2Day*(1+ExpressFuelSurcharge),2),ROUND(((1-(TwoDayDiscount_21_Up+FedExExrpessEarnedDiscount))*'2Day Base'!L152)*(1+ExpressFuelSurcharge),2)))*(1+FedEx_Markup),2)</f>
        <v>635.48</v>
      </c>
    </row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6:L155">
    <cfRule type="expression" dxfId="0" priority="1">
      <formula>MOD(ROW(),2)=0</formula>
    </cfRule>
  </conditionalFormatting>
  <printOptions/>
  <pageMargins bottom="0.57" footer="0.0" header="0.0" left="0.75" right="0.75" top="0.51"/>
  <pageSetup scale="92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5"/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1" width="6.63"/>
    <col customWidth="1" min="2" max="9" width="7.63"/>
    <col customWidth="1" min="10" max="10" width="25.38"/>
    <col customWidth="1" min="11" max="11" width="7.63"/>
    <col customWidth="1" min="12" max="12" width="3.63"/>
    <col customWidth="1" min="13" max="26" width="8.63"/>
  </cols>
  <sheetData>
    <row r="1" ht="12.75" customHeight="1">
      <c r="B1" s="292" t="s">
        <v>121</v>
      </c>
      <c r="C1" s="284"/>
      <c r="D1" s="284"/>
      <c r="E1" s="286">
        <f>ExpressResWithFS</f>
        <v>7.73</v>
      </c>
      <c r="H1" s="264" t="s">
        <v>113</v>
      </c>
    </row>
    <row r="2" ht="12.75" customHeight="1">
      <c r="B2" s="270" t="s">
        <v>115</v>
      </c>
      <c r="H2" s="264" t="s">
        <v>114</v>
      </c>
    </row>
    <row r="3" ht="12.75" customHeight="1">
      <c r="B3" s="270" t="s">
        <v>129</v>
      </c>
    </row>
    <row r="4" ht="12.75" customHeight="1">
      <c r="A4" s="271" t="s">
        <v>1</v>
      </c>
      <c r="B4" s="272" t="s">
        <v>0</v>
      </c>
      <c r="C4" s="272" t="s">
        <v>0</v>
      </c>
      <c r="D4" s="272" t="s">
        <v>0</v>
      </c>
      <c r="E4" s="272" t="s">
        <v>0</v>
      </c>
      <c r="F4" s="272" t="s">
        <v>0</v>
      </c>
      <c r="G4" s="272" t="s">
        <v>0</v>
      </c>
      <c r="H4" s="272" t="s">
        <v>0</v>
      </c>
    </row>
    <row r="5" ht="12.75" customHeight="1">
      <c r="A5" s="271" t="s">
        <v>80</v>
      </c>
      <c r="B5" s="273">
        <v>2.0</v>
      </c>
      <c r="C5" s="273">
        <v>3.0</v>
      </c>
      <c r="D5" s="273">
        <v>4.0</v>
      </c>
      <c r="E5" s="273">
        <v>5.0</v>
      </c>
      <c r="F5" s="273">
        <v>6.0</v>
      </c>
      <c r="G5" s="273">
        <v>7.0</v>
      </c>
      <c r="H5" s="273">
        <v>8.0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274" t="s">
        <v>130</v>
      </c>
      <c r="B6" s="275">
        <f>ROUND(IF(MinBase3Day&gt;ROUND(((1-(ThreeDayDiscount_1_10+FedExExrpessEarnedDiscount))*'3Day Base'!B3),2),ROUND(MinBase3Day*(1+ExpressFuelSurcharge),2),ROUND(((1-ThreeDayDiscount)*'3Day Base'!B3)*(1+ExpressFuelSurcharge),2))*(1+FedEx_Markup),2)</f>
        <v>19.7</v>
      </c>
      <c r="C6" s="275">
        <f>ROUND(IF(MinBase3Day&gt;ROUND(((1-(ThreeDayDiscount_1_10+FedExExrpessEarnedDiscount))*'3Day Base'!C3),2),ROUND(MinBase3Day*(1+ExpressFuelSurcharge),2),ROUND(((1-ThreeDayDiscount)*'3Day Base'!C3)*(1+ExpressFuelSurcharge),2))*(1+FedEx_Markup),2)</f>
        <v>19.7</v>
      </c>
      <c r="D6" s="275">
        <f>ROUND(IF(MinBase3Day&gt;ROUND(((1-(ThreeDayDiscount_1_10+FedExExrpessEarnedDiscount))*'3Day Base'!D3),2),ROUND(MinBase3Day*(1+ExpressFuelSurcharge),2),ROUND(((1-ThreeDayDiscount)*'3Day Base'!D3)*(1+ExpressFuelSurcharge),2))*(1+FedEx_Markup),2)</f>
        <v>19.7</v>
      </c>
      <c r="E6" s="275">
        <f>ROUND(IF(MinBase3Day&gt;ROUND(((1-(ThreeDayDiscount_1_10+FedExExrpessEarnedDiscount))*'3Day Base'!E3),2),ROUND(MinBase3Day*(1+ExpressFuelSurcharge),2),ROUND(((1-ThreeDayDiscount)*'3Day Base'!E3)*(1+ExpressFuelSurcharge),2))*(1+FedEx_Markup),2)</f>
        <v>19.7</v>
      </c>
      <c r="F6" s="275">
        <f>ROUND(IF(MinBase3Day&gt;ROUND(((1-(ThreeDayDiscount_1_10+FedExExrpessEarnedDiscount))*'3Day Base'!F3),2),ROUND(MinBase3Day*(1+ExpressFuelSurcharge),2),ROUND(((1-ThreeDayDiscount)*'3Day Base'!F3)*(1+ExpressFuelSurcharge),2))*(1+FedEx_Markup),2)</f>
        <v>23.17</v>
      </c>
      <c r="G6" s="275">
        <f>ROUND(IF(MinBase3Day&gt;ROUND(((1-(ThreeDayDiscount_1_10+FedExExrpessEarnedDiscount))*'3Day Base'!G3),2),ROUND(MinBase3Day*(1+ExpressFuelSurcharge),2),ROUND(((1-ThreeDayDiscount)*'3Day Base'!G3)*(1+ExpressFuelSurcharge),2))*(1+FedEx_Markup),2)</f>
        <v>24.36</v>
      </c>
      <c r="H6" s="275">
        <f>ROUND(IF(MinBase3Day&gt;ROUND(((1-(ThreeDayDiscount_1_10+FedExExrpessEarnedDiscount))*'3Day Base'!H3),2),ROUND(MinBase3Day*(1+ExpressFuelSurcharge),2),ROUND(((1-ThreeDayDiscount)*'3Day Base'!H3)*(1+ExpressFuelSurcharge),2))*(1+FedEx_Markup),2)</f>
        <v>27.05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274">
        <v>2.0</v>
      </c>
      <c r="B7" s="275">
        <f>ROUND(IF(MinBase3Day&gt;ROUND(((1-(ThreeDayDiscount_1_10+FedExExrpessEarnedDiscount))*'3Day Base'!B4),2),ROUND(MinBase3Day*(1+ExpressFuelSurcharge),2),ROUND(((1-ThreeDayDiscount)*'3Day Base'!B4)*(1+ExpressFuelSurcharge),2))*(1+FedEx_Markup),2)</f>
        <v>19.7</v>
      </c>
      <c r="C7" s="275">
        <f>ROUND(IF(MinBase3Day&gt;ROUND(((1-(ThreeDayDiscount_1_10+FedExExrpessEarnedDiscount))*'3Day Base'!C4),2),ROUND(MinBase3Day*(1+ExpressFuelSurcharge),2),ROUND(((1-ThreeDayDiscount)*'3Day Base'!C4)*(1+ExpressFuelSurcharge),2))*(1+FedEx_Markup),2)</f>
        <v>19.7</v>
      </c>
      <c r="D7" s="275">
        <f>ROUND(IF(MinBase3Day&gt;ROUND(((1-(ThreeDayDiscount_1_10+FedExExrpessEarnedDiscount))*'3Day Base'!D4),2),ROUND(MinBase3Day*(1+ExpressFuelSurcharge),2),ROUND(((1-ThreeDayDiscount)*'3Day Base'!D4)*(1+ExpressFuelSurcharge),2))*(1+FedEx_Markup),2)</f>
        <v>19.7</v>
      </c>
      <c r="E7" s="275">
        <f>ROUND(IF(MinBase3Day&gt;ROUND(((1-(ThreeDayDiscount_1_10+FedExExrpessEarnedDiscount))*'3Day Base'!E4),2),ROUND(MinBase3Day*(1+ExpressFuelSurcharge),2),ROUND(((1-ThreeDayDiscount)*'3Day Base'!E4)*(1+ExpressFuelSurcharge),2))*(1+FedEx_Markup),2)</f>
        <v>19.7</v>
      </c>
      <c r="F7" s="275">
        <f>ROUND(IF(MinBase3Day&gt;ROUND(((1-(ThreeDayDiscount_1_10+FedExExrpessEarnedDiscount))*'3Day Base'!F4),2),ROUND(MinBase3Day*(1+ExpressFuelSurcharge),2),ROUND(((1-ThreeDayDiscount)*'3Day Base'!F4)*(1+ExpressFuelSurcharge),2))*(1+FedEx_Markup),2)</f>
        <v>24.71</v>
      </c>
      <c r="G7" s="275">
        <f>ROUND(IF(MinBase3Day&gt;ROUND(((1-(ThreeDayDiscount_1_10+FedExExrpessEarnedDiscount))*'3Day Base'!G4),2),ROUND(MinBase3Day*(1+ExpressFuelSurcharge),2),ROUND(((1-ThreeDayDiscount)*'3Day Base'!G4)*(1+ExpressFuelSurcharge),2))*(1+FedEx_Markup),2)</f>
        <v>27.14</v>
      </c>
      <c r="H7" s="275">
        <f>ROUND(IF(MinBase3Day&gt;ROUND(((1-(ThreeDayDiscount_1_10+FedExExrpessEarnedDiscount))*'3Day Base'!H4),2),ROUND(MinBase3Day*(1+ExpressFuelSurcharge),2),ROUND(((1-ThreeDayDiscount)*'3Day Base'!H4)*(1+ExpressFuelSurcharge),2))*(1+FedEx_Markup),2)</f>
        <v>31.42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274">
        <v>3.0</v>
      </c>
      <c r="B8" s="275">
        <f>ROUND(IF(MinBase3Day&gt;ROUND(((1-(ThreeDayDiscount_1_10+FedExExrpessEarnedDiscount))*'3Day Base'!B5),2),ROUND(MinBase3Day*(1+ExpressFuelSurcharge),2),ROUND(((1-ThreeDayDiscount)*'3Day Base'!B5)*(1+ExpressFuelSurcharge),2))*(1+FedEx_Markup),2)</f>
        <v>19.7</v>
      </c>
      <c r="C8" s="275">
        <f>ROUND(IF(MinBase3Day&gt;ROUND(((1-(ThreeDayDiscount_1_10+FedExExrpessEarnedDiscount))*'3Day Base'!C5),2),ROUND(MinBase3Day*(1+ExpressFuelSurcharge),2),ROUND(((1-ThreeDayDiscount)*'3Day Base'!C5)*(1+ExpressFuelSurcharge),2))*(1+FedEx_Markup),2)</f>
        <v>19.7</v>
      </c>
      <c r="D8" s="275">
        <f>ROUND(IF(MinBase3Day&gt;ROUND(((1-(ThreeDayDiscount_1_10+FedExExrpessEarnedDiscount))*'3Day Base'!D5),2),ROUND(MinBase3Day*(1+ExpressFuelSurcharge),2),ROUND(((1-ThreeDayDiscount)*'3Day Base'!D5)*(1+ExpressFuelSurcharge),2))*(1+FedEx_Markup),2)</f>
        <v>19.7</v>
      </c>
      <c r="E8" s="275">
        <f>ROUND(IF(MinBase3Day&gt;ROUND(((1-(ThreeDayDiscount_1_10+FedExExrpessEarnedDiscount))*'3Day Base'!E5),2),ROUND(MinBase3Day*(1+ExpressFuelSurcharge),2),ROUND(((1-ThreeDayDiscount)*'3Day Base'!E5)*(1+ExpressFuelSurcharge),2))*(1+FedEx_Markup),2)</f>
        <v>19.7</v>
      </c>
      <c r="F8" s="275">
        <f>ROUND(IF(MinBase3Day&gt;ROUND(((1-(ThreeDayDiscount_1_10+FedExExrpessEarnedDiscount))*'3Day Base'!F5),2),ROUND(MinBase3Day*(1+ExpressFuelSurcharge),2),ROUND(((1-ThreeDayDiscount)*'3Day Base'!F5)*(1+ExpressFuelSurcharge),2))*(1+FedEx_Markup),2)</f>
        <v>28.74</v>
      </c>
      <c r="G8" s="275">
        <f>ROUND(IF(MinBase3Day&gt;ROUND(((1-(ThreeDayDiscount_1_10+FedExExrpessEarnedDiscount))*'3Day Base'!G5),2),ROUND(MinBase3Day*(1+ExpressFuelSurcharge),2),ROUND(((1-ThreeDayDiscount)*'3Day Base'!G5)*(1+ExpressFuelSurcharge),2))*(1+FedEx_Markup),2)</f>
        <v>30.37</v>
      </c>
      <c r="H8" s="275">
        <f>ROUND(IF(MinBase3Day&gt;ROUND(((1-(ThreeDayDiscount_1_10+FedExExrpessEarnedDiscount))*'3Day Base'!H5),2),ROUND(MinBase3Day*(1+ExpressFuelSurcharge),2),ROUND(((1-ThreeDayDiscount)*'3Day Base'!H5)*(1+ExpressFuelSurcharge),2))*(1+FedEx_Markup),2)</f>
        <v>35.48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74">
        <v>4.0</v>
      </c>
      <c r="B9" s="275">
        <f>ROUND(IF(MinBase3Day&gt;ROUND(((1-(ThreeDayDiscount_1_10+FedExExrpessEarnedDiscount))*'3Day Base'!B6),2),ROUND(MinBase3Day*(1+ExpressFuelSurcharge),2),ROUND(((1-ThreeDayDiscount)*'3Day Base'!B6)*(1+ExpressFuelSurcharge),2))*(1+FedEx_Markup),2)</f>
        <v>19.7</v>
      </c>
      <c r="C9" s="275">
        <f>ROUND(IF(MinBase3Day&gt;ROUND(((1-(ThreeDayDiscount_1_10+FedExExrpessEarnedDiscount))*'3Day Base'!C6),2),ROUND(MinBase3Day*(1+ExpressFuelSurcharge),2),ROUND(((1-ThreeDayDiscount)*'3Day Base'!C6)*(1+ExpressFuelSurcharge),2))*(1+FedEx_Markup),2)</f>
        <v>19.7</v>
      </c>
      <c r="D9" s="275">
        <f>ROUND(IF(MinBase3Day&gt;ROUND(((1-(ThreeDayDiscount_1_10+FedExExrpessEarnedDiscount))*'3Day Base'!D6),2),ROUND(MinBase3Day*(1+ExpressFuelSurcharge),2),ROUND(((1-ThreeDayDiscount)*'3Day Base'!D6)*(1+ExpressFuelSurcharge),2))*(1+FedEx_Markup),2)</f>
        <v>19.7</v>
      </c>
      <c r="E9" s="275">
        <f>ROUND(IF(MinBase3Day&gt;ROUND(((1-(ThreeDayDiscount_1_10+FedExExrpessEarnedDiscount))*'3Day Base'!E6),2),ROUND(MinBase3Day*(1+ExpressFuelSurcharge),2),ROUND(((1-ThreeDayDiscount)*'3Day Base'!E6)*(1+ExpressFuelSurcharge),2))*(1+FedEx_Markup),2)</f>
        <v>25.73</v>
      </c>
      <c r="F9" s="275">
        <f>ROUND(IF(MinBase3Day&gt;ROUND(((1-(ThreeDayDiscount_1_10+FedExExrpessEarnedDiscount))*'3Day Base'!F6),2),ROUND(MinBase3Day*(1+ExpressFuelSurcharge),2),ROUND(((1-ThreeDayDiscount)*'3Day Base'!F6)*(1+ExpressFuelSurcharge),2))*(1+FedEx_Markup),2)</f>
        <v>30.22</v>
      </c>
      <c r="G9" s="275">
        <f>ROUND(IF(MinBase3Day&gt;ROUND(((1-(ThreeDayDiscount_1_10+FedExExrpessEarnedDiscount))*'3Day Base'!G6),2),ROUND(MinBase3Day*(1+ExpressFuelSurcharge),2),ROUND(((1-ThreeDayDiscount)*'3Day Base'!G6)*(1+ExpressFuelSurcharge),2))*(1+FedEx_Markup),2)</f>
        <v>34.72</v>
      </c>
      <c r="H9" s="275">
        <f>ROUND(IF(MinBase3Day&gt;ROUND(((1-(ThreeDayDiscount_1_10+FedExExrpessEarnedDiscount))*'3Day Base'!H6),2),ROUND(MinBase3Day*(1+ExpressFuelSurcharge),2),ROUND(((1-ThreeDayDiscount)*'3Day Base'!H6)*(1+ExpressFuelSurcharge),2))*(1+FedEx_Markup),2)</f>
        <v>40.58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274">
        <v>5.0</v>
      </c>
      <c r="B10" s="275">
        <f>ROUND(IF(MinBase3Day&gt;ROUND(((1-(ThreeDayDiscount_1_10+FedExExrpessEarnedDiscount))*'3Day Base'!B7),2),ROUND(MinBase3Day*(1+ExpressFuelSurcharge),2),ROUND(((1-ThreeDayDiscount)*'3Day Base'!B7)*(1+ExpressFuelSurcharge),2))*(1+FedEx_Markup),2)</f>
        <v>19.7</v>
      </c>
      <c r="C10" s="275">
        <f>ROUND(IF(MinBase3Day&gt;ROUND(((1-(ThreeDayDiscount_1_10+FedExExrpessEarnedDiscount))*'3Day Base'!C7),2),ROUND(MinBase3Day*(1+ExpressFuelSurcharge),2),ROUND(((1-ThreeDayDiscount)*'3Day Base'!C7)*(1+ExpressFuelSurcharge),2))*(1+FedEx_Markup),2)</f>
        <v>19.7</v>
      </c>
      <c r="D10" s="275">
        <f>ROUND(IF(MinBase3Day&gt;ROUND(((1-(ThreeDayDiscount_1_10+FedExExrpessEarnedDiscount))*'3Day Base'!D7),2),ROUND(MinBase3Day*(1+ExpressFuelSurcharge),2),ROUND(((1-ThreeDayDiscount)*'3Day Base'!D7)*(1+ExpressFuelSurcharge),2))*(1+FedEx_Markup),2)</f>
        <v>19.7</v>
      </c>
      <c r="E10" s="275">
        <f>ROUND(IF(MinBase3Day&gt;ROUND(((1-(ThreeDayDiscount_1_10+FedExExrpessEarnedDiscount))*'3Day Base'!E7),2),ROUND(MinBase3Day*(1+ExpressFuelSurcharge),2),ROUND(((1-ThreeDayDiscount)*'3Day Base'!E7)*(1+ExpressFuelSurcharge),2))*(1+FedEx_Markup),2)</f>
        <v>26.77</v>
      </c>
      <c r="F10" s="275">
        <f>ROUND(IF(MinBase3Day&gt;ROUND(((1-(ThreeDayDiscount_1_10+FedExExrpessEarnedDiscount))*'3Day Base'!F7),2),ROUND(MinBase3Day*(1+ExpressFuelSurcharge),2),ROUND(((1-ThreeDayDiscount)*'3Day Base'!F7)*(1+ExpressFuelSurcharge),2))*(1+FedEx_Markup),2)</f>
        <v>34.3</v>
      </c>
      <c r="G10" s="275">
        <f>ROUND(IF(MinBase3Day&gt;ROUND(((1-(ThreeDayDiscount_1_10+FedExExrpessEarnedDiscount))*'3Day Base'!G7),2),ROUND(MinBase3Day*(1+ExpressFuelSurcharge),2),ROUND(((1-ThreeDayDiscount)*'3Day Base'!G7)*(1+ExpressFuelSurcharge),2))*(1+FedEx_Markup),2)</f>
        <v>38.33</v>
      </c>
      <c r="H10" s="275">
        <f>ROUND(IF(MinBase3Day&gt;ROUND(((1-(ThreeDayDiscount_1_10+FedExExrpessEarnedDiscount))*'3Day Base'!H7),2),ROUND(MinBase3Day*(1+ExpressFuelSurcharge),2),ROUND(((1-ThreeDayDiscount)*'3Day Base'!H7)*(1+ExpressFuelSurcharge),2))*(1+FedEx_Markup),2)</f>
        <v>45.53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274">
        <v>6.0</v>
      </c>
      <c r="B11" s="275">
        <f>ROUND(IF(MinBase3Day&gt;ROUND(((1-(ThreeDayDiscount_1_10+FedExExrpessEarnedDiscount))*'3Day Base'!B8),2),ROUND(MinBase3Day*(1+ExpressFuelSurcharge),2),ROUND(((1-ThreeDayDiscount)*'3Day Base'!B8)*(1+ExpressFuelSurcharge),2))*(1+FedEx_Markup),2)</f>
        <v>19.7</v>
      </c>
      <c r="C11" s="275">
        <f>ROUND(IF(MinBase3Day&gt;ROUND(((1-(ThreeDayDiscount_1_10+FedExExrpessEarnedDiscount))*'3Day Base'!C8),2),ROUND(MinBase3Day*(1+ExpressFuelSurcharge),2),ROUND(((1-ThreeDayDiscount)*'3Day Base'!C8)*(1+ExpressFuelSurcharge),2))*(1+FedEx_Markup),2)</f>
        <v>19.7</v>
      </c>
      <c r="D11" s="275">
        <f>ROUND(IF(MinBase3Day&gt;ROUND(((1-(ThreeDayDiscount_1_10+FedExExrpessEarnedDiscount))*'3Day Base'!D8),2),ROUND(MinBase3Day*(1+ExpressFuelSurcharge),2),ROUND(((1-ThreeDayDiscount)*'3Day Base'!D8)*(1+ExpressFuelSurcharge),2))*(1+FedEx_Markup),2)</f>
        <v>24.02</v>
      </c>
      <c r="E11" s="275">
        <f>ROUND(IF(MinBase3Day&gt;ROUND(((1-(ThreeDayDiscount_1_10+FedExExrpessEarnedDiscount))*'3Day Base'!E8),2),ROUND(MinBase3Day*(1+ExpressFuelSurcharge),2),ROUND(((1-ThreeDayDiscount)*'3Day Base'!E8)*(1+ExpressFuelSurcharge),2))*(1+FedEx_Markup),2)</f>
        <v>31.54</v>
      </c>
      <c r="F11" s="275">
        <f>ROUND(IF(MinBase3Day&gt;ROUND(((1-(ThreeDayDiscount_1_10+FedExExrpessEarnedDiscount))*'3Day Base'!F8),2),ROUND(MinBase3Day*(1+ExpressFuelSurcharge),2),ROUND(((1-ThreeDayDiscount)*'3Day Base'!F8)*(1+ExpressFuelSurcharge),2))*(1+FedEx_Markup),2)</f>
        <v>40.3</v>
      </c>
      <c r="G11" s="275">
        <f>ROUND(IF(MinBase3Day&gt;ROUND(((1-(ThreeDayDiscount_1_10+FedExExrpessEarnedDiscount))*'3Day Base'!G8),2),ROUND(MinBase3Day*(1+ExpressFuelSurcharge),2),ROUND(((1-ThreeDayDiscount)*'3Day Base'!G8)*(1+ExpressFuelSurcharge),2))*(1+FedEx_Markup),2)</f>
        <v>42.57</v>
      </c>
      <c r="H11" s="275">
        <f>ROUND(IF(MinBase3Day&gt;ROUND(((1-(ThreeDayDiscount_1_10+FedExExrpessEarnedDiscount))*'3Day Base'!H8),2),ROUND(MinBase3Day*(1+ExpressFuelSurcharge),2),ROUND(((1-ThreeDayDiscount)*'3Day Base'!H8)*(1+ExpressFuelSurcharge),2))*(1+FedEx_Markup),2)</f>
        <v>51.77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4">
        <v>7.0</v>
      </c>
      <c r="B12" s="275">
        <f>ROUND(IF(MinBase3Day&gt;ROUND(((1-(ThreeDayDiscount_1_10+FedExExrpessEarnedDiscount))*'3Day Base'!B9),2),ROUND(MinBase3Day*(1+ExpressFuelSurcharge),2),ROUND(((1-ThreeDayDiscount)*'3Day Base'!B9)*(1+ExpressFuelSurcharge),2))*(1+FedEx_Markup),2)</f>
        <v>19.7</v>
      </c>
      <c r="C12" s="275">
        <f>ROUND(IF(MinBase3Day&gt;ROUND(((1-(ThreeDayDiscount_1_10+FedExExrpessEarnedDiscount))*'3Day Base'!C9),2),ROUND(MinBase3Day*(1+ExpressFuelSurcharge),2),ROUND(((1-ThreeDayDiscount)*'3Day Base'!C9)*(1+ExpressFuelSurcharge),2))*(1+FedEx_Markup),2)</f>
        <v>19.7</v>
      </c>
      <c r="D12" s="275">
        <f>ROUND(IF(MinBase3Day&gt;ROUND(((1-(ThreeDayDiscount_1_10+FedExExrpessEarnedDiscount))*'3Day Base'!D9),2),ROUND(MinBase3Day*(1+ExpressFuelSurcharge),2),ROUND(((1-ThreeDayDiscount)*'3Day Base'!D9)*(1+ExpressFuelSurcharge),2))*(1+FedEx_Markup),2)</f>
        <v>25.96</v>
      </c>
      <c r="E12" s="275">
        <f>ROUND(IF(MinBase3Day&gt;ROUND(((1-(ThreeDayDiscount_1_10+FedExExrpessEarnedDiscount))*'3Day Base'!E9),2),ROUND(MinBase3Day*(1+ExpressFuelSurcharge),2),ROUND(((1-ThreeDayDiscount)*'3Day Base'!E9)*(1+ExpressFuelSurcharge),2))*(1+FedEx_Markup),2)</f>
        <v>32.17</v>
      </c>
      <c r="F12" s="275">
        <f>ROUND(IF(MinBase3Day&gt;ROUND(((1-(ThreeDayDiscount_1_10+FedExExrpessEarnedDiscount))*'3Day Base'!F9),2),ROUND(MinBase3Day*(1+ExpressFuelSurcharge),2),ROUND(((1-ThreeDayDiscount)*'3Day Base'!F9)*(1+ExpressFuelSurcharge),2))*(1+FedEx_Markup),2)</f>
        <v>42.53</v>
      </c>
      <c r="G12" s="275">
        <f>ROUND(IF(MinBase3Day&gt;ROUND(((1-(ThreeDayDiscount_1_10+FedExExrpessEarnedDiscount))*'3Day Base'!G9),2),ROUND(MinBase3Day*(1+ExpressFuelSurcharge),2),ROUND(((1-ThreeDayDiscount)*'3Day Base'!G9)*(1+ExpressFuelSurcharge),2))*(1+FedEx_Markup),2)</f>
        <v>48.17</v>
      </c>
      <c r="H12" s="275">
        <f>ROUND(IF(MinBase3Day&gt;ROUND(((1-(ThreeDayDiscount_1_10+FedExExrpessEarnedDiscount))*'3Day Base'!H9),2),ROUND(MinBase3Day*(1+ExpressFuelSurcharge),2),ROUND(((1-ThreeDayDiscount)*'3Day Base'!H9)*(1+ExpressFuelSurcharge),2))*(1+FedEx_Markup),2)</f>
        <v>53.92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274">
        <v>8.0</v>
      </c>
      <c r="B13" s="275">
        <f>ROUND(IF(MinBase3Day&gt;ROUND(((1-(ThreeDayDiscount_1_10+FedExExrpessEarnedDiscount))*'3Day Base'!B10),2),ROUND(MinBase3Day*(1+ExpressFuelSurcharge),2),ROUND(((1-ThreeDayDiscount)*'3Day Base'!B10)*(1+ExpressFuelSurcharge),2))*(1+FedEx_Markup),2)</f>
        <v>19.7</v>
      </c>
      <c r="C13" s="275">
        <f>ROUND(IF(MinBase3Day&gt;ROUND(((1-(ThreeDayDiscount_1_10+FedExExrpessEarnedDiscount))*'3Day Base'!C10),2),ROUND(MinBase3Day*(1+ExpressFuelSurcharge),2),ROUND(((1-ThreeDayDiscount)*'3Day Base'!C10)*(1+ExpressFuelSurcharge),2))*(1+FedEx_Markup),2)</f>
        <v>23.84</v>
      </c>
      <c r="D13" s="275">
        <f>ROUND(IF(MinBase3Day&gt;ROUND(((1-(ThreeDayDiscount_1_10+FedExExrpessEarnedDiscount))*'3Day Base'!D10),2),ROUND(MinBase3Day*(1+ExpressFuelSurcharge),2),ROUND(((1-ThreeDayDiscount)*'3Day Base'!D10)*(1+ExpressFuelSurcharge),2))*(1+FedEx_Markup),2)</f>
        <v>26.85</v>
      </c>
      <c r="E13" s="275">
        <f>ROUND(IF(MinBase3Day&gt;ROUND(((1-(ThreeDayDiscount_1_10+FedExExrpessEarnedDiscount))*'3Day Base'!E10),2),ROUND(MinBase3Day*(1+ExpressFuelSurcharge),2),ROUND(((1-ThreeDayDiscount)*'3Day Base'!E10)*(1+ExpressFuelSurcharge),2))*(1+FedEx_Markup),2)</f>
        <v>34.58</v>
      </c>
      <c r="F13" s="275">
        <f>ROUND(IF(MinBase3Day&gt;ROUND(((1-(ThreeDayDiscount_1_10+FedExExrpessEarnedDiscount))*'3Day Base'!F10),2),ROUND(MinBase3Day*(1+ExpressFuelSurcharge),2),ROUND(((1-ThreeDayDiscount)*'3Day Base'!F10)*(1+ExpressFuelSurcharge),2))*(1+FedEx_Markup),2)</f>
        <v>46.68</v>
      </c>
      <c r="G13" s="275">
        <f>ROUND(IF(MinBase3Day&gt;ROUND(((1-(ThreeDayDiscount_1_10+FedExExrpessEarnedDiscount))*'3Day Base'!G10),2),ROUND(MinBase3Day*(1+ExpressFuelSurcharge),2),ROUND(((1-ThreeDayDiscount)*'3Day Base'!G10)*(1+ExpressFuelSurcharge),2))*(1+FedEx_Markup),2)</f>
        <v>52.73</v>
      </c>
      <c r="H13" s="275">
        <f>ROUND(IF(MinBase3Day&gt;ROUND(((1-(ThreeDayDiscount_1_10+FedExExrpessEarnedDiscount))*'3Day Base'!H10),2),ROUND(MinBase3Day*(1+ExpressFuelSurcharge),2),ROUND(((1-ThreeDayDiscount)*'3Day Base'!H10)*(1+ExpressFuelSurcharge),2))*(1+FedEx_Markup),2)</f>
        <v>58.89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274">
        <v>9.0</v>
      </c>
      <c r="B14" s="275">
        <f>ROUND(IF(MinBase3Day&gt;ROUND(((1-(ThreeDayDiscount_1_10+FedExExrpessEarnedDiscount))*'3Day Base'!B11),2),ROUND(MinBase3Day*(1+ExpressFuelSurcharge),2),ROUND(((1-ThreeDayDiscount)*'3Day Base'!B11)*(1+ExpressFuelSurcharge),2))*(1+FedEx_Markup),2)</f>
        <v>19.7</v>
      </c>
      <c r="C14" s="275">
        <f>ROUND(IF(MinBase3Day&gt;ROUND(((1-(ThreeDayDiscount_1_10+FedExExrpessEarnedDiscount))*'3Day Base'!C11),2),ROUND(MinBase3Day*(1+ExpressFuelSurcharge),2),ROUND(((1-ThreeDayDiscount)*'3Day Base'!C11)*(1+ExpressFuelSurcharge),2))*(1+FedEx_Markup),2)</f>
        <v>24.01</v>
      </c>
      <c r="D14" s="275">
        <f>ROUND(IF(MinBase3Day&gt;ROUND(((1-(ThreeDayDiscount_1_10+FedExExrpessEarnedDiscount))*'3Day Base'!D11),2),ROUND(MinBase3Day*(1+ExpressFuelSurcharge),2),ROUND(((1-ThreeDayDiscount)*'3Day Base'!D11)*(1+ExpressFuelSurcharge),2))*(1+FedEx_Markup),2)</f>
        <v>28.66</v>
      </c>
      <c r="E14" s="275">
        <f>ROUND(IF(MinBase3Day&gt;ROUND(((1-(ThreeDayDiscount_1_10+FedExExrpessEarnedDiscount))*'3Day Base'!E11),2),ROUND(MinBase3Day*(1+ExpressFuelSurcharge),2),ROUND(((1-ThreeDayDiscount)*'3Day Base'!E11)*(1+ExpressFuelSurcharge),2))*(1+FedEx_Markup),2)</f>
        <v>35.97</v>
      </c>
      <c r="F14" s="275">
        <f>ROUND(IF(MinBase3Day&gt;ROUND(((1-(ThreeDayDiscount_1_10+FedExExrpessEarnedDiscount))*'3Day Base'!F11),2),ROUND(MinBase3Day*(1+ExpressFuelSurcharge),2),ROUND(((1-ThreeDayDiscount)*'3Day Base'!F11)*(1+ExpressFuelSurcharge),2))*(1+FedEx_Markup),2)</f>
        <v>48.2</v>
      </c>
      <c r="G14" s="275">
        <f>ROUND(IF(MinBase3Day&gt;ROUND(((1-(ThreeDayDiscount_1_10+FedExExrpessEarnedDiscount))*'3Day Base'!G11),2),ROUND(MinBase3Day*(1+ExpressFuelSurcharge),2),ROUND(((1-ThreeDayDiscount)*'3Day Base'!G11)*(1+ExpressFuelSurcharge),2))*(1+FedEx_Markup),2)</f>
        <v>57.87</v>
      </c>
      <c r="H14" s="275">
        <f>ROUND(IF(MinBase3Day&gt;ROUND(((1-(ThreeDayDiscount_1_10+FedExExrpessEarnedDiscount))*'3Day Base'!H11),2),ROUND(MinBase3Day*(1+ExpressFuelSurcharge),2),ROUND(((1-ThreeDayDiscount)*'3Day Base'!H11)*(1+ExpressFuelSurcharge),2))*(1+FedEx_Markup),2)</f>
        <v>66.88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274">
        <v>10.0</v>
      </c>
      <c r="B15" s="275">
        <f>ROUND(IF(MinBase3Day&gt;ROUND(((1-(ThreeDayDiscount_1_10+FedExExrpessEarnedDiscount))*'3Day Base'!B12),2),ROUND(MinBase3Day*(1+ExpressFuelSurcharge),2),ROUND(((1-ThreeDayDiscount)*'3Day Base'!B12)*(1+ExpressFuelSurcharge),2))*(1+FedEx_Markup),2)</f>
        <v>19.7</v>
      </c>
      <c r="C15" s="275">
        <f>ROUND(IF(MinBase3Day&gt;ROUND(((1-(ThreeDayDiscount_1_10+FedExExrpessEarnedDiscount))*'3Day Base'!C12),2),ROUND(MinBase3Day*(1+ExpressFuelSurcharge),2),ROUND(((1-ThreeDayDiscount)*'3Day Base'!C12)*(1+ExpressFuelSurcharge),2))*(1+FedEx_Markup),2)</f>
        <v>24.18</v>
      </c>
      <c r="D15" s="275">
        <f>ROUND(IF(MinBase3Day&gt;ROUND(((1-(ThreeDayDiscount_1_10+FedExExrpessEarnedDiscount))*'3Day Base'!D12),2),ROUND(MinBase3Day*(1+ExpressFuelSurcharge),2),ROUND(((1-ThreeDayDiscount)*'3Day Base'!D12)*(1+ExpressFuelSurcharge),2))*(1+FedEx_Markup),2)</f>
        <v>29.39</v>
      </c>
      <c r="E15" s="275">
        <f>ROUND(IF(MinBase3Day&gt;ROUND(((1-(ThreeDayDiscount_1_10+FedExExrpessEarnedDiscount))*'3Day Base'!E12),2),ROUND(MinBase3Day*(1+ExpressFuelSurcharge),2),ROUND(((1-ThreeDayDiscount)*'3Day Base'!E12)*(1+ExpressFuelSurcharge),2))*(1+FedEx_Markup),2)</f>
        <v>38.66</v>
      </c>
      <c r="F15" s="275">
        <f>ROUND(IF(MinBase3Day&gt;ROUND(((1-(ThreeDayDiscount_1_10+FedExExrpessEarnedDiscount))*'3Day Base'!F12),2),ROUND(MinBase3Day*(1+ExpressFuelSurcharge),2),ROUND(((1-ThreeDayDiscount)*'3Day Base'!F12)*(1+ExpressFuelSurcharge),2))*(1+FedEx_Markup),2)</f>
        <v>51.19</v>
      </c>
      <c r="G15" s="275">
        <f>ROUND(IF(MinBase3Day&gt;ROUND(((1-(ThreeDayDiscount_1_10+FedExExrpessEarnedDiscount))*'3Day Base'!G12),2),ROUND(MinBase3Day*(1+ExpressFuelSurcharge),2),ROUND(((1-ThreeDayDiscount)*'3Day Base'!G12)*(1+ExpressFuelSurcharge),2))*(1+FedEx_Markup),2)</f>
        <v>62.27</v>
      </c>
      <c r="H15" s="275">
        <f>ROUND(IF(MinBase3Day&gt;ROUND(((1-(ThreeDayDiscount_1_10+FedExExrpessEarnedDiscount))*'3Day Base'!H12),2),ROUND(MinBase3Day*(1+ExpressFuelSurcharge),2),ROUND(((1-ThreeDayDiscount)*'3Day Base'!H12)*(1+ExpressFuelSurcharge),2))*(1+FedEx_Markup),2)</f>
        <v>72.11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274">
        <v>11.0</v>
      </c>
      <c r="B16" s="275">
        <f>ROUND(IF(MinBase3Day&gt;ROUND(((1-(ThreeDayDiscount_11_to_20+FedExExrpessEarnedDiscount))*'3Day Base'!B13),2),ROUND(MinBase3Day*(1+ExpressFuelSurcharge),2),ROUND(((1-(ThreeDayDiscount_11_to_20+FedExExrpessEarnedDiscount))*'3Day Base'!B13)*(1+ExpressFuelSurcharge),2))*(1+FedEx_Markup),2)</f>
        <v>19.7</v>
      </c>
      <c r="C16" s="275">
        <f>ROUND(IF(MinBase3Day&gt;ROUND(((1-(ThreeDayDiscount_11_to_20+FedExExrpessEarnedDiscount))*'3Day Base'!C13),2),ROUND(MinBase3Day*(1+ExpressFuelSurcharge),2),ROUND(((1-(ThreeDayDiscount_11_to_20+FedExExrpessEarnedDiscount))*'3Day Base'!C13)*(1+ExpressFuelSurcharge),2))*(1+FedEx_Markup),2)</f>
        <v>20.83</v>
      </c>
      <c r="D16" s="275">
        <f>ROUND(IF(MinBase3Day&gt;ROUND(((1-(ThreeDayDiscount_11_to_20+FedExExrpessEarnedDiscount))*'3Day Base'!D13),2),ROUND(MinBase3Day*(1+ExpressFuelSurcharge),2),ROUND(((1-(ThreeDayDiscount_11_to_20+FedExExrpessEarnedDiscount))*'3Day Base'!D13)*(1+ExpressFuelSurcharge),2))*(1+FedEx_Markup),2)</f>
        <v>25.93</v>
      </c>
      <c r="E16" s="275">
        <f>ROUND(IF(MinBase3Day&gt;ROUND(((1-(ThreeDayDiscount_11_to_20+FedExExrpessEarnedDiscount))*'3Day Base'!E13),2),ROUND(MinBase3Day*(1+ExpressFuelSurcharge),2),ROUND(((1-(ThreeDayDiscount_11_to_20+FedExExrpessEarnedDiscount))*'3Day Base'!E13)*(1+ExpressFuelSurcharge),2))*(1+FedEx_Markup),2)</f>
        <v>32.69</v>
      </c>
      <c r="F16" s="275">
        <f>ROUND(IF(MinBase3Day&gt;ROUND(((1-(ThreeDayDiscount_11_to_20+FedExExrpessEarnedDiscount))*'3Day Base'!F13),2),ROUND(MinBase3Day*(1+ExpressFuelSurcharge),2),ROUND(((1-(ThreeDayDiscount_11_to_20+FedExExrpessEarnedDiscount))*'3Day Base'!F13)*(1+ExpressFuelSurcharge),2))*(1+FedEx_Markup),2)</f>
        <v>45.4</v>
      </c>
      <c r="G16" s="275">
        <f>ROUND(IF(MinBase3Day&gt;ROUND(((1-(ThreeDayDiscount_11_to_20+FedExExrpessEarnedDiscount))*'3Day Base'!G13),2),ROUND(MinBase3Day*(1+ExpressFuelSurcharge),2),ROUND(((1-(ThreeDayDiscount_11_to_20+FedExExrpessEarnedDiscount))*'3Day Base'!G13)*(1+ExpressFuelSurcharge),2))*(1+FedEx_Markup),2)</f>
        <v>53.42</v>
      </c>
      <c r="H16" s="275">
        <f>ROUND(IF(MinBase3Day&gt;ROUND(((1-(ThreeDayDiscount_11_to_20+FedExExrpessEarnedDiscount))*'3Day Base'!H13),2),ROUND(MinBase3Day*(1+ExpressFuelSurcharge),2),ROUND(((1-(ThreeDayDiscount_11_to_20+FedExExrpessEarnedDiscount))*'3Day Base'!H13)*(1+ExpressFuelSurcharge),2))*(1+FedEx_Markup),2)</f>
        <v>61.81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274">
        <v>12.0</v>
      </c>
      <c r="B17" s="275">
        <f>ROUND(IF(MinBase3Day&gt;ROUND(((1-(ThreeDayDiscount_11_to_20+FedExExrpessEarnedDiscount))*'3Day Base'!B14),2),ROUND(MinBase3Day*(1+ExpressFuelSurcharge),2),ROUND(((1-(ThreeDayDiscount_11_to_20+FedExExrpessEarnedDiscount))*'3Day Base'!B14)*(1+ExpressFuelSurcharge),2))*(1+FedEx_Markup),2)</f>
        <v>19.7</v>
      </c>
      <c r="C17" s="275">
        <f>ROUND(IF(MinBase3Day&gt;ROUND(((1-(ThreeDayDiscount_11_to_20+FedExExrpessEarnedDiscount))*'3Day Base'!C14),2),ROUND(MinBase3Day*(1+ExpressFuelSurcharge),2),ROUND(((1-(ThreeDayDiscount_11_to_20+FedExExrpessEarnedDiscount))*'3Day Base'!C14)*(1+ExpressFuelSurcharge),2))*(1+FedEx_Markup),2)</f>
        <v>24.4</v>
      </c>
      <c r="D17" s="275">
        <f>ROUND(IF(MinBase3Day&gt;ROUND(((1-(ThreeDayDiscount_11_to_20+FedExExrpessEarnedDiscount))*'3Day Base'!D14),2),ROUND(MinBase3Day*(1+ExpressFuelSurcharge),2),ROUND(((1-(ThreeDayDiscount_11_to_20+FedExExrpessEarnedDiscount))*'3Day Base'!D14)*(1+ExpressFuelSurcharge),2))*(1+FedEx_Markup),2)</f>
        <v>28.3</v>
      </c>
      <c r="E17" s="275">
        <f>ROUND(IF(MinBase3Day&gt;ROUND(((1-(ThreeDayDiscount_11_to_20+FedExExrpessEarnedDiscount))*'3Day Base'!E14),2),ROUND(MinBase3Day*(1+ExpressFuelSurcharge),2),ROUND(((1-(ThreeDayDiscount_11_to_20+FedExExrpessEarnedDiscount))*'3Day Base'!E14)*(1+ExpressFuelSurcharge),2))*(1+FedEx_Markup),2)</f>
        <v>37.88</v>
      </c>
      <c r="F17" s="275">
        <f>ROUND(IF(MinBase3Day&gt;ROUND(((1-(ThreeDayDiscount_11_to_20+FedExExrpessEarnedDiscount))*'3Day Base'!F14),2),ROUND(MinBase3Day*(1+ExpressFuelSurcharge),2),ROUND(((1-(ThreeDayDiscount_11_to_20+FedExExrpessEarnedDiscount))*'3Day Base'!F14)*(1+ExpressFuelSurcharge),2))*(1+FedEx_Markup),2)</f>
        <v>48.22</v>
      </c>
      <c r="G17" s="275">
        <f>ROUND(IF(MinBase3Day&gt;ROUND(((1-(ThreeDayDiscount_11_to_20+FedExExrpessEarnedDiscount))*'3Day Base'!G14),2),ROUND(MinBase3Day*(1+ExpressFuelSurcharge),2),ROUND(((1-(ThreeDayDiscount_11_to_20+FedExExrpessEarnedDiscount))*'3Day Base'!G14)*(1+ExpressFuelSurcharge),2))*(1+FedEx_Markup),2)</f>
        <v>56.8</v>
      </c>
      <c r="H17" s="275">
        <f>ROUND(IF(MinBase3Day&gt;ROUND(((1-(ThreeDayDiscount_11_to_20+FedExExrpessEarnedDiscount))*'3Day Base'!H14),2),ROUND(MinBase3Day*(1+ExpressFuelSurcharge),2),ROUND(((1-(ThreeDayDiscount_11_to_20+FedExExrpessEarnedDiscount))*'3Day Base'!H14)*(1+ExpressFuelSurcharge),2))*(1+FedEx_Markup),2)</f>
        <v>65.32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274">
        <v>13.0</v>
      </c>
      <c r="B18" s="275">
        <f>ROUND(IF(MinBase3Day&gt;ROUND(((1-(ThreeDayDiscount_11_to_20+FedExExrpessEarnedDiscount))*'3Day Base'!B15),2),ROUND(MinBase3Day*(1+ExpressFuelSurcharge),2),ROUND(((1-(ThreeDayDiscount_11_to_20+FedExExrpessEarnedDiscount))*'3Day Base'!B15)*(1+ExpressFuelSurcharge),2))*(1+FedEx_Markup),2)</f>
        <v>21.46</v>
      </c>
      <c r="C18" s="275">
        <f>ROUND(IF(MinBase3Day&gt;ROUND(((1-(ThreeDayDiscount_11_to_20+FedExExrpessEarnedDiscount))*'3Day Base'!C15),2),ROUND(MinBase3Day*(1+ExpressFuelSurcharge),2),ROUND(((1-(ThreeDayDiscount_11_to_20+FedExExrpessEarnedDiscount))*'3Day Base'!C15)*(1+ExpressFuelSurcharge),2))*(1+FedEx_Markup),2)</f>
        <v>25.67</v>
      </c>
      <c r="D18" s="275">
        <f>ROUND(IF(MinBase3Day&gt;ROUND(((1-(ThreeDayDiscount_11_to_20+FedExExrpessEarnedDiscount))*'3Day Base'!D15),2),ROUND(MinBase3Day*(1+ExpressFuelSurcharge),2),ROUND(((1-(ThreeDayDiscount_11_to_20+FedExExrpessEarnedDiscount))*'3Day Base'!D15)*(1+ExpressFuelSurcharge),2))*(1+FedEx_Markup),2)</f>
        <v>28.9</v>
      </c>
      <c r="E18" s="275">
        <f>ROUND(IF(MinBase3Day&gt;ROUND(((1-(ThreeDayDiscount_11_to_20+FedExExrpessEarnedDiscount))*'3Day Base'!E15),2),ROUND(MinBase3Day*(1+ExpressFuelSurcharge),2),ROUND(((1-(ThreeDayDiscount_11_to_20+FedExExrpessEarnedDiscount))*'3Day Base'!E15)*(1+ExpressFuelSurcharge),2))*(1+FedEx_Markup),2)</f>
        <v>38.61</v>
      </c>
      <c r="F18" s="275">
        <f>ROUND(IF(MinBase3Day&gt;ROUND(((1-(ThreeDayDiscount_11_to_20+FedExExrpessEarnedDiscount))*'3Day Base'!F15),2),ROUND(MinBase3Day*(1+ExpressFuelSurcharge),2),ROUND(((1-(ThreeDayDiscount_11_to_20+FedExExrpessEarnedDiscount))*'3Day Base'!F15)*(1+ExpressFuelSurcharge),2))*(1+FedEx_Markup),2)</f>
        <v>49.3</v>
      </c>
      <c r="G18" s="275">
        <f>ROUND(IF(MinBase3Day&gt;ROUND(((1-(ThreeDayDiscount_11_to_20+FedExExrpessEarnedDiscount))*'3Day Base'!G15),2),ROUND(MinBase3Day*(1+ExpressFuelSurcharge),2),ROUND(((1-(ThreeDayDiscount_11_to_20+FedExExrpessEarnedDiscount))*'3Day Base'!G15)*(1+ExpressFuelSurcharge),2))*(1+FedEx_Markup),2)</f>
        <v>57.16</v>
      </c>
      <c r="H18" s="275">
        <f>ROUND(IF(MinBase3Day&gt;ROUND(((1-(ThreeDayDiscount_11_to_20+FedExExrpessEarnedDiscount))*'3Day Base'!H15),2),ROUND(MinBase3Day*(1+ExpressFuelSurcharge),2),ROUND(((1-(ThreeDayDiscount_11_to_20+FedExExrpessEarnedDiscount))*'3Day Base'!H15)*(1+ExpressFuelSurcharge),2))*(1+FedEx_Markup),2)</f>
        <v>69.29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274">
        <v>14.0</v>
      </c>
      <c r="B19" s="275">
        <f>ROUND(IF(MinBase3Day&gt;ROUND(((1-(ThreeDayDiscount_11_to_20+FedExExrpessEarnedDiscount))*'3Day Base'!B16),2),ROUND(MinBase3Day*(1+ExpressFuelSurcharge),2),ROUND(((1-(ThreeDayDiscount_11_to_20+FedExExrpessEarnedDiscount))*'3Day Base'!B16)*(1+ExpressFuelSurcharge),2))*(1+FedEx_Markup),2)</f>
        <v>21.69</v>
      </c>
      <c r="C19" s="275">
        <f>ROUND(IF(MinBase3Day&gt;ROUND(((1-(ThreeDayDiscount_11_to_20+FedExExrpessEarnedDiscount))*'3Day Base'!C16),2),ROUND(MinBase3Day*(1+ExpressFuelSurcharge),2),ROUND(((1-(ThreeDayDiscount_11_to_20+FedExExrpessEarnedDiscount))*'3Day Base'!C16)*(1+ExpressFuelSurcharge),2))*(1+FedEx_Markup),2)</f>
        <v>26.05</v>
      </c>
      <c r="D19" s="275">
        <f>ROUND(IF(MinBase3Day&gt;ROUND(((1-(ThreeDayDiscount_11_to_20+FedExExrpessEarnedDiscount))*'3Day Base'!D16),2),ROUND(MinBase3Day*(1+ExpressFuelSurcharge),2),ROUND(((1-(ThreeDayDiscount_11_to_20+FedExExrpessEarnedDiscount))*'3Day Base'!D16)*(1+ExpressFuelSurcharge),2))*(1+FedEx_Markup),2)</f>
        <v>31.35</v>
      </c>
      <c r="E19" s="275">
        <f>ROUND(IF(MinBase3Day&gt;ROUND(((1-(ThreeDayDiscount_11_to_20+FedExExrpessEarnedDiscount))*'3Day Base'!E16),2),ROUND(MinBase3Day*(1+ExpressFuelSurcharge),2),ROUND(((1-(ThreeDayDiscount_11_to_20+FedExExrpessEarnedDiscount))*'3Day Base'!E16)*(1+ExpressFuelSurcharge),2))*(1+FedEx_Markup),2)</f>
        <v>40.91</v>
      </c>
      <c r="F19" s="275">
        <f>ROUND(IF(MinBase3Day&gt;ROUND(((1-(ThreeDayDiscount_11_to_20+FedExExrpessEarnedDiscount))*'3Day Base'!F16),2),ROUND(MinBase3Day*(1+ExpressFuelSurcharge),2),ROUND(((1-(ThreeDayDiscount_11_to_20+FedExExrpessEarnedDiscount))*'3Day Base'!F16)*(1+ExpressFuelSurcharge),2))*(1+FedEx_Markup),2)</f>
        <v>51.81</v>
      </c>
      <c r="G19" s="275">
        <f>ROUND(IF(MinBase3Day&gt;ROUND(((1-(ThreeDayDiscount_11_to_20+FedExExrpessEarnedDiscount))*'3Day Base'!G16),2),ROUND(MinBase3Day*(1+ExpressFuelSurcharge),2),ROUND(((1-(ThreeDayDiscount_11_to_20+FedExExrpessEarnedDiscount))*'3Day Base'!G16)*(1+ExpressFuelSurcharge),2))*(1+FedEx_Markup),2)</f>
        <v>60.08</v>
      </c>
      <c r="H19" s="275">
        <f>ROUND(IF(MinBase3Day&gt;ROUND(((1-(ThreeDayDiscount_11_to_20+FedExExrpessEarnedDiscount))*'3Day Base'!H16),2),ROUND(MinBase3Day*(1+ExpressFuelSurcharge),2),ROUND(((1-(ThreeDayDiscount_11_to_20+FedExExrpessEarnedDiscount))*'3Day Base'!H16)*(1+ExpressFuelSurcharge),2))*(1+FedEx_Markup),2)</f>
        <v>72.88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274">
        <v>15.0</v>
      </c>
      <c r="B20" s="275">
        <f>ROUND(IF(MinBase3Day&gt;ROUND(((1-(ThreeDayDiscount_11_to_20+FedExExrpessEarnedDiscount))*'3Day Base'!B17),2),ROUND(MinBase3Day*(1+ExpressFuelSurcharge),2),ROUND(((1-(ThreeDayDiscount_11_to_20+FedExExrpessEarnedDiscount))*'3Day Base'!B17)*(1+ExpressFuelSurcharge),2))*(1+FedEx_Markup),2)</f>
        <v>21.83</v>
      </c>
      <c r="C20" s="275">
        <f>ROUND(IF(MinBase3Day&gt;ROUND(((1-(ThreeDayDiscount_11_to_20+FedExExrpessEarnedDiscount))*'3Day Base'!C17),2),ROUND(MinBase3Day*(1+ExpressFuelSurcharge),2),ROUND(((1-(ThreeDayDiscount_11_to_20+FedExExrpessEarnedDiscount))*'3Day Base'!C17)*(1+ExpressFuelSurcharge),2))*(1+FedEx_Markup),2)</f>
        <v>27.67</v>
      </c>
      <c r="D20" s="275">
        <f>ROUND(IF(MinBase3Day&gt;ROUND(((1-(ThreeDayDiscount_11_to_20+FedExExrpessEarnedDiscount))*'3Day Base'!D17),2),ROUND(MinBase3Day*(1+ExpressFuelSurcharge),2),ROUND(((1-(ThreeDayDiscount_11_to_20+FedExExrpessEarnedDiscount))*'3Day Base'!D17)*(1+ExpressFuelSurcharge),2))*(1+FedEx_Markup),2)</f>
        <v>32.75</v>
      </c>
      <c r="E20" s="275">
        <f>ROUND(IF(MinBase3Day&gt;ROUND(((1-(ThreeDayDiscount_11_to_20+FedExExrpessEarnedDiscount))*'3Day Base'!E17),2),ROUND(MinBase3Day*(1+ExpressFuelSurcharge),2),ROUND(((1-(ThreeDayDiscount_11_to_20+FedExExrpessEarnedDiscount))*'3Day Base'!E17)*(1+ExpressFuelSurcharge),2))*(1+FedEx_Markup),2)</f>
        <v>42.68</v>
      </c>
      <c r="F20" s="275">
        <f>ROUND(IF(MinBase3Day&gt;ROUND(((1-(ThreeDayDiscount_11_to_20+FedExExrpessEarnedDiscount))*'3Day Base'!F17),2),ROUND(MinBase3Day*(1+ExpressFuelSurcharge),2),ROUND(((1-(ThreeDayDiscount_11_to_20+FedExExrpessEarnedDiscount))*'3Day Base'!F17)*(1+ExpressFuelSurcharge),2))*(1+FedEx_Markup),2)</f>
        <v>54.61</v>
      </c>
      <c r="G20" s="275">
        <f>ROUND(IF(MinBase3Day&gt;ROUND(((1-(ThreeDayDiscount_11_to_20+FedExExrpessEarnedDiscount))*'3Day Base'!G17),2),ROUND(MinBase3Day*(1+ExpressFuelSurcharge),2),ROUND(((1-(ThreeDayDiscount_11_to_20+FedExExrpessEarnedDiscount))*'3Day Base'!G17)*(1+ExpressFuelSurcharge),2))*(1+FedEx_Markup),2)</f>
        <v>65.63</v>
      </c>
      <c r="H20" s="275">
        <f>ROUND(IF(MinBase3Day&gt;ROUND(((1-(ThreeDayDiscount_11_to_20+FedExExrpessEarnedDiscount))*'3Day Base'!H17),2),ROUND(MinBase3Day*(1+ExpressFuelSurcharge),2),ROUND(((1-(ThreeDayDiscount_11_to_20+FedExExrpessEarnedDiscount))*'3Day Base'!H17)*(1+ExpressFuelSurcharge),2))*(1+FedEx_Markup),2)</f>
        <v>76.98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274">
        <v>16.0</v>
      </c>
      <c r="B21" s="275">
        <f>ROUND(IF(MinBase3Day&gt;ROUND(((1-(ThreeDayDiscount_11_to_20+FedExExrpessEarnedDiscount))*'3Day Base'!B18),2),ROUND(MinBase3Day*(1+ExpressFuelSurcharge),2),ROUND(((1-(ThreeDayDiscount_11_to_20+FedExExrpessEarnedDiscount))*'3Day Base'!B18)*(1+ExpressFuelSurcharge),2))*(1+FedEx_Markup),2)</f>
        <v>23.15</v>
      </c>
      <c r="C21" s="275">
        <f>ROUND(IF(MinBase3Day&gt;ROUND(((1-(ThreeDayDiscount_11_to_20+FedExExrpessEarnedDiscount))*'3Day Base'!C18),2),ROUND(MinBase3Day*(1+ExpressFuelSurcharge),2),ROUND(((1-(ThreeDayDiscount_11_to_20+FedExExrpessEarnedDiscount))*'3Day Base'!C18)*(1+ExpressFuelSurcharge),2))*(1+FedEx_Markup),2)</f>
        <v>28.54</v>
      </c>
      <c r="D21" s="275">
        <f>ROUND(IF(MinBase3Day&gt;ROUND(((1-(ThreeDayDiscount_11_to_20+FedExExrpessEarnedDiscount))*'3Day Base'!D18),2),ROUND(MinBase3Day*(1+ExpressFuelSurcharge),2),ROUND(((1-(ThreeDayDiscount_11_to_20+FedExExrpessEarnedDiscount))*'3Day Base'!D18)*(1+ExpressFuelSurcharge),2))*(1+FedEx_Markup),2)</f>
        <v>33.89</v>
      </c>
      <c r="E21" s="275">
        <f>ROUND(IF(MinBase3Day&gt;ROUND(((1-(ThreeDayDiscount_11_to_20+FedExExrpessEarnedDiscount))*'3Day Base'!E18),2),ROUND(MinBase3Day*(1+ExpressFuelSurcharge),2),ROUND(((1-(ThreeDayDiscount_11_to_20+FedExExrpessEarnedDiscount))*'3Day Base'!E18)*(1+ExpressFuelSurcharge),2))*(1+FedEx_Markup),2)</f>
        <v>45.75</v>
      </c>
      <c r="F21" s="275">
        <f>ROUND(IF(MinBase3Day&gt;ROUND(((1-(ThreeDayDiscount_11_to_20+FedExExrpessEarnedDiscount))*'3Day Base'!F18),2),ROUND(MinBase3Day*(1+ExpressFuelSurcharge),2),ROUND(((1-(ThreeDayDiscount_11_to_20+FedExExrpessEarnedDiscount))*'3Day Base'!F18)*(1+ExpressFuelSurcharge),2))*(1+FedEx_Markup),2)</f>
        <v>56.91</v>
      </c>
      <c r="G21" s="275">
        <f>ROUND(IF(MinBase3Day&gt;ROUND(((1-(ThreeDayDiscount_11_to_20+FedExExrpessEarnedDiscount))*'3Day Base'!G18),2),ROUND(MinBase3Day*(1+ExpressFuelSurcharge),2),ROUND(((1-(ThreeDayDiscount_11_to_20+FedExExrpessEarnedDiscount))*'3Day Base'!G18)*(1+ExpressFuelSurcharge),2))*(1+FedEx_Markup),2)</f>
        <v>69.06</v>
      </c>
      <c r="H21" s="275">
        <f>ROUND(IF(MinBase3Day&gt;ROUND(((1-(ThreeDayDiscount_11_to_20+FedExExrpessEarnedDiscount))*'3Day Base'!H18),2),ROUND(MinBase3Day*(1+ExpressFuelSurcharge),2),ROUND(((1-(ThreeDayDiscount_11_to_20+FedExExrpessEarnedDiscount))*'3Day Base'!H18)*(1+ExpressFuelSurcharge),2))*(1+FedEx_Markup),2)</f>
        <v>80.42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274">
        <v>17.0</v>
      </c>
      <c r="B22" s="275">
        <f>ROUND(IF(MinBase3Day&gt;ROUND(((1-(ThreeDayDiscount_11_to_20+FedExExrpessEarnedDiscount))*'3Day Base'!B19),2),ROUND(MinBase3Day*(1+ExpressFuelSurcharge),2),ROUND(((1-(ThreeDayDiscount_11_to_20+FedExExrpessEarnedDiscount))*'3Day Base'!B19)*(1+ExpressFuelSurcharge),2))*(1+FedEx_Markup),2)</f>
        <v>23.29</v>
      </c>
      <c r="C22" s="275">
        <f>ROUND(IF(MinBase3Day&gt;ROUND(((1-(ThreeDayDiscount_11_to_20+FedExExrpessEarnedDiscount))*'3Day Base'!C19),2),ROUND(MinBase3Day*(1+ExpressFuelSurcharge),2),ROUND(((1-(ThreeDayDiscount_11_to_20+FedExExrpessEarnedDiscount))*'3Day Base'!C19)*(1+ExpressFuelSurcharge),2))*(1+FedEx_Markup),2)</f>
        <v>29.44</v>
      </c>
      <c r="D22" s="275">
        <f>ROUND(IF(MinBase3Day&gt;ROUND(((1-(ThreeDayDiscount_11_to_20+FedExExrpessEarnedDiscount))*'3Day Base'!D19),2),ROUND(MinBase3Day*(1+ExpressFuelSurcharge),2),ROUND(((1-(ThreeDayDiscount_11_to_20+FedExExrpessEarnedDiscount))*'3Day Base'!D19)*(1+ExpressFuelSurcharge),2))*(1+FedEx_Markup),2)</f>
        <v>35.31</v>
      </c>
      <c r="E22" s="275">
        <f>ROUND(IF(MinBase3Day&gt;ROUND(((1-(ThreeDayDiscount_11_to_20+FedExExrpessEarnedDiscount))*'3Day Base'!E19),2),ROUND(MinBase3Day*(1+ExpressFuelSurcharge),2),ROUND(((1-(ThreeDayDiscount_11_to_20+FedExExrpessEarnedDiscount))*'3Day Base'!E19)*(1+ExpressFuelSurcharge),2))*(1+FedEx_Markup),2)</f>
        <v>46.18</v>
      </c>
      <c r="F22" s="275">
        <f>ROUND(IF(MinBase3Day&gt;ROUND(((1-(ThreeDayDiscount_11_to_20+FedExExrpessEarnedDiscount))*'3Day Base'!F19),2),ROUND(MinBase3Day*(1+ExpressFuelSurcharge),2),ROUND(((1-(ThreeDayDiscount_11_to_20+FedExExrpessEarnedDiscount))*'3Day Base'!F19)*(1+ExpressFuelSurcharge),2))*(1+FedEx_Markup),2)</f>
        <v>59.2</v>
      </c>
      <c r="G22" s="275">
        <f>ROUND(IF(MinBase3Day&gt;ROUND(((1-(ThreeDayDiscount_11_to_20+FedExExrpessEarnedDiscount))*'3Day Base'!G19),2),ROUND(MinBase3Day*(1+ExpressFuelSurcharge),2),ROUND(((1-(ThreeDayDiscount_11_to_20+FedExExrpessEarnedDiscount))*'3Day Base'!G19)*(1+ExpressFuelSurcharge),2))*(1+FedEx_Markup),2)</f>
        <v>69.4</v>
      </c>
      <c r="H22" s="275">
        <f>ROUND(IF(MinBase3Day&gt;ROUND(((1-(ThreeDayDiscount_11_to_20+FedExExrpessEarnedDiscount))*'3Day Base'!H19),2),ROUND(MinBase3Day*(1+ExpressFuelSurcharge),2),ROUND(((1-(ThreeDayDiscount_11_to_20+FedExExrpessEarnedDiscount))*'3Day Base'!H19)*(1+ExpressFuelSurcharge),2))*(1+FedEx_Markup),2)</f>
        <v>84.03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274">
        <v>18.0</v>
      </c>
      <c r="B23" s="275">
        <f>ROUND(IF(MinBase3Day&gt;ROUND(((1-(ThreeDayDiscount_11_to_20+FedExExrpessEarnedDiscount))*'3Day Base'!B20),2),ROUND(MinBase3Day*(1+ExpressFuelSurcharge),2),ROUND(((1-(ThreeDayDiscount_11_to_20+FedExExrpessEarnedDiscount))*'3Day Base'!B20)*(1+ExpressFuelSurcharge),2))*(1+FedEx_Markup),2)</f>
        <v>25.4</v>
      </c>
      <c r="C23" s="275">
        <f>ROUND(IF(MinBase3Day&gt;ROUND(((1-(ThreeDayDiscount_11_to_20+FedExExrpessEarnedDiscount))*'3Day Base'!C20),2),ROUND(MinBase3Day*(1+ExpressFuelSurcharge),2),ROUND(((1-(ThreeDayDiscount_11_to_20+FedExExrpessEarnedDiscount))*'3Day Base'!C20)*(1+ExpressFuelSurcharge),2))*(1+FedEx_Markup),2)</f>
        <v>30.36</v>
      </c>
      <c r="D23" s="275">
        <f>ROUND(IF(MinBase3Day&gt;ROUND(((1-(ThreeDayDiscount_11_to_20+FedExExrpessEarnedDiscount))*'3Day Base'!D20),2),ROUND(MinBase3Day*(1+ExpressFuelSurcharge),2),ROUND(((1-(ThreeDayDiscount_11_to_20+FedExExrpessEarnedDiscount))*'3Day Base'!D20)*(1+ExpressFuelSurcharge),2))*(1+FedEx_Markup),2)</f>
        <v>36.65</v>
      </c>
      <c r="E23" s="275">
        <f>ROUND(IF(MinBase3Day&gt;ROUND(((1-(ThreeDayDiscount_11_to_20+FedExExrpessEarnedDiscount))*'3Day Base'!E20),2),ROUND(MinBase3Day*(1+ExpressFuelSurcharge),2),ROUND(((1-(ThreeDayDiscount_11_to_20+FedExExrpessEarnedDiscount))*'3Day Base'!E20)*(1+ExpressFuelSurcharge),2))*(1+FedEx_Markup),2)</f>
        <v>47.91</v>
      </c>
      <c r="F23" s="275">
        <f>ROUND(IF(MinBase3Day&gt;ROUND(((1-(ThreeDayDiscount_11_to_20+FedExExrpessEarnedDiscount))*'3Day Base'!F20),2),ROUND(MinBase3Day*(1+ExpressFuelSurcharge),2),ROUND(((1-(ThreeDayDiscount_11_to_20+FedExExrpessEarnedDiscount))*'3Day Base'!F20)*(1+ExpressFuelSurcharge),2))*(1+FedEx_Markup),2)</f>
        <v>61.32</v>
      </c>
      <c r="G23" s="275">
        <f>ROUND(IF(MinBase3Day&gt;ROUND(((1-(ThreeDayDiscount_11_to_20+FedExExrpessEarnedDiscount))*'3Day Base'!G20),2),ROUND(MinBase3Day*(1+ExpressFuelSurcharge),2),ROUND(((1-(ThreeDayDiscount_11_to_20+FedExExrpessEarnedDiscount))*'3Day Base'!G20)*(1+ExpressFuelSurcharge),2))*(1+FedEx_Markup),2)</f>
        <v>75.81</v>
      </c>
      <c r="H23" s="275">
        <f>ROUND(IF(MinBase3Day&gt;ROUND(((1-(ThreeDayDiscount_11_to_20+FedExExrpessEarnedDiscount))*'3Day Base'!H20),2),ROUND(MinBase3Day*(1+ExpressFuelSurcharge),2),ROUND(((1-(ThreeDayDiscount_11_to_20+FedExExrpessEarnedDiscount))*'3Day Base'!H20)*(1+ExpressFuelSurcharge),2))*(1+FedEx_Markup),2)</f>
        <v>86.87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74">
        <v>19.0</v>
      </c>
      <c r="B24" s="275">
        <f>ROUND(IF(MinBase3Day&gt;ROUND(((1-(ThreeDayDiscount_11_to_20+FedExExrpessEarnedDiscount))*'3Day Base'!B21),2),ROUND(MinBase3Day*(1+ExpressFuelSurcharge),2),ROUND(((1-(ThreeDayDiscount_11_to_20+FedExExrpessEarnedDiscount))*'3Day Base'!B21)*(1+ExpressFuelSurcharge),2))*(1+FedEx_Markup),2)</f>
        <v>26.06</v>
      </c>
      <c r="C24" s="275">
        <f>ROUND(IF(MinBase3Day&gt;ROUND(((1-(ThreeDayDiscount_11_to_20+FedExExrpessEarnedDiscount))*'3Day Base'!C21),2),ROUND(MinBase3Day*(1+ExpressFuelSurcharge),2),ROUND(((1-(ThreeDayDiscount_11_to_20+FedExExrpessEarnedDiscount))*'3Day Base'!C21)*(1+ExpressFuelSurcharge),2))*(1+FedEx_Markup),2)</f>
        <v>31.23</v>
      </c>
      <c r="D24" s="275">
        <f>ROUND(IF(MinBase3Day&gt;ROUND(((1-(ThreeDayDiscount_11_to_20+FedExExrpessEarnedDiscount))*'3Day Base'!D21),2),ROUND(MinBase3Day*(1+ExpressFuelSurcharge),2),ROUND(((1-(ThreeDayDiscount_11_to_20+FedExExrpessEarnedDiscount))*'3Day Base'!D21)*(1+ExpressFuelSurcharge),2))*(1+FedEx_Markup),2)</f>
        <v>37.93</v>
      </c>
      <c r="E24" s="275">
        <f>ROUND(IF(MinBase3Day&gt;ROUND(((1-(ThreeDayDiscount_11_to_20+FedExExrpessEarnedDiscount))*'3Day Base'!E21),2),ROUND(MinBase3Day*(1+ExpressFuelSurcharge),2),ROUND(((1-(ThreeDayDiscount_11_to_20+FedExExrpessEarnedDiscount))*'3Day Base'!E21)*(1+ExpressFuelSurcharge),2))*(1+FedEx_Markup),2)</f>
        <v>49.66</v>
      </c>
      <c r="F24" s="275">
        <f>ROUND(IF(MinBase3Day&gt;ROUND(((1-(ThreeDayDiscount_11_to_20+FedExExrpessEarnedDiscount))*'3Day Base'!F21),2),ROUND(MinBase3Day*(1+ExpressFuelSurcharge),2),ROUND(((1-(ThreeDayDiscount_11_to_20+FedExExrpessEarnedDiscount))*'3Day Base'!F21)*(1+ExpressFuelSurcharge),2))*(1+FedEx_Markup),2)</f>
        <v>63.39</v>
      </c>
      <c r="G24" s="275">
        <f>ROUND(IF(MinBase3Day&gt;ROUND(((1-(ThreeDayDiscount_11_to_20+FedExExrpessEarnedDiscount))*'3Day Base'!G21),2),ROUND(MinBase3Day*(1+ExpressFuelSurcharge),2),ROUND(((1-(ThreeDayDiscount_11_to_20+FedExExrpessEarnedDiscount))*'3Day Base'!G21)*(1+ExpressFuelSurcharge),2))*(1+FedEx_Markup),2)</f>
        <v>77.87</v>
      </c>
      <c r="H24" s="275">
        <f>ROUND(IF(MinBase3Day&gt;ROUND(((1-(ThreeDayDiscount_11_to_20+FedExExrpessEarnedDiscount))*'3Day Base'!H21),2),ROUND(MinBase3Day*(1+ExpressFuelSurcharge),2),ROUND(((1-(ThreeDayDiscount_11_to_20+FedExExrpessEarnedDiscount))*'3Day Base'!H21)*(1+ExpressFuelSurcharge),2))*(1+FedEx_Markup),2)</f>
        <v>90.03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74">
        <v>20.0</v>
      </c>
      <c r="B25" s="275">
        <f>ROUND(IF(MinBase3Day&gt;ROUND(((1-(ThreeDayDiscount_11_to_20+FedExExrpessEarnedDiscount))*'3Day Base'!B22),2),ROUND(MinBase3Day*(1+ExpressFuelSurcharge),2),ROUND(((1-(ThreeDayDiscount_11_to_20+FedExExrpessEarnedDiscount))*'3Day Base'!B22)*(1+ExpressFuelSurcharge),2))*(1+FedEx_Markup),2)</f>
        <v>26.2</v>
      </c>
      <c r="C25" s="275">
        <f>ROUND(IF(MinBase3Day&gt;ROUND(((1-(ThreeDayDiscount_11_to_20+FedExExrpessEarnedDiscount))*'3Day Base'!C22),2),ROUND(MinBase3Day*(1+ExpressFuelSurcharge),2),ROUND(((1-(ThreeDayDiscount_11_to_20+FedExExrpessEarnedDiscount))*'3Day Base'!C22)*(1+ExpressFuelSurcharge),2))*(1+FedEx_Markup),2)</f>
        <v>31.64</v>
      </c>
      <c r="D25" s="275">
        <f>ROUND(IF(MinBase3Day&gt;ROUND(((1-(ThreeDayDiscount_11_to_20+FedExExrpessEarnedDiscount))*'3Day Base'!D22),2),ROUND(MinBase3Day*(1+ExpressFuelSurcharge),2),ROUND(((1-(ThreeDayDiscount_11_to_20+FedExExrpessEarnedDiscount))*'3Day Base'!D22)*(1+ExpressFuelSurcharge),2))*(1+FedEx_Markup),2)</f>
        <v>38.66</v>
      </c>
      <c r="E25" s="275">
        <f>ROUND(IF(MinBase3Day&gt;ROUND(((1-(ThreeDayDiscount_11_to_20+FedExExrpessEarnedDiscount))*'3Day Base'!E22),2),ROUND(MinBase3Day*(1+ExpressFuelSurcharge),2),ROUND(((1-(ThreeDayDiscount_11_to_20+FedExExrpessEarnedDiscount))*'3Day Base'!E22)*(1+ExpressFuelSurcharge),2))*(1+FedEx_Markup),2)</f>
        <v>51.73</v>
      </c>
      <c r="F25" s="275">
        <f>ROUND(IF(MinBase3Day&gt;ROUND(((1-(ThreeDayDiscount_11_to_20+FedExExrpessEarnedDiscount))*'3Day Base'!F22),2),ROUND(MinBase3Day*(1+ExpressFuelSurcharge),2),ROUND(((1-(ThreeDayDiscount_11_to_20+FedExExrpessEarnedDiscount))*'3Day Base'!F22)*(1+ExpressFuelSurcharge),2))*(1+FedEx_Markup),2)</f>
        <v>65.75</v>
      </c>
      <c r="G25" s="275">
        <f>ROUND(IF(MinBase3Day&gt;ROUND(((1-(ThreeDayDiscount_11_to_20+FedExExrpessEarnedDiscount))*'3Day Base'!G22),2),ROUND(MinBase3Day*(1+ExpressFuelSurcharge),2),ROUND(((1-(ThreeDayDiscount_11_to_20+FedExExrpessEarnedDiscount))*'3Day Base'!G22)*(1+ExpressFuelSurcharge),2))*(1+FedEx_Markup),2)</f>
        <v>78.13</v>
      </c>
      <c r="H25" s="275">
        <f>ROUND(IF(MinBase3Day&gt;ROUND(((1-(ThreeDayDiscount_11_to_20+FedExExrpessEarnedDiscount))*'3Day Base'!H22),2),ROUND(MinBase3Day*(1+ExpressFuelSurcharge),2),ROUND(((1-(ThreeDayDiscount_11_to_20+FedExExrpessEarnedDiscount))*'3Day Base'!H22)*(1+ExpressFuelSurcharge),2))*(1+FedEx_Markup),2)</f>
        <v>93.86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74">
        <v>21.0</v>
      </c>
      <c r="B26" s="275">
        <f>ROUND(IF(MinBase3Day&gt;ROUND(((1-(ThreeDayDiscount_21_Up+FedExExrpessEarnedDiscount))*'3Day Base'!B23),2),ROUND(MinBase3Day*(1+ExpressFuelSurcharge),2),ROUND(((1-(ThreeDayDiscount_21_Up+FedExExrpessEarnedDiscount))*'3Day Base'!B23)*(1+ExpressFuelSurcharge),2))*(1+FedEx_Markup),2)</f>
        <v>23.59</v>
      </c>
      <c r="C26" s="275">
        <f>ROUND(IF(MinBase3Day&gt;ROUND(((1-(ThreeDayDiscount_21_Up+FedExExrpessEarnedDiscount))*'3Day Base'!C23),2),ROUND(MinBase3Day*(1+ExpressFuelSurcharge),2),ROUND(((1-(ThreeDayDiscount_21_Up+FedExExrpessEarnedDiscount))*'3Day Base'!C23)*(1+ExpressFuelSurcharge),2))*(1+FedEx_Markup),2)</f>
        <v>28.59</v>
      </c>
      <c r="D26" s="275">
        <f>ROUND(IF(MinBase3Day&gt;ROUND(((1-(ThreeDayDiscount_21_Up+FedExExrpessEarnedDiscount))*'3Day Base'!D23),2),ROUND(MinBase3Day*(1+ExpressFuelSurcharge),2),ROUND(((1-(ThreeDayDiscount_21_Up+FedExExrpessEarnedDiscount))*'3Day Base'!D23)*(1+ExpressFuelSurcharge),2))*(1+FedEx_Markup),2)</f>
        <v>34.95</v>
      </c>
      <c r="E26" s="275">
        <f>ROUND(IF(MinBase3Day&gt;ROUND(((1-(ThreeDayDiscount_21_Up+FedExExrpessEarnedDiscount))*'3Day Base'!E23),2),ROUND(MinBase3Day*(1+ExpressFuelSurcharge),2),ROUND(((1-(ThreeDayDiscount_21_Up+FedExExrpessEarnedDiscount))*'3Day Base'!E23)*(1+ExpressFuelSurcharge),2))*(1+FedEx_Markup),2)</f>
        <v>45.45</v>
      </c>
      <c r="F26" s="275">
        <f>ROUND(IF(MinBase3Day&gt;ROUND(((1-(ThreeDayDiscount_21_Up+FedExExrpessEarnedDiscount))*'3Day Base'!F23),2),ROUND(MinBase3Day*(1+ExpressFuelSurcharge),2),ROUND(((1-(ThreeDayDiscount_21_Up+FedExExrpessEarnedDiscount))*'3Day Base'!F23)*(1+ExpressFuelSurcharge),2))*(1+FedEx_Markup),2)</f>
        <v>60.27</v>
      </c>
      <c r="G26" s="275">
        <f>ROUND(IF(MinBase3Day&gt;ROUND(((1-(ThreeDayDiscount_21_Up+FedExExrpessEarnedDiscount))*'3Day Base'!G23),2),ROUND(MinBase3Day*(1+ExpressFuelSurcharge),2),ROUND(((1-(ThreeDayDiscount_21_Up+FedExExrpessEarnedDiscount))*'3Day Base'!G23)*(1+ExpressFuelSurcharge),2))*(1+FedEx_Markup),2)</f>
        <v>72.88</v>
      </c>
      <c r="H26" s="275">
        <f>ROUND(IF(MinBase3Day&gt;ROUND(((1-(ThreeDayDiscount_21_Up+FedExExrpessEarnedDiscount))*'3Day Base'!H23),2),ROUND(MinBase3Day*(1+ExpressFuelSurcharge),2),ROUND(((1-(ThreeDayDiscount_21_Up+FedExExrpessEarnedDiscount))*'3Day Base'!H23)*(1+ExpressFuelSurcharge),2))*(1+FedEx_Markup),2)</f>
        <v>84.82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74">
        <v>22.0</v>
      </c>
      <c r="B27" s="275">
        <f>ROUND(IF(MinBase3Day&gt;ROUND(((1-(ThreeDayDiscount_21_Up+FedExExrpessEarnedDiscount))*'3Day Base'!B24),2),ROUND(MinBase3Day*(1+ExpressFuelSurcharge),2),ROUND(((1-(ThreeDayDiscount_21_Up+FedExExrpessEarnedDiscount))*'3Day Base'!B24)*(1+ExpressFuelSurcharge),2))*(1+FedEx_Markup),2)</f>
        <v>25.28</v>
      </c>
      <c r="C27" s="275">
        <f>ROUND(IF(MinBase3Day&gt;ROUND(((1-(ThreeDayDiscount_21_Up+FedExExrpessEarnedDiscount))*'3Day Base'!C24),2),ROUND(MinBase3Day*(1+ExpressFuelSurcharge),2),ROUND(((1-(ThreeDayDiscount_21_Up+FedExExrpessEarnedDiscount))*'3Day Base'!C24)*(1+ExpressFuelSurcharge),2))*(1+FedEx_Markup),2)</f>
        <v>30.36</v>
      </c>
      <c r="D27" s="275">
        <f>ROUND(IF(MinBase3Day&gt;ROUND(((1-(ThreeDayDiscount_21_Up+FedExExrpessEarnedDiscount))*'3Day Base'!D24),2),ROUND(MinBase3Day*(1+ExpressFuelSurcharge),2),ROUND(((1-(ThreeDayDiscount_21_Up+FedExExrpessEarnedDiscount))*'3Day Base'!D24)*(1+ExpressFuelSurcharge),2))*(1+FedEx_Markup),2)</f>
        <v>36.47</v>
      </c>
      <c r="E27" s="275">
        <f>ROUND(IF(MinBase3Day&gt;ROUND(((1-(ThreeDayDiscount_21_Up+FedExExrpessEarnedDiscount))*'3Day Base'!E24),2),ROUND(MinBase3Day*(1+ExpressFuelSurcharge),2),ROUND(((1-(ThreeDayDiscount_21_Up+FedExExrpessEarnedDiscount))*'3Day Base'!E24)*(1+ExpressFuelSurcharge),2))*(1+FedEx_Markup),2)</f>
        <v>48.31</v>
      </c>
      <c r="F27" s="275">
        <f>ROUND(IF(MinBase3Day&gt;ROUND(((1-(ThreeDayDiscount_21_Up+FedExExrpessEarnedDiscount))*'3Day Base'!F24),2),ROUND(MinBase3Day*(1+ExpressFuelSurcharge),2),ROUND(((1-(ThreeDayDiscount_21_Up+FedExExrpessEarnedDiscount))*'3Day Base'!F24)*(1+ExpressFuelSurcharge),2))*(1+FedEx_Markup),2)</f>
        <v>62.38</v>
      </c>
      <c r="G27" s="275">
        <f>ROUND(IF(MinBase3Day&gt;ROUND(((1-(ThreeDayDiscount_21_Up+FedExExrpessEarnedDiscount))*'3Day Base'!G24),2),ROUND(MinBase3Day*(1+ExpressFuelSurcharge),2),ROUND(((1-(ThreeDayDiscount_21_Up+FedExExrpessEarnedDiscount))*'3Day Base'!G24)*(1+ExpressFuelSurcharge),2))*(1+FedEx_Markup),2)</f>
        <v>73.32</v>
      </c>
      <c r="H27" s="275">
        <f>ROUND(IF(MinBase3Day&gt;ROUND(((1-(ThreeDayDiscount_21_Up+FedExExrpessEarnedDiscount))*'3Day Base'!H24),2),ROUND(MinBase3Day*(1+ExpressFuelSurcharge),2),ROUND(((1-(ThreeDayDiscount_21_Up+FedExExrpessEarnedDiscount))*'3Day Base'!H24)*(1+ExpressFuelSurcharge),2))*(1+FedEx_Markup),2)</f>
        <v>88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74">
        <v>23.0</v>
      </c>
      <c r="B28" s="275">
        <f>ROUND(IF(MinBase3Day&gt;ROUND(((1-(ThreeDayDiscount_21_Up+FedExExrpessEarnedDiscount))*'3Day Base'!B25),2),ROUND(MinBase3Day*(1+ExpressFuelSurcharge),2),ROUND(((1-(ThreeDayDiscount_21_Up+FedExExrpessEarnedDiscount))*'3Day Base'!B25)*(1+ExpressFuelSurcharge),2))*(1+FedEx_Markup),2)</f>
        <v>26.25</v>
      </c>
      <c r="C28" s="275">
        <f>ROUND(IF(MinBase3Day&gt;ROUND(((1-(ThreeDayDiscount_21_Up+FedExExrpessEarnedDiscount))*'3Day Base'!C25),2),ROUND(MinBase3Day*(1+ExpressFuelSurcharge),2),ROUND(((1-(ThreeDayDiscount_21_Up+FedExExrpessEarnedDiscount))*'3Day Base'!C25)*(1+ExpressFuelSurcharge),2))*(1+FedEx_Markup),2)</f>
        <v>31.05</v>
      </c>
      <c r="D28" s="275">
        <f>ROUND(IF(MinBase3Day&gt;ROUND(((1-(ThreeDayDiscount_21_Up+FedExExrpessEarnedDiscount))*'3Day Base'!D25),2),ROUND(MinBase3Day*(1+ExpressFuelSurcharge),2),ROUND(((1-(ThreeDayDiscount_21_Up+FedExExrpessEarnedDiscount))*'3Day Base'!D25)*(1+ExpressFuelSurcharge),2))*(1+FedEx_Markup),2)</f>
        <v>38.89</v>
      </c>
      <c r="E28" s="275">
        <f>ROUND(IF(MinBase3Day&gt;ROUND(((1-(ThreeDayDiscount_21_Up+FedExExrpessEarnedDiscount))*'3Day Base'!E25),2),ROUND(MinBase3Day*(1+ExpressFuelSurcharge),2),ROUND(((1-(ThreeDayDiscount_21_Up+FedExExrpessEarnedDiscount))*'3Day Base'!E25)*(1+ExpressFuelSurcharge),2))*(1+FedEx_Markup),2)</f>
        <v>49.71</v>
      </c>
      <c r="F28" s="275">
        <f>ROUND(IF(MinBase3Day&gt;ROUND(((1-(ThreeDayDiscount_21_Up+FedExExrpessEarnedDiscount))*'3Day Base'!F25),2),ROUND(MinBase3Day*(1+ExpressFuelSurcharge),2),ROUND(((1-(ThreeDayDiscount_21_Up+FedExExrpessEarnedDiscount))*'3Day Base'!F25)*(1+ExpressFuelSurcharge),2))*(1+FedEx_Markup),2)</f>
        <v>64.94</v>
      </c>
      <c r="G28" s="275">
        <f>ROUND(IF(MinBase3Day&gt;ROUND(((1-(ThreeDayDiscount_21_Up+FedExExrpessEarnedDiscount))*'3Day Base'!G25),2),ROUND(MinBase3Day*(1+ExpressFuelSurcharge),2),ROUND(((1-(ThreeDayDiscount_21_Up+FedExExrpessEarnedDiscount))*'3Day Base'!G25)*(1+ExpressFuelSurcharge),2))*(1+FedEx_Markup),2)</f>
        <v>79.4</v>
      </c>
      <c r="H28" s="275">
        <f>ROUND(IF(MinBase3Day&gt;ROUND(((1-(ThreeDayDiscount_21_Up+FedExExrpessEarnedDiscount))*'3Day Base'!H25),2),ROUND(MinBase3Day*(1+ExpressFuelSurcharge),2),ROUND(((1-(ThreeDayDiscount_21_Up+FedExExrpessEarnedDiscount))*'3Day Base'!H25)*(1+ExpressFuelSurcharge),2))*(1+FedEx_Markup),2)</f>
        <v>88.79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74">
        <v>24.0</v>
      </c>
      <c r="B29" s="275">
        <f>ROUND(IF(MinBase3Day&gt;ROUND(((1-(ThreeDayDiscount_21_Up+FedExExrpessEarnedDiscount))*'3Day Base'!B26),2),ROUND(MinBase3Day*(1+ExpressFuelSurcharge),2),ROUND(((1-(ThreeDayDiscount_21_Up+FedExExrpessEarnedDiscount))*'3Day Base'!B26)*(1+ExpressFuelSurcharge),2))*(1+FedEx_Markup),2)</f>
        <v>26.37</v>
      </c>
      <c r="C29" s="275">
        <f>ROUND(IF(MinBase3Day&gt;ROUND(((1-(ThreeDayDiscount_21_Up+FedExExrpessEarnedDiscount))*'3Day Base'!C26),2),ROUND(MinBase3Day*(1+ExpressFuelSurcharge),2),ROUND(((1-(ThreeDayDiscount_21_Up+FedExExrpessEarnedDiscount))*'3Day Base'!C26)*(1+ExpressFuelSurcharge),2))*(1+FedEx_Markup),2)</f>
        <v>33.01</v>
      </c>
      <c r="D29" s="275">
        <f>ROUND(IF(MinBase3Day&gt;ROUND(((1-(ThreeDayDiscount_21_Up+FedExExrpessEarnedDiscount))*'3Day Base'!D26),2),ROUND(MinBase3Day*(1+ExpressFuelSurcharge),2),ROUND(((1-(ThreeDayDiscount_21_Up+FedExExrpessEarnedDiscount))*'3Day Base'!D26)*(1+ExpressFuelSurcharge),2))*(1+FedEx_Markup),2)</f>
        <v>39.88</v>
      </c>
      <c r="E29" s="275">
        <f>ROUND(IF(MinBase3Day&gt;ROUND(((1-(ThreeDayDiscount_21_Up+FedExExrpessEarnedDiscount))*'3Day Base'!E26),2),ROUND(MinBase3Day*(1+ExpressFuelSurcharge),2),ROUND(((1-(ThreeDayDiscount_21_Up+FedExExrpessEarnedDiscount))*'3Day Base'!E26)*(1+ExpressFuelSurcharge),2))*(1+FedEx_Markup),2)</f>
        <v>51.58</v>
      </c>
      <c r="F29" s="275">
        <f>ROUND(IF(MinBase3Day&gt;ROUND(((1-(ThreeDayDiscount_21_Up+FedExExrpessEarnedDiscount))*'3Day Base'!F26),2),ROUND(MinBase3Day*(1+ExpressFuelSurcharge),2),ROUND(((1-(ThreeDayDiscount_21_Up+FedExExrpessEarnedDiscount))*'3Day Base'!F26)*(1+ExpressFuelSurcharge),2))*(1+FedEx_Markup),2)</f>
        <v>67.07</v>
      </c>
      <c r="G29" s="275">
        <f>ROUND(IF(MinBase3Day&gt;ROUND(((1-(ThreeDayDiscount_21_Up+FedExExrpessEarnedDiscount))*'3Day Base'!G26),2),ROUND(MinBase3Day*(1+ExpressFuelSurcharge),2),ROUND(((1-(ThreeDayDiscount_21_Up+FedExExrpessEarnedDiscount))*'3Day Base'!G26)*(1+ExpressFuelSurcharge),2))*(1+FedEx_Markup),2)</f>
        <v>80.01</v>
      </c>
      <c r="H29" s="275">
        <f>ROUND(IF(MinBase3Day&gt;ROUND(((1-(ThreeDayDiscount_21_Up+FedExExrpessEarnedDiscount))*'3Day Base'!H26),2),ROUND(MinBase3Day*(1+ExpressFuelSurcharge),2),ROUND(((1-(ThreeDayDiscount_21_Up+FedExExrpessEarnedDiscount))*'3Day Base'!H26)*(1+ExpressFuelSurcharge),2))*(1+FedEx_Markup),2)</f>
        <v>89.21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74">
        <v>25.0</v>
      </c>
      <c r="B30" s="275">
        <f>ROUND(IF(MinBase3Day&gt;ROUND(((1-(ThreeDayDiscount_21_Up+FedExExrpessEarnedDiscount))*'3Day Base'!B27),2),ROUND(MinBase3Day*(1+ExpressFuelSurcharge),2),ROUND(((1-(ThreeDayDiscount_21_Up+FedExExrpessEarnedDiscount))*'3Day Base'!B27)*(1+ExpressFuelSurcharge),2))*(1+FedEx_Markup),2)</f>
        <v>26.5</v>
      </c>
      <c r="C30" s="275">
        <f>ROUND(IF(MinBase3Day&gt;ROUND(((1-(ThreeDayDiscount_21_Up+FedExExrpessEarnedDiscount))*'3Day Base'!C27),2),ROUND(MinBase3Day*(1+ExpressFuelSurcharge),2),ROUND(((1-(ThreeDayDiscount_21_Up+FedExExrpessEarnedDiscount))*'3Day Base'!C27)*(1+ExpressFuelSurcharge),2))*(1+FedEx_Markup),2)</f>
        <v>33.21</v>
      </c>
      <c r="D30" s="275">
        <f>ROUND(IF(MinBase3Day&gt;ROUND(((1-(ThreeDayDiscount_21_Up+FedExExrpessEarnedDiscount))*'3Day Base'!D27),2),ROUND(MinBase3Day*(1+ExpressFuelSurcharge),2),ROUND(((1-(ThreeDayDiscount_21_Up+FedExExrpessEarnedDiscount))*'3Day Base'!D27)*(1+ExpressFuelSurcharge),2))*(1+FedEx_Markup),2)</f>
        <v>41.2</v>
      </c>
      <c r="E30" s="275">
        <f>ROUND(IF(MinBase3Day&gt;ROUND(((1-(ThreeDayDiscount_21_Up+FedExExrpessEarnedDiscount))*'3Day Base'!E27),2),ROUND(MinBase3Day*(1+ExpressFuelSurcharge),2),ROUND(((1-(ThreeDayDiscount_21_Up+FedExExrpessEarnedDiscount))*'3Day Base'!E27)*(1+ExpressFuelSurcharge),2))*(1+FedEx_Markup),2)</f>
        <v>53.36</v>
      </c>
      <c r="F30" s="275">
        <f>ROUND(IF(MinBase3Day&gt;ROUND(((1-(ThreeDayDiscount_21_Up+FedExExrpessEarnedDiscount))*'3Day Base'!F27),2),ROUND(MinBase3Day*(1+ExpressFuelSurcharge),2),ROUND(((1-(ThreeDayDiscount_21_Up+FedExExrpessEarnedDiscount))*'3Day Base'!F27)*(1+ExpressFuelSurcharge),2))*(1+FedEx_Markup),2)</f>
        <v>68.97</v>
      </c>
      <c r="G30" s="275">
        <f>ROUND(IF(MinBase3Day&gt;ROUND(((1-(ThreeDayDiscount_21_Up+FedExExrpessEarnedDiscount))*'3Day Base'!G27),2),ROUND(MinBase3Day*(1+ExpressFuelSurcharge),2),ROUND(((1-(ThreeDayDiscount_21_Up+FedExExrpessEarnedDiscount))*'3Day Base'!G27)*(1+ExpressFuelSurcharge),2))*(1+FedEx_Markup),2)</f>
        <v>84.9</v>
      </c>
      <c r="H30" s="275">
        <f>ROUND(IF(MinBase3Day&gt;ROUND(((1-(ThreeDayDiscount_21_Up+FedExExrpessEarnedDiscount))*'3Day Base'!H27),2),ROUND(MinBase3Day*(1+ExpressFuelSurcharge),2),ROUND(((1-(ThreeDayDiscount_21_Up+FedExExrpessEarnedDiscount))*'3Day Base'!H27)*(1+ExpressFuelSurcharge),2))*(1+FedEx_Markup),2)</f>
        <v>97.12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74">
        <v>26.0</v>
      </c>
      <c r="B31" s="275">
        <f>ROUND(IF(MinBase3Day&gt;ROUND(((1-(ThreeDayDiscount_21_Up+FedExExrpessEarnedDiscount))*'3Day Base'!B28),2),ROUND(MinBase3Day*(1+ExpressFuelSurcharge),2),ROUND(((1-(ThreeDayDiscount_21_Up+FedExExrpessEarnedDiscount))*'3Day Base'!B28)*(1+ExpressFuelSurcharge),2))*(1+FedEx_Markup),2)</f>
        <v>28.97</v>
      </c>
      <c r="C31" s="275">
        <f>ROUND(IF(MinBase3Day&gt;ROUND(((1-(ThreeDayDiscount_21_Up+FedExExrpessEarnedDiscount))*'3Day Base'!C28),2),ROUND(MinBase3Day*(1+ExpressFuelSurcharge),2),ROUND(((1-(ThreeDayDiscount_21_Up+FedExExrpessEarnedDiscount))*'3Day Base'!C28)*(1+ExpressFuelSurcharge),2))*(1+FedEx_Markup),2)</f>
        <v>34.88</v>
      </c>
      <c r="D31" s="275">
        <f>ROUND(IF(MinBase3Day&gt;ROUND(((1-(ThreeDayDiscount_21_Up+FedExExrpessEarnedDiscount))*'3Day Base'!D28),2),ROUND(MinBase3Day*(1+ExpressFuelSurcharge),2),ROUND(((1-(ThreeDayDiscount_21_Up+FedExExrpessEarnedDiscount))*'3Day Base'!D28)*(1+ExpressFuelSurcharge),2))*(1+FedEx_Markup),2)</f>
        <v>42.55</v>
      </c>
      <c r="E31" s="275">
        <f>ROUND(IF(MinBase3Day&gt;ROUND(((1-(ThreeDayDiscount_21_Up+FedExExrpessEarnedDiscount))*'3Day Base'!E28),2),ROUND(MinBase3Day*(1+ExpressFuelSurcharge),2),ROUND(((1-(ThreeDayDiscount_21_Up+FedExExrpessEarnedDiscount))*'3Day Base'!E28)*(1+ExpressFuelSurcharge),2))*(1+FedEx_Markup),2)</f>
        <v>55.1</v>
      </c>
      <c r="F31" s="275">
        <f>ROUND(IF(MinBase3Day&gt;ROUND(((1-(ThreeDayDiscount_21_Up+FedExExrpessEarnedDiscount))*'3Day Base'!F28),2),ROUND(MinBase3Day*(1+ExpressFuelSurcharge),2),ROUND(((1-(ThreeDayDiscount_21_Up+FedExExrpessEarnedDiscount))*'3Day Base'!F28)*(1+ExpressFuelSurcharge),2))*(1+FedEx_Markup),2)</f>
        <v>71.1</v>
      </c>
      <c r="G31" s="275">
        <f>ROUND(IF(MinBase3Day&gt;ROUND(((1-(ThreeDayDiscount_21_Up+FedExExrpessEarnedDiscount))*'3Day Base'!G28),2),ROUND(MinBase3Day*(1+ExpressFuelSurcharge),2),ROUND(((1-(ThreeDayDiscount_21_Up+FedExExrpessEarnedDiscount))*'3Day Base'!G28)*(1+ExpressFuelSurcharge),2))*(1+FedEx_Markup),2)</f>
        <v>87.84</v>
      </c>
      <c r="H31" s="275">
        <f>ROUND(IF(MinBase3Day&gt;ROUND(((1-(ThreeDayDiscount_21_Up+FedExExrpessEarnedDiscount))*'3Day Base'!H28),2),ROUND(MinBase3Day*(1+ExpressFuelSurcharge),2),ROUND(((1-(ThreeDayDiscount_21_Up+FedExExrpessEarnedDiscount))*'3Day Base'!H28)*(1+ExpressFuelSurcharge),2))*(1+FedEx_Markup),2)</f>
        <v>100.07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274">
        <v>27.0</v>
      </c>
      <c r="B32" s="275">
        <f>ROUND(IF(MinBase3Day&gt;ROUND(((1-(ThreeDayDiscount_21_Up+FedExExrpessEarnedDiscount))*'3Day Base'!B29),2),ROUND(MinBase3Day*(1+ExpressFuelSurcharge),2),ROUND(((1-(ThreeDayDiscount_21_Up+FedExExrpessEarnedDiscount))*'3Day Base'!B29)*(1+ExpressFuelSurcharge),2))*(1+FedEx_Markup),2)</f>
        <v>29.91</v>
      </c>
      <c r="C32" s="275">
        <f>ROUND(IF(MinBase3Day&gt;ROUND(((1-(ThreeDayDiscount_21_Up+FedExExrpessEarnedDiscount))*'3Day Base'!C29),2),ROUND(MinBase3Day*(1+ExpressFuelSurcharge),2),ROUND(((1-(ThreeDayDiscount_21_Up+FedExExrpessEarnedDiscount))*'3Day Base'!C29)*(1+ExpressFuelSurcharge),2))*(1+FedEx_Markup),2)</f>
        <v>35.89</v>
      </c>
      <c r="D32" s="275">
        <f>ROUND(IF(MinBase3Day&gt;ROUND(((1-(ThreeDayDiscount_21_Up+FedExExrpessEarnedDiscount))*'3Day Base'!D29),2),ROUND(MinBase3Day*(1+ExpressFuelSurcharge),2),ROUND(((1-(ThreeDayDiscount_21_Up+FedExExrpessEarnedDiscount))*'3Day Base'!D29)*(1+ExpressFuelSurcharge),2))*(1+FedEx_Markup),2)</f>
        <v>44.16</v>
      </c>
      <c r="E32" s="275">
        <f>ROUND(IF(MinBase3Day&gt;ROUND(((1-(ThreeDayDiscount_21_Up+FedExExrpessEarnedDiscount))*'3Day Base'!E29),2),ROUND(MinBase3Day*(1+ExpressFuelSurcharge),2),ROUND(((1-(ThreeDayDiscount_21_Up+FedExExrpessEarnedDiscount))*'3Day Base'!E29)*(1+ExpressFuelSurcharge),2))*(1+FedEx_Markup),2)</f>
        <v>58.06</v>
      </c>
      <c r="F32" s="275">
        <f>ROUND(IF(MinBase3Day&gt;ROUND(((1-(ThreeDayDiscount_21_Up+FedExExrpessEarnedDiscount))*'3Day Base'!F29),2),ROUND(MinBase3Day*(1+ExpressFuelSurcharge),2),ROUND(((1-(ThreeDayDiscount_21_Up+FedExExrpessEarnedDiscount))*'3Day Base'!F29)*(1+ExpressFuelSurcharge),2))*(1+FedEx_Markup),2)</f>
        <v>72.98</v>
      </c>
      <c r="G32" s="275">
        <f>ROUND(IF(MinBase3Day&gt;ROUND(((1-(ThreeDayDiscount_21_Up+FedExExrpessEarnedDiscount))*'3Day Base'!G29),2),ROUND(MinBase3Day*(1+ExpressFuelSurcharge),2),ROUND(((1-(ThreeDayDiscount_21_Up+FedExExrpessEarnedDiscount))*'3Day Base'!G29)*(1+ExpressFuelSurcharge),2))*(1+FedEx_Markup),2)</f>
        <v>90.92</v>
      </c>
      <c r="H32" s="275">
        <f>ROUND(IF(MinBase3Day&gt;ROUND(((1-(ThreeDayDiscount_21_Up+FedExExrpessEarnedDiscount))*'3Day Base'!H29),2),ROUND(MinBase3Day*(1+ExpressFuelSurcharge),2),ROUND(((1-(ThreeDayDiscount_21_Up+FedExExrpessEarnedDiscount))*'3Day Base'!H29)*(1+ExpressFuelSurcharge),2))*(1+FedEx_Markup),2)</f>
        <v>103.18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274">
        <v>28.0</v>
      </c>
      <c r="B33" s="275">
        <f>ROUND(IF(MinBase3Day&gt;ROUND(((1-(ThreeDayDiscount_21_Up+FedExExrpessEarnedDiscount))*'3Day Base'!B30),2),ROUND(MinBase3Day*(1+ExpressFuelSurcharge),2),ROUND(((1-(ThreeDayDiscount_21_Up+FedExExrpessEarnedDiscount))*'3Day Base'!B30)*(1+ExpressFuelSurcharge),2))*(1+FedEx_Markup),2)</f>
        <v>30.81</v>
      </c>
      <c r="C33" s="275">
        <f>ROUND(IF(MinBase3Day&gt;ROUND(((1-(ThreeDayDiscount_21_Up+FedExExrpessEarnedDiscount))*'3Day Base'!C30),2),ROUND(MinBase3Day*(1+ExpressFuelSurcharge),2),ROUND(((1-(ThreeDayDiscount_21_Up+FedExExrpessEarnedDiscount))*'3Day Base'!C30)*(1+ExpressFuelSurcharge),2))*(1+FedEx_Markup),2)</f>
        <v>36.04</v>
      </c>
      <c r="D33" s="275">
        <f>ROUND(IF(MinBase3Day&gt;ROUND(((1-(ThreeDayDiscount_21_Up+FedExExrpessEarnedDiscount))*'3Day Base'!D30),2),ROUND(MinBase3Day*(1+ExpressFuelSurcharge),2),ROUND(((1-(ThreeDayDiscount_21_Up+FedExExrpessEarnedDiscount))*'3Day Base'!D30)*(1+ExpressFuelSurcharge),2))*(1+FedEx_Markup),2)</f>
        <v>45.26</v>
      </c>
      <c r="E33" s="275">
        <f>ROUND(IF(MinBase3Day&gt;ROUND(((1-(ThreeDayDiscount_21_Up+FedExExrpessEarnedDiscount))*'3Day Base'!E30),2),ROUND(MinBase3Day*(1+ExpressFuelSurcharge),2),ROUND(((1-(ThreeDayDiscount_21_Up+FedExExrpessEarnedDiscount))*'3Day Base'!E30)*(1+ExpressFuelSurcharge),2))*(1+FedEx_Markup),2)</f>
        <v>58.37</v>
      </c>
      <c r="F33" s="275">
        <f>ROUND(IF(MinBase3Day&gt;ROUND(((1-(ThreeDayDiscount_21_Up+FedExExrpessEarnedDiscount))*'3Day Base'!F30),2),ROUND(MinBase3Day*(1+ExpressFuelSurcharge),2),ROUND(((1-(ThreeDayDiscount_21_Up+FedExExrpessEarnedDiscount))*'3Day Base'!F30)*(1+ExpressFuelSurcharge),2))*(1+FedEx_Markup),2)</f>
        <v>79.57</v>
      </c>
      <c r="G33" s="275">
        <f>ROUND(IF(MinBase3Day&gt;ROUND(((1-(ThreeDayDiscount_21_Up+FedExExrpessEarnedDiscount))*'3Day Base'!G30),2),ROUND(MinBase3Day*(1+ExpressFuelSurcharge),2),ROUND(((1-(ThreeDayDiscount_21_Up+FedExExrpessEarnedDiscount))*'3Day Base'!G30)*(1+ExpressFuelSurcharge),2))*(1+FedEx_Markup),2)</f>
        <v>93.7</v>
      </c>
      <c r="H33" s="275">
        <f>ROUND(IF(MinBase3Day&gt;ROUND(((1-(ThreeDayDiscount_21_Up+FedExExrpessEarnedDiscount))*'3Day Base'!H30),2),ROUND(MinBase3Day*(1+ExpressFuelSurcharge),2),ROUND(((1-(ThreeDayDiscount_21_Up+FedExExrpessEarnedDiscount))*'3Day Base'!H30)*(1+ExpressFuelSurcharge),2))*(1+FedEx_Markup),2)</f>
        <v>106.5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274">
        <v>29.0</v>
      </c>
      <c r="B34" s="275">
        <f>ROUND(IF(MinBase3Day&gt;ROUND(((1-(ThreeDayDiscount_21_Up+FedExExrpessEarnedDiscount))*'3Day Base'!B31),2),ROUND(MinBase3Day*(1+ExpressFuelSurcharge),2),ROUND(((1-(ThreeDayDiscount_21_Up+FedExExrpessEarnedDiscount))*'3Day Base'!B31)*(1+ExpressFuelSurcharge),2))*(1+FedEx_Markup),2)</f>
        <v>30.94</v>
      </c>
      <c r="C34" s="275">
        <f>ROUND(IF(MinBase3Day&gt;ROUND(((1-(ThreeDayDiscount_21_Up+FedExExrpessEarnedDiscount))*'3Day Base'!C31),2),ROUND(MinBase3Day*(1+ExpressFuelSurcharge),2),ROUND(((1-(ThreeDayDiscount_21_Up+FedExExrpessEarnedDiscount))*'3Day Base'!C31)*(1+ExpressFuelSurcharge),2))*(1+FedEx_Markup),2)</f>
        <v>36.92</v>
      </c>
      <c r="D34" s="275">
        <f>ROUND(IF(MinBase3Day&gt;ROUND(((1-(ThreeDayDiscount_21_Up+FedExExrpessEarnedDiscount))*'3Day Base'!D31),2),ROUND(MinBase3Day*(1+ExpressFuelSurcharge),2),ROUND(((1-(ThreeDayDiscount_21_Up+FedExExrpessEarnedDiscount))*'3Day Base'!D31)*(1+ExpressFuelSurcharge),2))*(1+FedEx_Markup),2)</f>
        <v>46.58</v>
      </c>
      <c r="E34" s="275">
        <f>ROUND(IF(MinBase3Day&gt;ROUND(((1-(ThreeDayDiscount_21_Up+FedExExrpessEarnedDiscount))*'3Day Base'!E31),2),ROUND(MinBase3Day*(1+ExpressFuelSurcharge),2),ROUND(((1-(ThreeDayDiscount_21_Up+FedExExrpessEarnedDiscount))*'3Day Base'!E31)*(1+ExpressFuelSurcharge),2))*(1+FedEx_Markup),2)</f>
        <v>59.89</v>
      </c>
      <c r="F34" s="275">
        <f>ROUND(IF(MinBase3Day&gt;ROUND(((1-(ThreeDayDiscount_21_Up+FedExExrpessEarnedDiscount))*'3Day Base'!F31),2),ROUND(MinBase3Day*(1+ExpressFuelSurcharge),2),ROUND(((1-(ThreeDayDiscount_21_Up+FedExExrpessEarnedDiscount))*'3Day Base'!F31)*(1+ExpressFuelSurcharge),2))*(1+FedEx_Markup),2)</f>
        <v>81.91</v>
      </c>
      <c r="G34" s="275">
        <f>ROUND(IF(MinBase3Day&gt;ROUND(((1-(ThreeDayDiscount_21_Up+FedExExrpessEarnedDiscount))*'3Day Base'!G31),2),ROUND(MinBase3Day*(1+ExpressFuelSurcharge),2),ROUND(((1-(ThreeDayDiscount_21_Up+FedExExrpessEarnedDiscount))*'3Day Base'!G31)*(1+ExpressFuelSurcharge),2))*(1+FedEx_Markup),2)</f>
        <v>96.49</v>
      </c>
      <c r="H34" s="275">
        <f>ROUND(IF(MinBase3Day&gt;ROUND(((1-(ThreeDayDiscount_21_Up+FedExExrpessEarnedDiscount))*'3Day Base'!H31),2),ROUND(MinBase3Day*(1+ExpressFuelSurcharge),2),ROUND(((1-(ThreeDayDiscount_21_Up+FedExExrpessEarnedDiscount))*'3Day Base'!H31)*(1+ExpressFuelSurcharge),2))*(1+FedEx_Markup),2)</f>
        <v>109.81</v>
      </c>
    </row>
    <row r="35" ht="12.75" customHeight="1">
      <c r="A35" s="274">
        <v>30.0</v>
      </c>
      <c r="B35" s="275">
        <f>ROUND(IF(MinBase3Day&gt;ROUND(((1-(ThreeDayDiscount_21_Up+FedExExrpessEarnedDiscount))*'3Day Base'!B32),2),ROUND(MinBase3Day*(1+ExpressFuelSurcharge),2),ROUND(((1-(ThreeDayDiscount_21_Up+FedExExrpessEarnedDiscount))*'3Day Base'!B32)*(1+ExpressFuelSurcharge),2))*(1+FedEx_Markup),2)</f>
        <v>31.05</v>
      </c>
      <c r="C35" s="275">
        <f>ROUND(IF(MinBase3Day&gt;ROUND(((1-(ThreeDayDiscount_21_Up+FedExExrpessEarnedDiscount))*'3Day Base'!C32),2),ROUND(MinBase3Day*(1+ExpressFuelSurcharge),2),ROUND(((1-(ThreeDayDiscount_21_Up+FedExExrpessEarnedDiscount))*'3Day Base'!C32)*(1+ExpressFuelSurcharge),2))*(1+FedEx_Markup),2)</f>
        <v>37.93</v>
      </c>
      <c r="D35" s="275">
        <f>ROUND(IF(MinBase3Day&gt;ROUND(((1-(ThreeDayDiscount_21_Up+FedExExrpessEarnedDiscount))*'3Day Base'!D32),2),ROUND(MinBase3Day*(1+ExpressFuelSurcharge),2),ROUND(((1-(ThreeDayDiscount_21_Up+FedExExrpessEarnedDiscount))*'3Day Base'!D32)*(1+ExpressFuelSurcharge),2))*(1+FedEx_Markup),2)</f>
        <v>46.7</v>
      </c>
      <c r="E35" s="275">
        <f>ROUND(IF(MinBase3Day&gt;ROUND(((1-(ThreeDayDiscount_21_Up+FedExExrpessEarnedDiscount))*'3Day Base'!E32),2),ROUND(MinBase3Day*(1+ExpressFuelSurcharge),2),ROUND(((1-(ThreeDayDiscount_21_Up+FedExExrpessEarnedDiscount))*'3Day Base'!E32)*(1+ExpressFuelSurcharge),2))*(1+FedEx_Markup),2)</f>
        <v>61.76</v>
      </c>
      <c r="F35" s="275">
        <f>ROUND(IF(MinBase3Day&gt;ROUND(((1-(ThreeDayDiscount_21_Up+FedExExrpessEarnedDiscount))*'3Day Base'!F32),2),ROUND(MinBase3Day*(1+ExpressFuelSurcharge),2),ROUND(((1-(ThreeDayDiscount_21_Up+FedExExrpessEarnedDiscount))*'3Day Base'!F32)*(1+ExpressFuelSurcharge),2))*(1+FedEx_Markup),2)</f>
        <v>84.53</v>
      </c>
      <c r="G35" s="275">
        <f>ROUND(IF(MinBase3Day&gt;ROUND(((1-(ThreeDayDiscount_21_Up+FedExExrpessEarnedDiscount))*'3Day Base'!G32),2),ROUND(MinBase3Day*(1+ExpressFuelSurcharge),2),ROUND(((1-(ThreeDayDiscount_21_Up+FedExExrpessEarnedDiscount))*'3Day Base'!G32)*(1+ExpressFuelSurcharge),2))*(1+FedEx_Markup),2)</f>
        <v>96.77</v>
      </c>
      <c r="H35" s="275">
        <f>ROUND(IF(MinBase3Day&gt;ROUND(((1-(ThreeDayDiscount_21_Up+FedExExrpessEarnedDiscount))*'3Day Base'!H32),2),ROUND(MinBase3Day*(1+ExpressFuelSurcharge),2),ROUND(((1-(ThreeDayDiscount_21_Up+FedExExrpessEarnedDiscount))*'3Day Base'!H32)*(1+ExpressFuelSurcharge),2))*(1+FedEx_Markup),2)</f>
        <v>112.95</v>
      </c>
    </row>
    <row r="36" ht="12.75" customHeight="1">
      <c r="A36" s="274">
        <v>31.0</v>
      </c>
      <c r="B36" s="275">
        <f>ROUND(IF(MinBase3Day&gt;ROUND(((1-(ThreeDayDiscount_21_Up+FedExExrpessEarnedDiscount))*'3Day Base'!B33),2),ROUND(MinBase3Day*(1+ExpressFuelSurcharge),2),ROUND(((1-(ThreeDayDiscount_21_Up+FedExExrpessEarnedDiscount))*'3Day Base'!B33)*(1+ExpressFuelSurcharge),2))*(1+FedEx_Markup),2)</f>
        <v>32.05</v>
      </c>
      <c r="C36" s="275">
        <f>ROUND(IF(MinBase3Day&gt;ROUND(((1-(ThreeDayDiscount_21_Up+FedExExrpessEarnedDiscount))*'3Day Base'!C33),2),ROUND(MinBase3Day*(1+ExpressFuelSurcharge),2),ROUND(((1-(ThreeDayDiscount_21_Up+FedExExrpessEarnedDiscount))*'3Day Base'!C33)*(1+ExpressFuelSurcharge),2))*(1+FedEx_Markup),2)</f>
        <v>40.09</v>
      </c>
      <c r="D36" s="275">
        <f>ROUND(IF(MinBase3Day&gt;ROUND(((1-(ThreeDayDiscount_21_Up+FedExExrpessEarnedDiscount))*'3Day Base'!D33),2),ROUND(MinBase3Day*(1+ExpressFuelSurcharge),2),ROUND(((1-(ThreeDayDiscount_21_Up+FedExExrpessEarnedDiscount))*'3Day Base'!D33)*(1+ExpressFuelSurcharge),2))*(1+FedEx_Markup),2)</f>
        <v>48.07</v>
      </c>
      <c r="E36" s="275">
        <f>ROUND(IF(MinBase3Day&gt;ROUND(((1-(ThreeDayDiscount_21_Up+FedExExrpessEarnedDiscount))*'3Day Base'!E33),2),ROUND(MinBase3Day*(1+ExpressFuelSurcharge),2),ROUND(((1-(ThreeDayDiscount_21_Up+FedExExrpessEarnedDiscount))*'3Day Base'!E33)*(1+ExpressFuelSurcharge),2))*(1+FedEx_Markup),2)</f>
        <v>64.55</v>
      </c>
      <c r="F36" s="275">
        <f>ROUND(IF(MinBase3Day&gt;ROUND(((1-(ThreeDayDiscount_21_Up+FedExExrpessEarnedDiscount))*'3Day Base'!F33),2),ROUND(MinBase3Day*(1+ExpressFuelSurcharge),2),ROUND(((1-(ThreeDayDiscount_21_Up+FedExExrpessEarnedDiscount))*'3Day Base'!F33)*(1+ExpressFuelSurcharge),2))*(1+FedEx_Markup),2)</f>
        <v>88.83</v>
      </c>
      <c r="G36" s="275">
        <f>ROUND(IF(MinBase3Day&gt;ROUND(((1-(ThreeDayDiscount_21_Up+FedExExrpessEarnedDiscount))*'3Day Base'!G33),2),ROUND(MinBase3Day*(1+ExpressFuelSurcharge),2),ROUND(((1-(ThreeDayDiscount_21_Up+FedExExrpessEarnedDiscount))*'3Day Base'!G33)*(1+ExpressFuelSurcharge),2))*(1+FedEx_Markup),2)</f>
        <v>99.3</v>
      </c>
      <c r="H36" s="275">
        <f>ROUND(IF(MinBase3Day&gt;ROUND(((1-(ThreeDayDiscount_21_Up+FedExExrpessEarnedDiscount))*'3Day Base'!H33),2),ROUND(MinBase3Day*(1+ExpressFuelSurcharge),2),ROUND(((1-(ThreeDayDiscount_21_Up+FedExExrpessEarnedDiscount))*'3Day Base'!H33)*(1+ExpressFuelSurcharge),2))*(1+FedEx_Markup),2)</f>
        <v>116.02</v>
      </c>
    </row>
    <row r="37" ht="12.75" customHeight="1">
      <c r="A37" s="274">
        <v>32.0</v>
      </c>
      <c r="B37" s="275">
        <f>ROUND(IF(MinBase3Day&gt;ROUND(((1-(ThreeDayDiscount_21_Up+FedExExrpessEarnedDiscount))*'3Day Base'!B34),2),ROUND(MinBase3Day*(1+ExpressFuelSurcharge),2),ROUND(((1-(ThreeDayDiscount_21_Up+FedExExrpessEarnedDiscount))*'3Day Base'!B34)*(1+ExpressFuelSurcharge),2))*(1+FedEx_Markup),2)</f>
        <v>32.19</v>
      </c>
      <c r="C37" s="275">
        <f>ROUND(IF(MinBase3Day&gt;ROUND(((1-(ThreeDayDiscount_21_Up+FedExExrpessEarnedDiscount))*'3Day Base'!C34),2),ROUND(MinBase3Day*(1+ExpressFuelSurcharge),2),ROUND(((1-(ThreeDayDiscount_21_Up+FedExExrpessEarnedDiscount))*'3Day Base'!C34)*(1+ExpressFuelSurcharge),2))*(1+FedEx_Markup),2)</f>
        <v>40.35</v>
      </c>
      <c r="D37" s="275">
        <f>ROUND(IF(MinBase3Day&gt;ROUND(((1-(ThreeDayDiscount_21_Up+FedExExrpessEarnedDiscount))*'3Day Base'!D34),2),ROUND(MinBase3Day*(1+ExpressFuelSurcharge),2),ROUND(((1-(ThreeDayDiscount_21_Up+FedExExrpessEarnedDiscount))*'3Day Base'!D34)*(1+ExpressFuelSurcharge),2))*(1+FedEx_Markup),2)</f>
        <v>49.44</v>
      </c>
      <c r="E37" s="275">
        <f>ROUND(IF(MinBase3Day&gt;ROUND(((1-(ThreeDayDiscount_21_Up+FedExExrpessEarnedDiscount))*'3Day Base'!E34),2),ROUND(MinBase3Day*(1+ExpressFuelSurcharge),2),ROUND(((1-(ThreeDayDiscount_21_Up+FedExExrpessEarnedDiscount))*'3Day Base'!E34)*(1+ExpressFuelSurcharge),2))*(1+FedEx_Markup),2)</f>
        <v>64.84</v>
      </c>
      <c r="F37" s="275">
        <f>ROUND(IF(MinBase3Day&gt;ROUND(((1-(ThreeDayDiscount_21_Up+FedExExrpessEarnedDiscount))*'3Day Base'!F34),2),ROUND(MinBase3Day*(1+ExpressFuelSurcharge),2),ROUND(((1-(ThreeDayDiscount_21_Up+FedExExrpessEarnedDiscount))*'3Day Base'!F34)*(1+ExpressFuelSurcharge),2))*(1+FedEx_Markup),2)</f>
        <v>89.27</v>
      </c>
      <c r="G37" s="275">
        <f>ROUND(IF(MinBase3Day&gt;ROUND(((1-(ThreeDayDiscount_21_Up+FedExExrpessEarnedDiscount))*'3Day Base'!G34),2),ROUND(MinBase3Day*(1+ExpressFuelSurcharge),2),ROUND(((1-(ThreeDayDiscount_21_Up+FedExExrpessEarnedDiscount))*'3Day Base'!G34)*(1+ExpressFuelSurcharge),2))*(1+FedEx_Markup),2)</f>
        <v>100.02</v>
      </c>
      <c r="H37" s="275">
        <f>ROUND(IF(MinBase3Day&gt;ROUND(((1-(ThreeDayDiscount_21_Up+FedExExrpessEarnedDiscount))*'3Day Base'!H34),2),ROUND(MinBase3Day*(1+ExpressFuelSurcharge),2),ROUND(((1-(ThreeDayDiscount_21_Up+FedExExrpessEarnedDiscount))*'3Day Base'!H34)*(1+ExpressFuelSurcharge),2))*(1+FedEx_Markup),2)</f>
        <v>116.43</v>
      </c>
    </row>
    <row r="38" ht="12.75" customHeight="1">
      <c r="A38" s="274">
        <v>33.0</v>
      </c>
      <c r="B38" s="275">
        <f>ROUND(IF(MinBase3Day&gt;ROUND(((1-(ThreeDayDiscount_21_Up+FedExExrpessEarnedDiscount))*'3Day Base'!B35),2),ROUND(MinBase3Day*(1+ExpressFuelSurcharge),2),ROUND(((1-(ThreeDayDiscount_21_Up+FedExExrpessEarnedDiscount))*'3Day Base'!B35)*(1+ExpressFuelSurcharge),2))*(1+FedEx_Markup),2)</f>
        <v>34.01</v>
      </c>
      <c r="C38" s="275">
        <f>ROUND(IF(MinBase3Day&gt;ROUND(((1-(ThreeDayDiscount_21_Up+FedExExrpessEarnedDiscount))*'3Day Base'!C35),2),ROUND(MinBase3Day*(1+ExpressFuelSurcharge),2),ROUND(((1-(ThreeDayDiscount_21_Up+FedExExrpessEarnedDiscount))*'3Day Base'!C35)*(1+ExpressFuelSurcharge),2))*(1+FedEx_Markup),2)</f>
        <v>41.19</v>
      </c>
      <c r="D38" s="275">
        <f>ROUND(IF(MinBase3Day&gt;ROUND(((1-(ThreeDayDiscount_21_Up+FedExExrpessEarnedDiscount))*'3Day Base'!D35),2),ROUND(MinBase3Day*(1+ExpressFuelSurcharge),2),ROUND(((1-(ThreeDayDiscount_21_Up+FedExExrpessEarnedDiscount))*'3Day Base'!D35)*(1+ExpressFuelSurcharge),2))*(1+FedEx_Markup),2)</f>
        <v>51.45</v>
      </c>
      <c r="E38" s="275">
        <f>ROUND(IF(MinBase3Day&gt;ROUND(((1-(ThreeDayDiscount_21_Up+FedExExrpessEarnedDiscount))*'3Day Base'!E35),2),ROUND(MinBase3Day*(1+ExpressFuelSurcharge),2),ROUND(((1-(ThreeDayDiscount_21_Up+FedExExrpessEarnedDiscount))*'3Day Base'!E35)*(1+ExpressFuelSurcharge),2))*(1+FedEx_Markup),2)</f>
        <v>66.62</v>
      </c>
      <c r="F38" s="275">
        <f>ROUND(IF(MinBase3Day&gt;ROUND(((1-(ThreeDayDiscount_21_Up+FedExExrpessEarnedDiscount))*'3Day Base'!F35),2),ROUND(MinBase3Day*(1+ExpressFuelSurcharge),2),ROUND(((1-(ThreeDayDiscount_21_Up+FedExExrpessEarnedDiscount))*'3Day Base'!F35)*(1+ExpressFuelSurcharge),2))*(1+FedEx_Markup),2)</f>
        <v>91.87</v>
      </c>
      <c r="G38" s="275">
        <f>ROUND(IF(MinBase3Day&gt;ROUND(((1-(ThreeDayDiscount_21_Up+FedExExrpessEarnedDiscount))*'3Day Base'!G35),2),ROUND(MinBase3Day*(1+ExpressFuelSurcharge),2),ROUND(((1-(ThreeDayDiscount_21_Up+FedExExrpessEarnedDiscount))*'3Day Base'!G35)*(1+ExpressFuelSurcharge),2))*(1+FedEx_Markup),2)</f>
        <v>102.6</v>
      </c>
      <c r="H38" s="275">
        <f>ROUND(IF(MinBase3Day&gt;ROUND(((1-(ThreeDayDiscount_21_Up+FedExExrpessEarnedDiscount))*'3Day Base'!H35),2),ROUND(MinBase3Day*(1+ExpressFuelSurcharge),2),ROUND(((1-(ThreeDayDiscount_21_Up+FedExExrpessEarnedDiscount))*'3Day Base'!H35)*(1+ExpressFuelSurcharge),2))*(1+FedEx_Markup),2)</f>
        <v>116.89</v>
      </c>
    </row>
    <row r="39" ht="12.75" customHeight="1">
      <c r="A39" s="274">
        <v>34.0</v>
      </c>
      <c r="B39" s="275">
        <f>ROUND(IF(MinBase3Day&gt;ROUND(((1-(ThreeDayDiscount_21_Up+FedExExrpessEarnedDiscount))*'3Day Base'!B36),2),ROUND(MinBase3Day*(1+ExpressFuelSurcharge),2),ROUND(((1-(ThreeDayDiscount_21_Up+FedExExrpessEarnedDiscount))*'3Day Base'!B36)*(1+ExpressFuelSurcharge),2))*(1+FedEx_Markup),2)</f>
        <v>34.68</v>
      </c>
      <c r="C39" s="275">
        <f>ROUND(IF(MinBase3Day&gt;ROUND(((1-(ThreeDayDiscount_21_Up+FedExExrpessEarnedDiscount))*'3Day Base'!C36),2),ROUND(MinBase3Day*(1+ExpressFuelSurcharge),2),ROUND(((1-(ThreeDayDiscount_21_Up+FedExExrpessEarnedDiscount))*'3Day Base'!C36)*(1+ExpressFuelSurcharge),2))*(1+FedEx_Markup),2)</f>
        <v>41.32</v>
      </c>
      <c r="D39" s="275">
        <f>ROUND(IF(MinBase3Day&gt;ROUND(((1-(ThreeDayDiscount_21_Up+FedExExrpessEarnedDiscount))*'3Day Base'!D36),2),ROUND(MinBase3Day*(1+ExpressFuelSurcharge),2),ROUND(((1-(ThreeDayDiscount_21_Up+FedExExrpessEarnedDiscount))*'3Day Base'!D36)*(1+ExpressFuelSurcharge),2))*(1+FedEx_Markup),2)</f>
        <v>51.66</v>
      </c>
      <c r="E39" s="275">
        <f>ROUND(IF(MinBase3Day&gt;ROUND(((1-(ThreeDayDiscount_21_Up+FedExExrpessEarnedDiscount))*'3Day Base'!E36),2),ROUND(MinBase3Day*(1+ExpressFuelSurcharge),2),ROUND(((1-(ThreeDayDiscount_21_Up+FedExExrpessEarnedDiscount))*'3Day Base'!E36)*(1+ExpressFuelSurcharge),2))*(1+FedEx_Markup),2)</f>
        <v>68.23</v>
      </c>
      <c r="F39" s="275">
        <f>ROUND(IF(MinBase3Day&gt;ROUND(((1-(ThreeDayDiscount_21_Up+FedExExrpessEarnedDiscount))*'3Day Base'!F36),2),ROUND(MinBase3Day*(1+ExpressFuelSurcharge),2),ROUND(((1-(ThreeDayDiscount_21_Up+FedExExrpessEarnedDiscount))*'3Day Base'!F36)*(1+ExpressFuelSurcharge),2))*(1+FedEx_Markup),2)</f>
        <v>93.37</v>
      </c>
      <c r="G39" s="275">
        <f>ROUND(IF(MinBase3Day&gt;ROUND(((1-(ThreeDayDiscount_21_Up+FedExExrpessEarnedDiscount))*'3Day Base'!G36),2),ROUND(MinBase3Day*(1+ExpressFuelSurcharge),2),ROUND(((1-(ThreeDayDiscount_21_Up+FedExExrpessEarnedDiscount))*'3Day Base'!G36)*(1+ExpressFuelSurcharge),2))*(1+FedEx_Markup),2)</f>
        <v>105.02</v>
      </c>
      <c r="H39" s="275">
        <f>ROUND(IF(MinBase3Day&gt;ROUND(((1-(ThreeDayDiscount_21_Up+FedExExrpessEarnedDiscount))*'3Day Base'!H36),2),ROUND(MinBase3Day*(1+ExpressFuelSurcharge),2),ROUND(((1-(ThreeDayDiscount_21_Up+FedExExrpessEarnedDiscount))*'3Day Base'!H36)*(1+ExpressFuelSurcharge),2))*(1+FedEx_Markup),2)</f>
        <v>125.75</v>
      </c>
    </row>
    <row r="40" ht="12.75" customHeight="1">
      <c r="A40" s="274">
        <v>35.0</v>
      </c>
      <c r="B40" s="275">
        <f>ROUND(IF(MinBase3Day&gt;ROUND(((1-(ThreeDayDiscount_21_Up+FedExExrpessEarnedDiscount))*'3Day Base'!B37),2),ROUND(MinBase3Day*(1+ExpressFuelSurcharge),2),ROUND(((1-(ThreeDayDiscount_21_Up+FedExExrpessEarnedDiscount))*'3Day Base'!B37)*(1+ExpressFuelSurcharge),2))*(1+FedEx_Markup),2)</f>
        <v>35.35</v>
      </c>
      <c r="C40" s="275">
        <f>ROUND(IF(MinBase3Day&gt;ROUND(((1-(ThreeDayDiscount_21_Up+FedExExrpessEarnedDiscount))*'3Day Base'!C37),2),ROUND(MinBase3Day*(1+ExpressFuelSurcharge),2),ROUND(((1-(ThreeDayDiscount_21_Up+FedExExrpessEarnedDiscount))*'3Day Base'!C37)*(1+ExpressFuelSurcharge),2))*(1+FedEx_Markup),2)</f>
        <v>43.15</v>
      </c>
      <c r="D40" s="275">
        <f>ROUND(IF(MinBase3Day&gt;ROUND(((1-(ThreeDayDiscount_21_Up+FedExExrpessEarnedDiscount))*'3Day Base'!D37),2),ROUND(MinBase3Day*(1+ExpressFuelSurcharge),2),ROUND(((1-(ThreeDayDiscount_21_Up+FedExExrpessEarnedDiscount))*'3Day Base'!D37)*(1+ExpressFuelSurcharge),2))*(1+FedEx_Markup),2)</f>
        <v>53.15</v>
      </c>
      <c r="E40" s="275">
        <f>ROUND(IF(MinBase3Day&gt;ROUND(((1-(ThreeDayDiscount_21_Up+FedExExrpessEarnedDiscount))*'3Day Base'!E37),2),ROUND(MinBase3Day*(1+ExpressFuelSurcharge),2),ROUND(((1-(ThreeDayDiscount_21_Up+FedExExrpessEarnedDiscount))*'3Day Base'!E37)*(1+ExpressFuelSurcharge),2))*(1+FedEx_Markup),2)</f>
        <v>69.94</v>
      </c>
      <c r="F40" s="275">
        <f>ROUND(IF(MinBase3Day&gt;ROUND(((1-(ThreeDayDiscount_21_Up+FedExExrpessEarnedDiscount))*'3Day Base'!F37),2),ROUND(MinBase3Day*(1+ExpressFuelSurcharge),2),ROUND(((1-(ThreeDayDiscount_21_Up+FedExExrpessEarnedDiscount))*'3Day Base'!F37)*(1+ExpressFuelSurcharge),2))*(1+FedEx_Markup),2)</f>
        <v>93.53</v>
      </c>
      <c r="G40" s="275">
        <f>ROUND(IF(MinBase3Day&gt;ROUND(((1-(ThreeDayDiscount_21_Up+FedExExrpessEarnedDiscount))*'3Day Base'!G37),2),ROUND(MinBase3Day*(1+ExpressFuelSurcharge),2),ROUND(((1-(ThreeDayDiscount_21_Up+FedExExrpessEarnedDiscount))*'3Day Base'!G37)*(1+ExpressFuelSurcharge),2))*(1+FedEx_Markup),2)</f>
        <v>107.67</v>
      </c>
      <c r="H40" s="275">
        <f>ROUND(IF(MinBase3Day&gt;ROUND(((1-(ThreeDayDiscount_21_Up+FedExExrpessEarnedDiscount))*'3Day Base'!H37),2),ROUND(MinBase3Day*(1+ExpressFuelSurcharge),2),ROUND(((1-(ThreeDayDiscount_21_Up+FedExExrpessEarnedDiscount))*'3Day Base'!H37)*(1+ExpressFuelSurcharge),2))*(1+FedEx_Markup),2)</f>
        <v>126.65</v>
      </c>
    </row>
    <row r="41" ht="12.75" customHeight="1">
      <c r="A41" s="274">
        <v>36.0</v>
      </c>
      <c r="B41" s="275">
        <f>ROUND(IF(MinBase3Day&gt;ROUND(((1-(ThreeDayDiscount_21_Up+FedExExrpessEarnedDiscount))*'3Day Base'!B38),2),ROUND(MinBase3Day*(1+ExpressFuelSurcharge),2),ROUND(((1-(ThreeDayDiscount_21_Up+FedExExrpessEarnedDiscount))*'3Day Base'!B38)*(1+ExpressFuelSurcharge),2))*(1+FedEx_Markup),2)</f>
        <v>36.36</v>
      </c>
      <c r="C41" s="275">
        <f>ROUND(IF(MinBase3Day&gt;ROUND(((1-(ThreeDayDiscount_21_Up+FedExExrpessEarnedDiscount))*'3Day Base'!C38),2),ROUND(MinBase3Day*(1+ExpressFuelSurcharge),2),ROUND(((1-(ThreeDayDiscount_21_Up+FedExExrpessEarnedDiscount))*'3Day Base'!C38)*(1+ExpressFuelSurcharge),2))*(1+FedEx_Markup),2)</f>
        <v>44.1</v>
      </c>
      <c r="D41" s="275">
        <f>ROUND(IF(MinBase3Day&gt;ROUND(((1-(ThreeDayDiscount_21_Up+FedExExrpessEarnedDiscount))*'3Day Base'!D38),2),ROUND(MinBase3Day*(1+ExpressFuelSurcharge),2),ROUND(((1-(ThreeDayDiscount_21_Up+FedExExrpessEarnedDiscount))*'3Day Base'!D38)*(1+ExpressFuelSurcharge),2))*(1+FedEx_Markup),2)</f>
        <v>55.14</v>
      </c>
      <c r="E41" s="275">
        <f>ROUND(IF(MinBase3Day&gt;ROUND(((1-(ThreeDayDiscount_21_Up+FedExExrpessEarnedDiscount))*'3Day Base'!E38),2),ROUND(MinBase3Day*(1+ExpressFuelSurcharge),2),ROUND(((1-(ThreeDayDiscount_21_Up+FedExExrpessEarnedDiscount))*'3Day Base'!E38)*(1+ExpressFuelSurcharge),2))*(1+FedEx_Markup),2)</f>
        <v>70.2</v>
      </c>
      <c r="F41" s="275">
        <f>ROUND(IF(MinBase3Day&gt;ROUND(((1-(ThreeDayDiscount_21_Up+FedExExrpessEarnedDiscount))*'3Day Base'!F38),2),ROUND(MinBase3Day*(1+ExpressFuelSurcharge),2),ROUND(((1-(ThreeDayDiscount_21_Up+FedExExrpessEarnedDiscount))*'3Day Base'!F38)*(1+ExpressFuelSurcharge),2))*(1+FedEx_Markup),2)</f>
        <v>93.9</v>
      </c>
      <c r="G41" s="275">
        <f>ROUND(IF(MinBase3Day&gt;ROUND(((1-(ThreeDayDiscount_21_Up+FedExExrpessEarnedDiscount))*'3Day Base'!G38),2),ROUND(MinBase3Day*(1+ExpressFuelSurcharge),2),ROUND(((1-(ThreeDayDiscount_21_Up+FedExExrpessEarnedDiscount))*'3Day Base'!G38)*(1+ExpressFuelSurcharge),2))*(1+FedEx_Markup),2)</f>
        <v>109.88</v>
      </c>
      <c r="H41" s="275">
        <f>ROUND(IF(MinBase3Day&gt;ROUND(((1-(ThreeDayDiscount_21_Up+FedExExrpessEarnedDiscount))*'3Day Base'!H38),2),ROUND(MinBase3Day*(1+ExpressFuelSurcharge),2),ROUND(((1-(ThreeDayDiscount_21_Up+FedExExrpessEarnedDiscount))*'3Day Base'!H38)*(1+ExpressFuelSurcharge),2))*(1+FedEx_Markup),2)</f>
        <v>132.18</v>
      </c>
      <c r="L41" s="4"/>
    </row>
    <row r="42" ht="12.75" customHeight="1">
      <c r="A42" s="274">
        <v>37.0</v>
      </c>
      <c r="B42" s="275">
        <f>ROUND(IF(MinBase3Day&gt;ROUND(((1-(ThreeDayDiscount_21_Up+FedExExrpessEarnedDiscount))*'3Day Base'!B39),2),ROUND(MinBase3Day*(1+ExpressFuelSurcharge),2),ROUND(((1-(ThreeDayDiscount_21_Up+FedExExrpessEarnedDiscount))*'3Day Base'!B39)*(1+ExpressFuelSurcharge),2))*(1+FedEx_Markup),2)</f>
        <v>36.56</v>
      </c>
      <c r="C42" s="275">
        <f>ROUND(IF(MinBase3Day&gt;ROUND(((1-(ThreeDayDiscount_21_Up+FedExExrpessEarnedDiscount))*'3Day Base'!C39),2),ROUND(MinBase3Day*(1+ExpressFuelSurcharge),2),ROUND(((1-(ThreeDayDiscount_21_Up+FedExExrpessEarnedDiscount))*'3Day Base'!C39)*(1+ExpressFuelSurcharge),2))*(1+FedEx_Markup),2)</f>
        <v>44.42</v>
      </c>
      <c r="D42" s="275">
        <f>ROUND(IF(MinBase3Day&gt;ROUND(((1-(ThreeDayDiscount_21_Up+FedExExrpessEarnedDiscount))*'3Day Base'!D39),2),ROUND(MinBase3Day*(1+ExpressFuelSurcharge),2),ROUND(((1-(ThreeDayDiscount_21_Up+FedExExrpessEarnedDiscount))*'3Day Base'!D39)*(1+ExpressFuelSurcharge),2))*(1+FedEx_Markup),2)</f>
        <v>55.35</v>
      </c>
      <c r="E42" s="275">
        <f>ROUND(IF(MinBase3Day&gt;ROUND(((1-(ThreeDayDiscount_21_Up+FedExExrpessEarnedDiscount))*'3Day Base'!E39),2),ROUND(MinBase3Day*(1+ExpressFuelSurcharge),2),ROUND(((1-(ThreeDayDiscount_21_Up+FedExExrpessEarnedDiscount))*'3Day Base'!E39)*(1+ExpressFuelSurcharge),2))*(1+FedEx_Markup),2)</f>
        <v>73.17</v>
      </c>
      <c r="F42" s="275">
        <f>ROUND(IF(MinBase3Day&gt;ROUND(((1-(ThreeDayDiscount_21_Up+FedExExrpessEarnedDiscount))*'3Day Base'!F39),2),ROUND(MinBase3Day*(1+ExpressFuelSurcharge),2),ROUND(((1-(ThreeDayDiscount_21_Up+FedExExrpessEarnedDiscount))*'3Day Base'!F39)*(1+ExpressFuelSurcharge),2))*(1+FedEx_Markup),2)</f>
        <v>100.94</v>
      </c>
      <c r="G42" s="275">
        <f>ROUND(IF(MinBase3Day&gt;ROUND(((1-(ThreeDayDiscount_21_Up+FedExExrpessEarnedDiscount))*'3Day Base'!G39),2),ROUND(MinBase3Day*(1+ExpressFuelSurcharge),2),ROUND(((1-(ThreeDayDiscount_21_Up+FedExExrpessEarnedDiscount))*'3Day Base'!G39)*(1+ExpressFuelSurcharge),2))*(1+FedEx_Markup),2)</f>
        <v>112.09</v>
      </c>
      <c r="H42" s="275">
        <f>ROUND(IF(MinBase3Day&gt;ROUND(((1-(ThreeDayDiscount_21_Up+FedExExrpessEarnedDiscount))*'3Day Base'!H39),2),ROUND(MinBase3Day*(1+ExpressFuelSurcharge),2),ROUND(((1-(ThreeDayDiscount_21_Up+FedExExrpessEarnedDiscount))*'3Day Base'!H39)*(1+ExpressFuelSurcharge),2))*(1+FedEx_Markup),2)</f>
        <v>132.73</v>
      </c>
    </row>
    <row r="43" ht="12.75" customHeight="1">
      <c r="A43" s="274">
        <v>38.0</v>
      </c>
      <c r="B43" s="275">
        <f>ROUND(IF(MinBase3Day&gt;ROUND(((1-(ThreeDayDiscount_21_Up+FedExExrpessEarnedDiscount))*'3Day Base'!B40),2),ROUND(MinBase3Day*(1+ExpressFuelSurcharge),2),ROUND(((1-(ThreeDayDiscount_21_Up+FedExExrpessEarnedDiscount))*'3Day Base'!B40)*(1+ExpressFuelSurcharge),2))*(1+FedEx_Markup),2)</f>
        <v>36.85</v>
      </c>
      <c r="C43" s="275">
        <f>ROUND(IF(MinBase3Day&gt;ROUND(((1-(ThreeDayDiscount_21_Up+FedExExrpessEarnedDiscount))*'3Day Base'!C40),2),ROUND(MinBase3Day*(1+ExpressFuelSurcharge),2),ROUND(((1-(ThreeDayDiscount_21_Up+FedExExrpessEarnedDiscount))*'3Day Base'!C40)*(1+ExpressFuelSurcharge),2))*(1+FedEx_Markup),2)</f>
        <v>44.63</v>
      </c>
      <c r="D43" s="275">
        <f>ROUND(IF(MinBase3Day&gt;ROUND(((1-(ThreeDayDiscount_21_Up+FedExExrpessEarnedDiscount))*'3Day Base'!D40),2),ROUND(MinBase3Day*(1+ExpressFuelSurcharge),2),ROUND(((1-(ThreeDayDiscount_21_Up+FedExExrpessEarnedDiscount))*'3Day Base'!D40)*(1+ExpressFuelSurcharge),2))*(1+FedEx_Markup),2)</f>
        <v>56.94</v>
      </c>
      <c r="E43" s="275">
        <f>ROUND(IF(MinBase3Day&gt;ROUND(((1-(ThreeDayDiscount_21_Up+FedExExrpessEarnedDiscount))*'3Day Base'!E40),2),ROUND(MinBase3Day*(1+ExpressFuelSurcharge),2),ROUND(((1-(ThreeDayDiscount_21_Up+FedExExrpessEarnedDiscount))*'3Day Base'!E40)*(1+ExpressFuelSurcharge),2))*(1+FedEx_Markup),2)</f>
        <v>74.91</v>
      </c>
      <c r="F43" s="275">
        <f>ROUND(IF(MinBase3Day&gt;ROUND(((1-(ThreeDayDiscount_21_Up+FedExExrpessEarnedDiscount))*'3Day Base'!F40),2),ROUND(MinBase3Day*(1+ExpressFuelSurcharge),2),ROUND(((1-(ThreeDayDiscount_21_Up+FedExExrpessEarnedDiscount))*'3Day Base'!F40)*(1+ExpressFuelSurcharge),2))*(1+FedEx_Markup),2)</f>
        <v>103.07</v>
      </c>
      <c r="G43" s="275">
        <f>ROUND(IF(MinBase3Day&gt;ROUND(((1-(ThreeDayDiscount_21_Up+FedExExrpessEarnedDiscount))*'3Day Base'!G40),2),ROUND(MinBase3Day*(1+ExpressFuelSurcharge),2),ROUND(((1-(ThreeDayDiscount_21_Up+FedExExrpessEarnedDiscount))*'3Day Base'!G40)*(1+ExpressFuelSurcharge),2))*(1+FedEx_Markup),2)</f>
        <v>114.33</v>
      </c>
      <c r="H43" s="275">
        <f>ROUND(IF(MinBase3Day&gt;ROUND(((1-(ThreeDayDiscount_21_Up+FedExExrpessEarnedDiscount))*'3Day Base'!H40),2),ROUND(MinBase3Day*(1+ExpressFuelSurcharge),2),ROUND(((1-(ThreeDayDiscount_21_Up+FedExExrpessEarnedDiscount))*'3Day Base'!H40)*(1+ExpressFuelSurcharge),2))*(1+FedEx_Markup),2)</f>
        <v>132.99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274">
        <v>39.0</v>
      </c>
      <c r="B44" s="275">
        <f>ROUND(IF(MinBase3Day&gt;ROUND(((1-(ThreeDayDiscount_21_Up+FedExExrpessEarnedDiscount))*'3Day Base'!B41),2),ROUND(MinBase3Day*(1+ExpressFuelSurcharge),2),ROUND(((1-(ThreeDayDiscount_21_Up+FedExExrpessEarnedDiscount))*'3Day Base'!B41)*(1+ExpressFuelSurcharge),2))*(1+FedEx_Markup),2)</f>
        <v>36.96</v>
      </c>
      <c r="C44" s="275">
        <f>ROUND(IF(MinBase3Day&gt;ROUND(((1-(ThreeDayDiscount_21_Up+FedExExrpessEarnedDiscount))*'3Day Base'!C41),2),ROUND(MinBase3Day*(1+ExpressFuelSurcharge),2),ROUND(((1-(ThreeDayDiscount_21_Up+FedExExrpessEarnedDiscount))*'3Day Base'!C41)*(1+ExpressFuelSurcharge),2))*(1+FedEx_Markup),2)</f>
        <v>44.83</v>
      </c>
      <c r="D44" s="275">
        <f>ROUND(IF(MinBase3Day&gt;ROUND(((1-(ThreeDayDiscount_21_Up+FedExExrpessEarnedDiscount))*'3Day Base'!D41),2),ROUND(MinBase3Day*(1+ExpressFuelSurcharge),2),ROUND(((1-(ThreeDayDiscount_21_Up+FedExExrpessEarnedDiscount))*'3Day Base'!D41)*(1+ExpressFuelSurcharge),2))*(1+FedEx_Markup),2)</f>
        <v>57.98</v>
      </c>
      <c r="E44" s="275">
        <f>ROUND(IF(MinBase3Day&gt;ROUND(((1-(ThreeDayDiscount_21_Up+FedExExrpessEarnedDiscount))*'3Day Base'!E41),2),ROUND(MinBase3Day*(1+ExpressFuelSurcharge),2),ROUND(((1-(ThreeDayDiscount_21_Up+FedExExrpessEarnedDiscount))*'3Day Base'!E41)*(1+ExpressFuelSurcharge),2))*(1+FedEx_Markup),2)</f>
        <v>76.56</v>
      </c>
      <c r="F44" s="275">
        <f>ROUND(IF(MinBase3Day&gt;ROUND(((1-(ThreeDayDiscount_21_Up+FedExExrpessEarnedDiscount))*'3Day Base'!F41),2),ROUND(MinBase3Day*(1+ExpressFuelSurcharge),2),ROUND(((1-(ThreeDayDiscount_21_Up+FedExExrpessEarnedDiscount))*'3Day Base'!F41)*(1+ExpressFuelSurcharge),2))*(1+FedEx_Markup),2)</f>
        <v>105.5</v>
      </c>
      <c r="G44" s="275">
        <f>ROUND(IF(MinBase3Day&gt;ROUND(((1-(ThreeDayDiscount_21_Up+FedExExrpessEarnedDiscount))*'3Day Base'!G41),2),ROUND(MinBase3Day*(1+ExpressFuelSurcharge),2),ROUND(((1-(ThreeDayDiscount_21_Up+FedExExrpessEarnedDiscount))*'3Day Base'!G41)*(1+ExpressFuelSurcharge),2))*(1+FedEx_Markup),2)</f>
        <v>120.32</v>
      </c>
      <c r="H44" s="275">
        <f>ROUND(IF(MinBase3Day&gt;ROUND(((1-(ThreeDayDiscount_21_Up+FedExExrpessEarnedDiscount))*'3Day Base'!H41),2),ROUND(MinBase3Day*(1+ExpressFuelSurcharge),2),ROUND(((1-(ThreeDayDiscount_21_Up+FedExExrpessEarnedDiscount))*'3Day Base'!H41)*(1+ExpressFuelSurcharge),2))*(1+FedEx_Markup),2)</f>
        <v>138.01</v>
      </c>
    </row>
    <row r="45" ht="12.75" customHeight="1">
      <c r="A45" s="274">
        <v>40.0</v>
      </c>
      <c r="B45" s="275">
        <f>ROUND(IF(MinBase3Day&gt;ROUND(((1-(ThreeDayDiscount_21_Up+FedExExrpessEarnedDiscount))*'3Day Base'!B42),2),ROUND(MinBase3Day*(1+ExpressFuelSurcharge),2),ROUND(((1-(ThreeDayDiscount_21_Up+FedExExrpessEarnedDiscount))*'3Day Base'!B42)*(1+ExpressFuelSurcharge),2))*(1+FedEx_Markup),2)</f>
        <v>37.18</v>
      </c>
      <c r="C45" s="275">
        <f>ROUND(IF(MinBase3Day&gt;ROUND(((1-(ThreeDayDiscount_21_Up+FedExExrpessEarnedDiscount))*'3Day Base'!C42),2),ROUND(MinBase3Day*(1+ExpressFuelSurcharge),2),ROUND(((1-(ThreeDayDiscount_21_Up+FedExExrpessEarnedDiscount))*'3Day Base'!C42)*(1+ExpressFuelSurcharge),2))*(1+FedEx_Markup),2)</f>
        <v>45.03</v>
      </c>
      <c r="D45" s="275">
        <f>ROUND(IF(MinBase3Day&gt;ROUND(((1-(ThreeDayDiscount_21_Up+FedExExrpessEarnedDiscount))*'3Day Base'!D42),2),ROUND(MinBase3Day*(1+ExpressFuelSurcharge),2),ROUND(((1-(ThreeDayDiscount_21_Up+FedExExrpessEarnedDiscount))*'3Day Base'!D42)*(1+ExpressFuelSurcharge),2))*(1+FedEx_Markup),2)</f>
        <v>58.1</v>
      </c>
      <c r="E45" s="275">
        <f>ROUND(IF(MinBase3Day&gt;ROUND(((1-(ThreeDayDiscount_21_Up+FedExExrpessEarnedDiscount))*'3Day Base'!E42),2),ROUND(MinBase3Day*(1+ExpressFuelSurcharge),2),ROUND(((1-(ThreeDayDiscount_21_Up+FedExExrpessEarnedDiscount))*'3Day Base'!E42)*(1+ExpressFuelSurcharge),2))*(1+FedEx_Markup),2)</f>
        <v>77.25</v>
      </c>
      <c r="F45" s="275">
        <f>ROUND(IF(MinBase3Day&gt;ROUND(((1-(ThreeDayDiscount_21_Up+FedExExrpessEarnedDiscount))*'3Day Base'!F42),2),ROUND(MinBase3Day*(1+ExpressFuelSurcharge),2),ROUND(((1-(ThreeDayDiscount_21_Up+FedExExrpessEarnedDiscount))*'3Day Base'!F42)*(1+ExpressFuelSurcharge),2))*(1+FedEx_Markup),2)</f>
        <v>105.75</v>
      </c>
      <c r="G45" s="275">
        <f>ROUND(IF(MinBase3Day&gt;ROUND(((1-(ThreeDayDiscount_21_Up+FedExExrpessEarnedDiscount))*'3Day Base'!G42),2),ROUND(MinBase3Day*(1+ExpressFuelSurcharge),2),ROUND(((1-(ThreeDayDiscount_21_Up+FedExExrpessEarnedDiscount))*'3Day Base'!G42)*(1+ExpressFuelSurcharge),2))*(1+FedEx_Markup),2)</f>
        <v>120.93</v>
      </c>
      <c r="H45" s="275">
        <f>ROUND(IF(MinBase3Day&gt;ROUND(((1-(ThreeDayDiscount_21_Up+FedExExrpessEarnedDiscount))*'3Day Base'!H42),2),ROUND(MinBase3Day*(1+ExpressFuelSurcharge),2),ROUND(((1-(ThreeDayDiscount_21_Up+FedExExrpessEarnedDiscount))*'3Day Base'!H42)*(1+ExpressFuelSurcharge),2))*(1+FedEx_Markup),2)</f>
        <v>142.99</v>
      </c>
    </row>
    <row r="46" ht="12.75" customHeight="1">
      <c r="A46" s="274">
        <v>41.0</v>
      </c>
      <c r="B46" s="275">
        <f>ROUND(IF(MinBase3Day&gt;ROUND(((1-(ThreeDayDiscount_21_Up+FedExExrpessEarnedDiscount))*'3Day Base'!B43),2),ROUND(MinBase3Day*(1+ExpressFuelSurcharge),2),ROUND(((1-(ThreeDayDiscount_21_Up+FedExExrpessEarnedDiscount))*'3Day Base'!B43)*(1+ExpressFuelSurcharge),2))*(1+FedEx_Markup),2)</f>
        <v>41.46</v>
      </c>
      <c r="C46" s="275">
        <f>ROUND(IF(MinBase3Day&gt;ROUND(((1-(ThreeDayDiscount_21_Up+FedExExrpessEarnedDiscount))*'3Day Base'!C43),2),ROUND(MinBase3Day*(1+ExpressFuelSurcharge),2),ROUND(((1-(ThreeDayDiscount_21_Up+FedExExrpessEarnedDiscount))*'3Day Base'!C43)*(1+ExpressFuelSurcharge),2))*(1+FedEx_Markup),2)</f>
        <v>49.02</v>
      </c>
      <c r="D46" s="275">
        <f>ROUND(IF(MinBase3Day&gt;ROUND(((1-(ThreeDayDiscount_21_Up+FedExExrpessEarnedDiscount))*'3Day Base'!D43),2),ROUND(MinBase3Day*(1+ExpressFuelSurcharge),2),ROUND(((1-(ThreeDayDiscount_21_Up+FedExExrpessEarnedDiscount))*'3Day Base'!D43)*(1+ExpressFuelSurcharge),2))*(1+FedEx_Markup),2)</f>
        <v>60.19</v>
      </c>
      <c r="E46" s="275">
        <f>ROUND(IF(MinBase3Day&gt;ROUND(((1-(ThreeDayDiscount_21_Up+FedExExrpessEarnedDiscount))*'3Day Base'!E43),2),ROUND(MinBase3Day*(1+ExpressFuelSurcharge),2),ROUND(((1-(ThreeDayDiscount_21_Up+FedExExrpessEarnedDiscount))*'3Day Base'!E43)*(1+ExpressFuelSurcharge),2))*(1+FedEx_Markup),2)</f>
        <v>80.01</v>
      </c>
      <c r="F46" s="275">
        <f>ROUND(IF(MinBase3Day&gt;ROUND(((1-(ThreeDayDiscount_21_Up+FedExExrpessEarnedDiscount))*'3Day Base'!F43),2),ROUND(MinBase3Day*(1+ExpressFuelSurcharge),2),ROUND(((1-(ThreeDayDiscount_21_Up+FedExExrpessEarnedDiscount))*'3Day Base'!F43)*(1+ExpressFuelSurcharge),2))*(1+FedEx_Markup),2)</f>
        <v>109.73</v>
      </c>
      <c r="G46" s="275">
        <f>ROUND(IF(MinBase3Day&gt;ROUND(((1-(ThreeDayDiscount_21_Up+FedExExrpessEarnedDiscount))*'3Day Base'!G43),2),ROUND(MinBase3Day*(1+ExpressFuelSurcharge),2),ROUND(((1-(ThreeDayDiscount_21_Up+FedExExrpessEarnedDiscount))*'3Day Base'!G43)*(1+ExpressFuelSurcharge),2))*(1+FedEx_Markup),2)</f>
        <v>121.07</v>
      </c>
      <c r="H46" s="275">
        <f>ROUND(IF(MinBase3Day&gt;ROUND(((1-(ThreeDayDiscount_21_Up+FedExExrpessEarnedDiscount))*'3Day Base'!H43),2),ROUND(MinBase3Day*(1+ExpressFuelSurcharge),2),ROUND(((1-(ThreeDayDiscount_21_Up+FedExExrpessEarnedDiscount))*'3Day Base'!H43)*(1+ExpressFuelSurcharge),2))*(1+FedEx_Markup),2)</f>
        <v>146.05</v>
      </c>
    </row>
    <row r="47" ht="12.75" customHeight="1">
      <c r="A47" s="274">
        <v>42.0</v>
      </c>
      <c r="B47" s="275">
        <f>ROUND(IF(MinBase3Day&gt;ROUND(((1-(ThreeDayDiscount_21_Up+FedExExrpessEarnedDiscount))*'3Day Base'!B44),2),ROUND(MinBase3Day*(1+ExpressFuelSurcharge),2),ROUND(((1-(ThreeDayDiscount_21_Up+FedExExrpessEarnedDiscount))*'3Day Base'!B44)*(1+ExpressFuelSurcharge),2))*(1+FedEx_Markup),2)</f>
        <v>42.23</v>
      </c>
      <c r="C47" s="275">
        <f>ROUND(IF(MinBase3Day&gt;ROUND(((1-(ThreeDayDiscount_21_Up+FedExExrpessEarnedDiscount))*'3Day Base'!C44),2),ROUND(MinBase3Day*(1+ExpressFuelSurcharge),2),ROUND(((1-(ThreeDayDiscount_21_Up+FedExExrpessEarnedDiscount))*'3Day Base'!C44)*(1+ExpressFuelSurcharge),2))*(1+FedEx_Markup),2)</f>
        <v>50.22</v>
      </c>
      <c r="D47" s="275">
        <f>ROUND(IF(MinBase3Day&gt;ROUND(((1-(ThreeDayDiscount_21_Up+FedExExrpessEarnedDiscount))*'3Day Base'!D44),2),ROUND(MinBase3Day*(1+ExpressFuelSurcharge),2),ROUND(((1-(ThreeDayDiscount_21_Up+FedExExrpessEarnedDiscount))*'3Day Base'!D44)*(1+ExpressFuelSurcharge),2))*(1+FedEx_Markup),2)</f>
        <v>61.55</v>
      </c>
      <c r="E47" s="275">
        <f>ROUND(IF(MinBase3Day&gt;ROUND(((1-(ThreeDayDiscount_21_Up+FedExExrpessEarnedDiscount))*'3Day Base'!E44),2),ROUND(MinBase3Day*(1+ExpressFuelSurcharge),2),ROUND(((1-(ThreeDayDiscount_21_Up+FedExExrpessEarnedDiscount))*'3Day Base'!E44)*(1+ExpressFuelSurcharge),2))*(1+FedEx_Markup),2)</f>
        <v>82.05</v>
      </c>
      <c r="F47" s="275">
        <f>ROUND(IF(MinBase3Day&gt;ROUND(((1-(ThreeDayDiscount_21_Up+FedExExrpessEarnedDiscount))*'3Day Base'!F44),2),ROUND(MinBase3Day*(1+ExpressFuelSurcharge),2),ROUND(((1-(ThreeDayDiscount_21_Up+FedExExrpessEarnedDiscount))*'3Day Base'!F44)*(1+ExpressFuelSurcharge),2))*(1+FedEx_Markup),2)</f>
        <v>112.09</v>
      </c>
      <c r="G47" s="275">
        <f>ROUND(IF(MinBase3Day&gt;ROUND(((1-(ThreeDayDiscount_21_Up+FedExExrpessEarnedDiscount))*'3Day Base'!G44),2),ROUND(MinBase3Day*(1+ExpressFuelSurcharge),2),ROUND(((1-(ThreeDayDiscount_21_Up+FedExExrpessEarnedDiscount))*'3Day Base'!G44)*(1+ExpressFuelSurcharge),2))*(1+FedEx_Markup),2)</f>
        <v>123.61</v>
      </c>
      <c r="H47" s="275">
        <f>ROUND(IF(MinBase3Day&gt;ROUND(((1-(ThreeDayDiscount_21_Up+FedExExrpessEarnedDiscount))*'3Day Base'!H44),2),ROUND(MinBase3Day*(1+ExpressFuelSurcharge),2),ROUND(((1-(ThreeDayDiscount_21_Up+FedExExrpessEarnedDiscount))*'3Day Base'!H44)*(1+ExpressFuelSurcharge),2))*(1+FedEx_Markup),2)</f>
        <v>149.2</v>
      </c>
    </row>
    <row r="48" ht="12.75" customHeight="1">
      <c r="A48" s="274">
        <v>43.0</v>
      </c>
      <c r="B48" s="275">
        <f>ROUND(IF(MinBase3Day&gt;ROUND(((1-(ThreeDayDiscount_21_Up+FedExExrpessEarnedDiscount))*'3Day Base'!B45),2),ROUND(MinBase3Day*(1+ExpressFuelSurcharge),2),ROUND(((1-(ThreeDayDiscount_21_Up+FedExExrpessEarnedDiscount))*'3Day Base'!B45)*(1+ExpressFuelSurcharge),2))*(1+FedEx_Markup),2)</f>
        <v>43.04</v>
      </c>
      <c r="C48" s="275">
        <f>ROUND(IF(MinBase3Day&gt;ROUND(((1-(ThreeDayDiscount_21_Up+FedExExrpessEarnedDiscount))*'3Day Base'!C45),2),ROUND(MinBase3Day*(1+ExpressFuelSurcharge),2),ROUND(((1-(ThreeDayDiscount_21_Up+FedExExrpessEarnedDiscount))*'3Day Base'!C45)*(1+ExpressFuelSurcharge),2))*(1+FedEx_Markup),2)</f>
        <v>51.67</v>
      </c>
      <c r="D48" s="275">
        <f>ROUND(IF(MinBase3Day&gt;ROUND(((1-(ThreeDayDiscount_21_Up+FedExExrpessEarnedDiscount))*'3Day Base'!D45),2),ROUND(MinBase3Day*(1+ExpressFuelSurcharge),2),ROUND(((1-(ThreeDayDiscount_21_Up+FedExExrpessEarnedDiscount))*'3Day Base'!D45)*(1+ExpressFuelSurcharge),2))*(1+FedEx_Markup),2)</f>
        <v>62.7</v>
      </c>
      <c r="E48" s="275">
        <f>ROUND(IF(MinBase3Day&gt;ROUND(((1-(ThreeDayDiscount_21_Up+FedExExrpessEarnedDiscount))*'3Day Base'!E45),2),ROUND(MinBase3Day*(1+ExpressFuelSurcharge),2),ROUND(((1-(ThreeDayDiscount_21_Up+FedExExrpessEarnedDiscount))*'3Day Base'!E45)*(1+ExpressFuelSurcharge),2))*(1+FedEx_Markup),2)</f>
        <v>83.58</v>
      </c>
      <c r="F48" s="275">
        <f>ROUND(IF(MinBase3Day&gt;ROUND(((1-(ThreeDayDiscount_21_Up+FedExExrpessEarnedDiscount))*'3Day Base'!F45),2),ROUND(MinBase3Day*(1+ExpressFuelSurcharge),2),ROUND(((1-(ThreeDayDiscount_21_Up+FedExExrpessEarnedDiscount))*'3Day Base'!F45)*(1+ExpressFuelSurcharge),2))*(1+FedEx_Markup),2)</f>
        <v>114.34</v>
      </c>
      <c r="G48" s="275">
        <f>ROUND(IF(MinBase3Day&gt;ROUND(((1-(ThreeDayDiscount_21_Up+FedExExrpessEarnedDiscount))*'3Day Base'!G45),2),ROUND(MinBase3Day*(1+ExpressFuelSurcharge),2),ROUND(((1-(ThreeDayDiscount_21_Up+FedExExrpessEarnedDiscount))*'3Day Base'!G45)*(1+ExpressFuelSurcharge),2))*(1+FedEx_Markup),2)</f>
        <v>126.37</v>
      </c>
      <c r="H48" s="275">
        <f>ROUND(IF(MinBase3Day&gt;ROUND(((1-(ThreeDayDiscount_21_Up+FedExExrpessEarnedDiscount))*'3Day Base'!H45),2),ROUND(MinBase3Day*(1+ExpressFuelSurcharge),2),ROUND(((1-(ThreeDayDiscount_21_Up+FedExExrpessEarnedDiscount))*'3Day Base'!H45)*(1+ExpressFuelSurcharge),2))*(1+FedEx_Markup),2)</f>
        <v>152.67</v>
      </c>
    </row>
    <row r="49" ht="12.75" customHeight="1">
      <c r="A49" s="274">
        <v>44.0</v>
      </c>
      <c r="B49" s="275">
        <f>ROUND(IF(MinBase3Day&gt;ROUND(((1-(ThreeDayDiscount_21_Up+FedExExrpessEarnedDiscount))*'3Day Base'!B46),2),ROUND(MinBase3Day*(1+ExpressFuelSurcharge),2),ROUND(((1-(ThreeDayDiscount_21_Up+FedExExrpessEarnedDiscount))*'3Day Base'!B46)*(1+ExpressFuelSurcharge),2))*(1+FedEx_Markup),2)</f>
        <v>43.37</v>
      </c>
      <c r="C49" s="275">
        <f>ROUND(IF(MinBase3Day&gt;ROUND(((1-(ThreeDayDiscount_21_Up+FedExExrpessEarnedDiscount))*'3Day Base'!C46),2),ROUND(MinBase3Day*(1+ExpressFuelSurcharge),2),ROUND(((1-(ThreeDayDiscount_21_Up+FedExExrpessEarnedDiscount))*'3Day Base'!C46)*(1+ExpressFuelSurcharge),2))*(1+FedEx_Markup),2)</f>
        <v>51.82</v>
      </c>
      <c r="D49" s="275">
        <f>ROUND(IF(MinBase3Day&gt;ROUND(((1-(ThreeDayDiscount_21_Up+FedExExrpessEarnedDiscount))*'3Day Base'!D46),2),ROUND(MinBase3Day*(1+ExpressFuelSurcharge),2),ROUND(((1-(ThreeDayDiscount_21_Up+FedExExrpessEarnedDiscount))*'3Day Base'!D46)*(1+ExpressFuelSurcharge),2))*(1+FedEx_Markup),2)</f>
        <v>64.1</v>
      </c>
      <c r="E49" s="275">
        <f>ROUND(IF(MinBase3Day&gt;ROUND(((1-(ThreeDayDiscount_21_Up+FedExExrpessEarnedDiscount))*'3Day Base'!E46),2),ROUND(MinBase3Day*(1+ExpressFuelSurcharge),2),ROUND(((1-(ThreeDayDiscount_21_Up+FedExExrpessEarnedDiscount))*'3Day Base'!E46)*(1+ExpressFuelSurcharge),2))*(1+FedEx_Markup),2)</f>
        <v>85.3</v>
      </c>
      <c r="F49" s="275">
        <f>ROUND(IF(MinBase3Day&gt;ROUND(((1-(ThreeDayDiscount_21_Up+FedExExrpessEarnedDiscount))*'3Day Base'!F46),2),ROUND(MinBase3Day*(1+ExpressFuelSurcharge),2),ROUND(((1-(ThreeDayDiscount_21_Up+FedExExrpessEarnedDiscount))*'3Day Base'!F46)*(1+ExpressFuelSurcharge),2))*(1+FedEx_Markup),2)</f>
        <v>116.41</v>
      </c>
      <c r="G49" s="275">
        <f>ROUND(IF(MinBase3Day&gt;ROUND(((1-(ThreeDayDiscount_21_Up+FedExExrpessEarnedDiscount))*'3Day Base'!G46),2),ROUND(MinBase3Day*(1+ExpressFuelSurcharge),2),ROUND(((1-(ThreeDayDiscount_21_Up+FedExExrpessEarnedDiscount))*'3Day Base'!G46)*(1+ExpressFuelSurcharge),2))*(1+FedEx_Markup),2)</f>
        <v>129.06</v>
      </c>
      <c r="H49" s="275">
        <f>ROUND(IF(MinBase3Day&gt;ROUND(((1-(ThreeDayDiscount_21_Up+FedExExrpessEarnedDiscount))*'3Day Base'!H46),2),ROUND(MinBase3Day*(1+ExpressFuelSurcharge),2),ROUND(((1-(ThreeDayDiscount_21_Up+FedExExrpessEarnedDiscount))*'3Day Base'!H46)*(1+ExpressFuelSurcharge),2))*(1+FedEx_Markup),2)</f>
        <v>153.02</v>
      </c>
    </row>
    <row r="50" ht="12.75" customHeight="1">
      <c r="A50" s="274">
        <v>45.0</v>
      </c>
      <c r="B50" s="275">
        <f>ROUND(IF(MinBase3Day&gt;ROUND(((1-(ThreeDayDiscount_21_Up+FedExExrpessEarnedDiscount))*'3Day Base'!B47),2),ROUND(MinBase3Day*(1+ExpressFuelSurcharge),2),ROUND(((1-(ThreeDayDiscount_21_Up+FedExExrpessEarnedDiscount))*'3Day Base'!B47)*(1+ExpressFuelSurcharge),2))*(1+FedEx_Markup),2)</f>
        <v>43.49</v>
      </c>
      <c r="C50" s="275">
        <f>ROUND(IF(MinBase3Day&gt;ROUND(((1-(ThreeDayDiscount_21_Up+FedExExrpessEarnedDiscount))*'3Day Base'!C47),2),ROUND(MinBase3Day*(1+ExpressFuelSurcharge),2),ROUND(((1-(ThreeDayDiscount_21_Up+FedExExrpessEarnedDiscount))*'3Day Base'!C47)*(1+ExpressFuelSurcharge),2))*(1+FedEx_Markup),2)</f>
        <v>51.93</v>
      </c>
      <c r="D50" s="275">
        <f>ROUND(IF(MinBase3Day&gt;ROUND(((1-(ThreeDayDiscount_21_Up+FedExExrpessEarnedDiscount))*'3Day Base'!D47),2),ROUND(MinBase3Day*(1+ExpressFuelSurcharge),2),ROUND(((1-(ThreeDayDiscount_21_Up+FedExExrpessEarnedDiscount))*'3Day Base'!D47)*(1+ExpressFuelSurcharge),2))*(1+FedEx_Markup),2)</f>
        <v>64.31</v>
      </c>
      <c r="E50" s="275">
        <f>ROUND(IF(MinBase3Day&gt;ROUND(((1-(ThreeDayDiscount_21_Up+FedExExrpessEarnedDiscount))*'3Day Base'!E47),2),ROUND(MinBase3Day*(1+ExpressFuelSurcharge),2),ROUND(((1-(ThreeDayDiscount_21_Up+FedExExrpessEarnedDiscount))*'3Day Base'!E47)*(1+ExpressFuelSurcharge),2))*(1+FedEx_Markup),2)</f>
        <v>87.17</v>
      </c>
      <c r="F50" s="275">
        <f>ROUND(IF(MinBase3Day&gt;ROUND(((1-(ThreeDayDiscount_21_Up+FedExExrpessEarnedDiscount))*'3Day Base'!F47),2),ROUND(MinBase3Day*(1+ExpressFuelSurcharge),2),ROUND(((1-(ThreeDayDiscount_21_Up+FedExExrpessEarnedDiscount))*'3Day Base'!F47)*(1+ExpressFuelSurcharge),2))*(1+FedEx_Markup),2)</f>
        <v>116.62</v>
      </c>
      <c r="G50" s="275">
        <f>ROUND(IF(MinBase3Day&gt;ROUND(((1-(ThreeDayDiscount_21_Up+FedExExrpessEarnedDiscount))*'3Day Base'!G47),2),ROUND(MinBase3Day*(1+ExpressFuelSurcharge),2),ROUND(((1-(ThreeDayDiscount_21_Up+FedExExrpessEarnedDiscount))*'3Day Base'!G47)*(1+ExpressFuelSurcharge),2))*(1+FedEx_Markup),2)</f>
        <v>131.76</v>
      </c>
      <c r="H50" s="275">
        <f>ROUND(IF(MinBase3Day&gt;ROUND(((1-(ThreeDayDiscount_21_Up+FedExExrpessEarnedDiscount))*'3Day Base'!H47),2),ROUND(MinBase3Day*(1+ExpressFuelSurcharge),2),ROUND(((1-(ThreeDayDiscount_21_Up+FedExExrpessEarnedDiscount))*'3Day Base'!H47)*(1+ExpressFuelSurcharge),2))*(1+FedEx_Markup),2)</f>
        <v>153.5</v>
      </c>
    </row>
    <row r="51" ht="12.75" customHeight="1">
      <c r="A51" s="274">
        <v>46.0</v>
      </c>
      <c r="B51" s="275">
        <f>ROUND(IF(MinBase3Day&gt;ROUND(((1-(ThreeDayDiscount_21_Up+FedExExrpessEarnedDiscount))*'3Day Base'!B48),2),ROUND(MinBase3Day*(1+ExpressFuelSurcharge),2),ROUND(((1-(ThreeDayDiscount_21_Up+FedExExrpessEarnedDiscount))*'3Day Base'!B48)*(1+ExpressFuelSurcharge),2))*(1+FedEx_Markup),2)</f>
        <v>43.61</v>
      </c>
      <c r="C51" s="275">
        <f>ROUND(IF(MinBase3Day&gt;ROUND(((1-(ThreeDayDiscount_21_Up+FedExExrpessEarnedDiscount))*'3Day Base'!C48),2),ROUND(MinBase3Day*(1+ExpressFuelSurcharge),2),ROUND(((1-(ThreeDayDiscount_21_Up+FedExExrpessEarnedDiscount))*'3Day Base'!C48)*(1+ExpressFuelSurcharge),2))*(1+FedEx_Markup),2)</f>
        <v>52.06</v>
      </c>
      <c r="D51" s="275">
        <f>ROUND(IF(MinBase3Day&gt;ROUND(((1-(ThreeDayDiscount_21_Up+FedExExrpessEarnedDiscount))*'3Day Base'!D48),2),ROUND(MinBase3Day*(1+ExpressFuelSurcharge),2),ROUND(((1-(ThreeDayDiscount_21_Up+FedExExrpessEarnedDiscount))*'3Day Base'!D48)*(1+ExpressFuelSurcharge),2))*(1+FedEx_Markup),2)</f>
        <v>68.14</v>
      </c>
      <c r="E51" s="275">
        <f>ROUND(IF(MinBase3Day&gt;ROUND(((1-(ThreeDayDiscount_21_Up+FedExExrpessEarnedDiscount))*'3Day Base'!E48),2),ROUND(MinBase3Day*(1+ExpressFuelSurcharge),2),ROUND(((1-(ThreeDayDiscount_21_Up+FedExExrpessEarnedDiscount))*'3Day Base'!E48)*(1+ExpressFuelSurcharge),2))*(1+FedEx_Markup),2)</f>
        <v>90.29</v>
      </c>
      <c r="F51" s="275">
        <f>ROUND(IF(MinBase3Day&gt;ROUND(((1-(ThreeDayDiscount_21_Up+FedExExrpessEarnedDiscount))*'3Day Base'!F48),2),ROUND(MinBase3Day*(1+ExpressFuelSurcharge),2),ROUND(((1-(ThreeDayDiscount_21_Up+FedExExrpessEarnedDiscount))*'3Day Base'!F48)*(1+ExpressFuelSurcharge),2))*(1+FedEx_Markup),2)</f>
        <v>119.75</v>
      </c>
      <c r="G51" s="275">
        <f>ROUND(IF(MinBase3Day&gt;ROUND(((1-(ThreeDayDiscount_21_Up+FedExExrpessEarnedDiscount))*'3Day Base'!G48),2),ROUND(MinBase3Day*(1+ExpressFuelSurcharge),2),ROUND(((1-(ThreeDayDiscount_21_Up+FedExExrpessEarnedDiscount))*'3Day Base'!G48)*(1+ExpressFuelSurcharge),2))*(1+FedEx_Markup),2)</f>
        <v>136.62</v>
      </c>
      <c r="H51" s="275">
        <f>ROUND(IF(MinBase3Day&gt;ROUND(((1-(ThreeDayDiscount_21_Up+FedExExrpessEarnedDiscount))*'3Day Base'!H48),2),ROUND(MinBase3Day*(1+ExpressFuelSurcharge),2),ROUND(((1-(ThreeDayDiscount_21_Up+FedExExrpessEarnedDiscount))*'3Day Base'!H48)*(1+ExpressFuelSurcharge),2))*(1+FedEx_Markup),2)</f>
        <v>162.91</v>
      </c>
    </row>
    <row r="52" ht="12.75" customHeight="1">
      <c r="A52" s="274">
        <v>47.0</v>
      </c>
      <c r="B52" s="275">
        <f>ROUND(IF(MinBase3Day&gt;ROUND(((1-(ThreeDayDiscount_21_Up+FedExExrpessEarnedDiscount))*'3Day Base'!B49),2),ROUND(MinBase3Day*(1+ExpressFuelSurcharge),2),ROUND(((1-(ThreeDayDiscount_21_Up+FedExExrpessEarnedDiscount))*'3Day Base'!B49)*(1+ExpressFuelSurcharge),2))*(1+FedEx_Markup),2)</f>
        <v>43.73</v>
      </c>
      <c r="C52" s="275">
        <f>ROUND(IF(MinBase3Day&gt;ROUND(((1-(ThreeDayDiscount_21_Up+FedExExrpessEarnedDiscount))*'3Day Base'!C49),2),ROUND(MinBase3Day*(1+ExpressFuelSurcharge),2),ROUND(((1-(ThreeDayDiscount_21_Up+FedExExrpessEarnedDiscount))*'3Day Base'!C49)*(1+ExpressFuelSurcharge),2))*(1+FedEx_Markup),2)</f>
        <v>52.19</v>
      </c>
      <c r="D52" s="275">
        <f>ROUND(IF(MinBase3Day&gt;ROUND(((1-(ThreeDayDiscount_21_Up+FedExExrpessEarnedDiscount))*'3Day Base'!D49),2),ROUND(MinBase3Day*(1+ExpressFuelSurcharge),2),ROUND(((1-(ThreeDayDiscount_21_Up+FedExExrpessEarnedDiscount))*'3Day Base'!D49)*(1+ExpressFuelSurcharge),2))*(1+FedEx_Markup),2)</f>
        <v>68.53</v>
      </c>
      <c r="E52" s="275">
        <f>ROUND(IF(MinBase3Day&gt;ROUND(((1-(ThreeDayDiscount_21_Up+FedExExrpessEarnedDiscount))*'3Day Base'!E49),2),ROUND(MinBase3Day*(1+ExpressFuelSurcharge),2),ROUND(((1-(ThreeDayDiscount_21_Up+FedExExrpessEarnedDiscount))*'3Day Base'!E49)*(1+ExpressFuelSurcharge),2))*(1+FedEx_Markup),2)</f>
        <v>90.6</v>
      </c>
      <c r="F52" s="275">
        <f>ROUND(IF(MinBase3Day&gt;ROUND(((1-(ThreeDayDiscount_21_Up+FedExExrpessEarnedDiscount))*'3Day Base'!F49),2),ROUND(MinBase3Day*(1+ExpressFuelSurcharge),2),ROUND(((1-(ThreeDayDiscount_21_Up+FedExExrpessEarnedDiscount))*'3Day Base'!F49)*(1+ExpressFuelSurcharge),2))*(1+FedEx_Markup),2)</f>
        <v>120.06</v>
      </c>
      <c r="G52" s="275">
        <f>ROUND(IF(MinBase3Day&gt;ROUND(((1-(ThreeDayDiscount_21_Up+FedExExrpessEarnedDiscount))*'3Day Base'!G49),2),ROUND(MinBase3Day*(1+ExpressFuelSurcharge),2),ROUND(((1-(ThreeDayDiscount_21_Up+FedExExrpessEarnedDiscount))*'3Day Base'!G49)*(1+ExpressFuelSurcharge),2))*(1+FedEx_Markup),2)</f>
        <v>137.1</v>
      </c>
      <c r="H52" s="275">
        <f>ROUND(IF(MinBase3Day&gt;ROUND(((1-(ThreeDayDiscount_21_Up+FedExExrpessEarnedDiscount))*'3Day Base'!H49),2),ROUND(MinBase3Day*(1+ExpressFuelSurcharge),2),ROUND(((1-(ThreeDayDiscount_21_Up+FedExExrpessEarnedDiscount))*'3Day Base'!H49)*(1+ExpressFuelSurcharge),2))*(1+FedEx_Markup),2)</f>
        <v>163.86</v>
      </c>
    </row>
    <row r="53" ht="12.75" customHeight="1">
      <c r="A53" s="274">
        <v>48.0</v>
      </c>
      <c r="B53" s="275">
        <f>ROUND(IF(MinBase3Day&gt;ROUND(((1-(ThreeDayDiscount_21_Up+FedExExrpessEarnedDiscount))*'3Day Base'!B50),2),ROUND(MinBase3Day*(1+ExpressFuelSurcharge),2),ROUND(((1-(ThreeDayDiscount_21_Up+FedExExrpessEarnedDiscount))*'3Day Base'!B50)*(1+ExpressFuelSurcharge),2))*(1+FedEx_Markup),2)</f>
        <v>43.86</v>
      </c>
      <c r="C53" s="275">
        <f>ROUND(IF(MinBase3Day&gt;ROUND(((1-(ThreeDayDiscount_21_Up+FedExExrpessEarnedDiscount))*'3Day Base'!C50),2),ROUND(MinBase3Day*(1+ExpressFuelSurcharge),2),ROUND(((1-(ThreeDayDiscount_21_Up+FedExExrpessEarnedDiscount))*'3Day Base'!C50)*(1+ExpressFuelSurcharge),2))*(1+FedEx_Markup),2)</f>
        <v>52.3</v>
      </c>
      <c r="D53" s="275">
        <f>ROUND(IF(MinBase3Day&gt;ROUND(((1-(ThreeDayDiscount_21_Up+FedExExrpessEarnedDiscount))*'3Day Base'!D50),2),ROUND(MinBase3Day*(1+ExpressFuelSurcharge),2),ROUND(((1-(ThreeDayDiscount_21_Up+FedExExrpessEarnedDiscount))*'3Day Base'!D50)*(1+ExpressFuelSurcharge),2))*(1+FedEx_Markup),2)</f>
        <v>68.66</v>
      </c>
      <c r="E53" s="275">
        <f>ROUND(IF(MinBase3Day&gt;ROUND(((1-(ThreeDayDiscount_21_Up+FedExExrpessEarnedDiscount))*'3Day Base'!E50),2),ROUND(MinBase3Day*(1+ExpressFuelSurcharge),2),ROUND(((1-(ThreeDayDiscount_21_Up+FedExExrpessEarnedDiscount))*'3Day Base'!E50)*(1+ExpressFuelSurcharge),2))*(1+FedEx_Markup),2)</f>
        <v>93.6</v>
      </c>
      <c r="F53" s="275">
        <f>ROUND(IF(MinBase3Day&gt;ROUND(((1-(ThreeDayDiscount_21_Up+FedExExrpessEarnedDiscount))*'3Day Base'!F50),2),ROUND(MinBase3Day*(1+ExpressFuelSurcharge),2),ROUND(((1-(ThreeDayDiscount_21_Up+FedExExrpessEarnedDiscount))*'3Day Base'!F50)*(1+ExpressFuelSurcharge),2))*(1+FedEx_Markup),2)</f>
        <v>120.24</v>
      </c>
      <c r="G53" s="275">
        <f>ROUND(IF(MinBase3Day&gt;ROUND(((1-(ThreeDayDiscount_21_Up+FedExExrpessEarnedDiscount))*'3Day Base'!G50),2),ROUND(MinBase3Day*(1+ExpressFuelSurcharge),2),ROUND(((1-(ThreeDayDiscount_21_Up+FedExExrpessEarnedDiscount))*'3Day Base'!G50)*(1+ExpressFuelSurcharge),2))*(1+FedEx_Markup),2)</f>
        <v>146.6</v>
      </c>
      <c r="H53" s="275">
        <f>ROUND(IF(MinBase3Day&gt;ROUND(((1-(ThreeDayDiscount_21_Up+FedExExrpessEarnedDiscount))*'3Day Base'!H50),2),ROUND(MinBase3Day*(1+ExpressFuelSurcharge),2),ROUND(((1-(ThreeDayDiscount_21_Up+FedExExrpessEarnedDiscount))*'3Day Base'!H50)*(1+ExpressFuelSurcharge),2))*(1+FedEx_Markup),2)</f>
        <v>168.5</v>
      </c>
    </row>
    <row r="54" ht="12.75" customHeight="1">
      <c r="A54" s="274">
        <v>49.0</v>
      </c>
      <c r="B54" s="275">
        <f>ROUND(IF(MinBase3Day&gt;ROUND(((1-(ThreeDayDiscount_21_Up+FedExExrpessEarnedDiscount))*'3Day Base'!B51),2),ROUND(MinBase3Day*(1+ExpressFuelSurcharge),2),ROUND(((1-(ThreeDayDiscount_21_Up+FedExExrpessEarnedDiscount))*'3Day Base'!B51)*(1+ExpressFuelSurcharge),2))*(1+FedEx_Markup),2)</f>
        <v>43.98</v>
      </c>
      <c r="C54" s="275">
        <f>ROUND(IF(MinBase3Day&gt;ROUND(((1-(ThreeDayDiscount_21_Up+FedExExrpessEarnedDiscount))*'3Day Base'!C51),2),ROUND(MinBase3Day*(1+ExpressFuelSurcharge),2),ROUND(((1-(ThreeDayDiscount_21_Up+FedExExrpessEarnedDiscount))*'3Day Base'!C51)*(1+ExpressFuelSurcharge),2))*(1+FedEx_Markup),2)</f>
        <v>52.42</v>
      </c>
      <c r="D54" s="275">
        <f>ROUND(IF(MinBase3Day&gt;ROUND(((1-(ThreeDayDiscount_21_Up+FedExExrpessEarnedDiscount))*'3Day Base'!D51),2),ROUND(MinBase3Day*(1+ExpressFuelSurcharge),2),ROUND(((1-(ThreeDayDiscount_21_Up+FedExExrpessEarnedDiscount))*'3Day Base'!D51)*(1+ExpressFuelSurcharge),2))*(1+FedEx_Markup),2)</f>
        <v>68.76</v>
      </c>
      <c r="E54" s="275">
        <f>ROUND(IF(MinBase3Day&gt;ROUND(((1-(ThreeDayDiscount_21_Up+FedExExrpessEarnedDiscount))*'3Day Base'!E51),2),ROUND(MinBase3Day*(1+ExpressFuelSurcharge),2),ROUND(((1-(ThreeDayDiscount_21_Up+FedExExrpessEarnedDiscount))*'3Day Base'!E51)*(1+ExpressFuelSurcharge),2))*(1+FedEx_Markup),2)</f>
        <v>93.91</v>
      </c>
      <c r="F54" s="275">
        <f>ROUND(IF(MinBase3Day&gt;ROUND(((1-(ThreeDayDiscount_21_Up+FedExExrpessEarnedDiscount))*'3Day Base'!F51),2),ROUND(MinBase3Day*(1+ExpressFuelSurcharge),2),ROUND(((1-(ThreeDayDiscount_21_Up+FedExExrpessEarnedDiscount))*'3Day Base'!F51)*(1+ExpressFuelSurcharge),2))*(1+FedEx_Markup),2)</f>
        <v>120.35</v>
      </c>
      <c r="G54" s="275">
        <f>ROUND(IF(MinBase3Day&gt;ROUND(((1-(ThreeDayDiscount_21_Up+FedExExrpessEarnedDiscount))*'3Day Base'!G51),2),ROUND(MinBase3Day*(1+ExpressFuelSurcharge),2),ROUND(((1-(ThreeDayDiscount_21_Up+FedExExrpessEarnedDiscount))*'3Day Base'!G51)*(1+ExpressFuelSurcharge),2))*(1+FedEx_Markup),2)</f>
        <v>148.05</v>
      </c>
      <c r="H54" s="275">
        <f>ROUND(IF(MinBase3Day&gt;ROUND(((1-(ThreeDayDiscount_21_Up+FedExExrpessEarnedDiscount))*'3Day Base'!H51),2),ROUND(MinBase3Day*(1+ExpressFuelSurcharge),2),ROUND(((1-(ThreeDayDiscount_21_Up+FedExExrpessEarnedDiscount))*'3Day Base'!H51)*(1+ExpressFuelSurcharge),2))*(1+FedEx_Markup),2)</f>
        <v>168.97</v>
      </c>
    </row>
    <row r="55" ht="12.75" customHeight="1">
      <c r="A55" s="274">
        <v>50.0</v>
      </c>
      <c r="B55" s="275">
        <f>ROUND(IF(MinBase3Day&gt;ROUND(((1-(ThreeDayDiscount_21_Up+FedExExrpessEarnedDiscount))*'3Day Base'!B52),2),ROUND(MinBase3Day*(1+ExpressFuelSurcharge),2),ROUND(((1-(ThreeDayDiscount_21_Up+FedExExrpessEarnedDiscount))*'3Day Base'!B52)*(1+ExpressFuelSurcharge),2))*(1+FedEx_Markup),2)</f>
        <v>44.18</v>
      </c>
      <c r="C55" s="275">
        <f>ROUND(IF(MinBase3Day&gt;ROUND(((1-(ThreeDayDiscount_21_Up+FedExExrpessEarnedDiscount))*'3Day Base'!C52),2),ROUND(MinBase3Day*(1+ExpressFuelSurcharge),2),ROUND(((1-(ThreeDayDiscount_21_Up+FedExExrpessEarnedDiscount))*'3Day Base'!C52)*(1+ExpressFuelSurcharge),2))*(1+FedEx_Markup),2)</f>
        <v>52.66</v>
      </c>
      <c r="D55" s="275">
        <f>ROUND(IF(MinBase3Day&gt;ROUND(((1-(ThreeDayDiscount_21_Up+FedExExrpessEarnedDiscount))*'3Day Base'!D52),2),ROUND(MinBase3Day*(1+ExpressFuelSurcharge),2),ROUND(((1-(ThreeDayDiscount_21_Up+FedExExrpessEarnedDiscount))*'3Day Base'!D52)*(1+ExpressFuelSurcharge),2))*(1+FedEx_Markup),2)</f>
        <v>69</v>
      </c>
      <c r="E55" s="275">
        <f>ROUND(IF(MinBase3Day&gt;ROUND(((1-(ThreeDayDiscount_21_Up+FedExExrpessEarnedDiscount))*'3Day Base'!E52),2),ROUND(MinBase3Day*(1+ExpressFuelSurcharge),2),ROUND(((1-(ThreeDayDiscount_21_Up+FedExExrpessEarnedDiscount))*'3Day Base'!E52)*(1+ExpressFuelSurcharge),2))*(1+FedEx_Markup),2)</f>
        <v>94.08</v>
      </c>
      <c r="F55" s="275">
        <f>ROUND(IF(MinBase3Day&gt;ROUND(((1-(ThreeDayDiscount_21_Up+FedExExrpessEarnedDiscount))*'3Day Base'!F52),2),ROUND(MinBase3Day*(1+ExpressFuelSurcharge),2),ROUND(((1-(ThreeDayDiscount_21_Up+FedExExrpessEarnedDiscount))*'3Day Base'!F52)*(1+ExpressFuelSurcharge),2))*(1+FedEx_Markup),2)</f>
        <v>120.58</v>
      </c>
      <c r="G55" s="275">
        <f>ROUND(IF(MinBase3Day&gt;ROUND(((1-(ThreeDayDiscount_21_Up+FedExExrpessEarnedDiscount))*'3Day Base'!G52),2),ROUND(MinBase3Day*(1+ExpressFuelSurcharge),2),ROUND(((1-(ThreeDayDiscount_21_Up+FedExExrpessEarnedDiscount))*'3Day Base'!G52)*(1+ExpressFuelSurcharge),2))*(1+FedEx_Markup),2)</f>
        <v>148.34</v>
      </c>
      <c r="H55" s="275">
        <f>ROUND(IF(MinBase3Day&gt;ROUND(((1-(ThreeDayDiscount_21_Up+FedExExrpessEarnedDiscount))*'3Day Base'!H52),2),ROUND(MinBase3Day*(1+ExpressFuelSurcharge),2),ROUND(((1-(ThreeDayDiscount_21_Up+FedExExrpessEarnedDiscount))*'3Day Base'!H52)*(1+ExpressFuelSurcharge),2))*(1+FedEx_Markup),2)</f>
        <v>169.68</v>
      </c>
    </row>
    <row r="56" ht="12.75" customHeight="1">
      <c r="A56" s="274">
        <v>51.0</v>
      </c>
      <c r="B56" s="275">
        <f>ROUND(IF(MinBase3Day&gt;ROUND(((1-(ThreeDayDiscount_21_Up+FedExExrpessEarnedDiscount))*'3Day Base'!B53),2),ROUND(MinBase3Day*(1+ExpressFuelSurcharge),2),ROUND(((1-(ThreeDayDiscount_21_Up+FedExExrpessEarnedDiscount))*'3Day Base'!B53)*(1+ExpressFuelSurcharge),2))*(1+FedEx_Markup),2)</f>
        <v>47.7</v>
      </c>
      <c r="C56" s="275">
        <f>ROUND(IF(MinBase3Day&gt;ROUND(((1-(ThreeDayDiscount_21_Up+FedExExrpessEarnedDiscount))*'3Day Base'!C53),2),ROUND(MinBase3Day*(1+ExpressFuelSurcharge),2),ROUND(((1-(ThreeDayDiscount_21_Up+FedExExrpessEarnedDiscount))*'3Day Base'!C53)*(1+ExpressFuelSurcharge),2))*(1+FedEx_Markup),2)</f>
        <v>57.53</v>
      </c>
      <c r="D56" s="275">
        <f>ROUND(IF(MinBase3Day&gt;ROUND(((1-(ThreeDayDiscount_21_Up+FedExExrpessEarnedDiscount))*'3Day Base'!D53),2),ROUND(MinBase3Day*(1+ExpressFuelSurcharge),2),ROUND(((1-(ThreeDayDiscount_21_Up+FedExExrpessEarnedDiscount))*'3Day Base'!D53)*(1+ExpressFuelSurcharge),2))*(1+FedEx_Markup),2)</f>
        <v>73.63</v>
      </c>
      <c r="E56" s="275">
        <f>ROUND(IF(MinBase3Day&gt;ROUND(((1-(ThreeDayDiscount_21_Up+FedExExrpessEarnedDiscount))*'3Day Base'!E53),2),ROUND(MinBase3Day*(1+ExpressFuelSurcharge),2),ROUND(((1-(ThreeDayDiscount_21_Up+FedExExrpessEarnedDiscount))*'3Day Base'!E53)*(1+ExpressFuelSurcharge),2))*(1+FedEx_Markup),2)</f>
        <v>97.59</v>
      </c>
      <c r="F56" s="275">
        <f>ROUND(IF(MinBase3Day&gt;ROUND(((1-(ThreeDayDiscount_21_Up+FedExExrpessEarnedDiscount))*'3Day Base'!F53),2),ROUND(MinBase3Day*(1+ExpressFuelSurcharge),2),ROUND(((1-(ThreeDayDiscount_21_Up+FedExExrpessEarnedDiscount))*'3Day Base'!F53)*(1+ExpressFuelSurcharge),2))*(1+FedEx_Markup),2)</f>
        <v>125.24</v>
      </c>
      <c r="G56" s="275">
        <f>ROUND(IF(MinBase3Day&gt;ROUND(((1-(ThreeDayDiscount_21_Up+FedExExrpessEarnedDiscount))*'3Day Base'!G53),2),ROUND(MinBase3Day*(1+ExpressFuelSurcharge),2),ROUND(((1-(ThreeDayDiscount_21_Up+FedExExrpessEarnedDiscount))*'3Day Base'!G53)*(1+ExpressFuelSurcharge),2))*(1+FedEx_Markup),2)</f>
        <v>150.1</v>
      </c>
      <c r="H56" s="275">
        <f>ROUND(IF(MinBase3Day&gt;ROUND(((1-(ThreeDayDiscount_21_Up+FedExExrpessEarnedDiscount))*'3Day Base'!H53),2),ROUND(MinBase3Day*(1+ExpressFuelSurcharge),2),ROUND(((1-(ThreeDayDiscount_21_Up+FedExExrpessEarnedDiscount))*'3Day Base'!H53)*(1+ExpressFuelSurcharge),2))*(1+FedEx_Markup),2)</f>
        <v>184.02</v>
      </c>
    </row>
    <row r="57" ht="12.75" customHeight="1">
      <c r="A57" s="274">
        <v>52.0</v>
      </c>
      <c r="B57" s="275">
        <f>ROUND(IF(MinBase3Day&gt;ROUND(((1-(ThreeDayDiscount_21_Up+FedExExrpessEarnedDiscount))*'3Day Base'!B54),2),ROUND(MinBase3Day*(1+ExpressFuelSurcharge),2),ROUND(((1-(ThreeDayDiscount_21_Up+FedExExrpessEarnedDiscount))*'3Day Base'!B54)*(1+ExpressFuelSurcharge),2))*(1+FedEx_Markup),2)</f>
        <v>48.79</v>
      </c>
      <c r="C57" s="275">
        <f>ROUND(IF(MinBase3Day&gt;ROUND(((1-(ThreeDayDiscount_21_Up+FedExExrpessEarnedDiscount))*'3Day Base'!C54),2),ROUND(MinBase3Day*(1+ExpressFuelSurcharge),2),ROUND(((1-(ThreeDayDiscount_21_Up+FedExExrpessEarnedDiscount))*'3Day Base'!C54)*(1+ExpressFuelSurcharge),2))*(1+FedEx_Markup),2)</f>
        <v>58.34</v>
      </c>
      <c r="D57" s="275">
        <f>ROUND(IF(MinBase3Day&gt;ROUND(((1-(ThreeDayDiscount_21_Up+FedExExrpessEarnedDiscount))*'3Day Base'!D54),2),ROUND(MinBase3Day*(1+ExpressFuelSurcharge),2),ROUND(((1-(ThreeDayDiscount_21_Up+FedExExrpessEarnedDiscount))*'3Day Base'!D54)*(1+ExpressFuelSurcharge),2))*(1+FedEx_Markup),2)</f>
        <v>74.09</v>
      </c>
      <c r="E57" s="275">
        <f>ROUND(IF(MinBase3Day&gt;ROUND(((1-(ThreeDayDiscount_21_Up+FedExExrpessEarnedDiscount))*'3Day Base'!E54),2),ROUND(MinBase3Day*(1+ExpressFuelSurcharge),2),ROUND(((1-(ThreeDayDiscount_21_Up+FedExExrpessEarnedDiscount))*'3Day Base'!E54)*(1+ExpressFuelSurcharge),2))*(1+FedEx_Markup),2)</f>
        <v>97.95</v>
      </c>
      <c r="F57" s="275">
        <f>ROUND(IF(MinBase3Day&gt;ROUND(((1-(ThreeDayDiscount_21_Up+FedExExrpessEarnedDiscount))*'3Day Base'!F54),2),ROUND(MinBase3Day*(1+ExpressFuelSurcharge),2),ROUND(((1-(ThreeDayDiscount_21_Up+FedExExrpessEarnedDiscount))*'3Day Base'!F54)*(1+ExpressFuelSurcharge),2))*(1+FedEx_Markup),2)</f>
        <v>140.1</v>
      </c>
      <c r="G57" s="275">
        <f>ROUND(IF(MinBase3Day&gt;ROUND(((1-(ThreeDayDiscount_21_Up+FedExExrpessEarnedDiscount))*'3Day Base'!G54),2),ROUND(MinBase3Day*(1+ExpressFuelSurcharge),2),ROUND(((1-(ThreeDayDiscount_21_Up+FedExExrpessEarnedDiscount))*'3Day Base'!G54)*(1+ExpressFuelSurcharge),2))*(1+FedEx_Markup),2)</f>
        <v>150.37</v>
      </c>
      <c r="H57" s="275">
        <f>ROUND(IF(MinBase3Day&gt;ROUND(((1-(ThreeDayDiscount_21_Up+FedExExrpessEarnedDiscount))*'3Day Base'!H54),2),ROUND(MinBase3Day*(1+ExpressFuelSurcharge),2),ROUND(((1-(ThreeDayDiscount_21_Up+FedExExrpessEarnedDiscount))*'3Day Base'!H54)*(1+ExpressFuelSurcharge),2))*(1+FedEx_Markup),2)</f>
        <v>185.47</v>
      </c>
    </row>
    <row r="58" ht="12.75" customHeight="1">
      <c r="A58" s="274">
        <v>53.0</v>
      </c>
      <c r="B58" s="275">
        <f>ROUND(IF(MinBase3Day&gt;ROUND(((1-(ThreeDayDiscount_21_Up+FedExExrpessEarnedDiscount))*'3Day Base'!B55),2),ROUND(MinBase3Day*(1+ExpressFuelSurcharge),2),ROUND(((1-(ThreeDayDiscount_21_Up+FedExExrpessEarnedDiscount))*'3Day Base'!B55)*(1+ExpressFuelSurcharge),2))*(1+FedEx_Markup),2)</f>
        <v>50.68</v>
      </c>
      <c r="C58" s="275">
        <f>ROUND(IF(MinBase3Day&gt;ROUND(((1-(ThreeDayDiscount_21_Up+FedExExrpessEarnedDiscount))*'3Day Base'!C55),2),ROUND(MinBase3Day*(1+ExpressFuelSurcharge),2),ROUND(((1-(ThreeDayDiscount_21_Up+FedExExrpessEarnedDiscount))*'3Day Base'!C55)*(1+ExpressFuelSurcharge),2))*(1+FedEx_Markup),2)</f>
        <v>62.11</v>
      </c>
      <c r="D58" s="275">
        <f>ROUND(IF(MinBase3Day&gt;ROUND(((1-(ThreeDayDiscount_21_Up+FedExExrpessEarnedDiscount))*'3Day Base'!D55),2),ROUND(MinBase3Day*(1+ExpressFuelSurcharge),2),ROUND(((1-(ThreeDayDiscount_21_Up+FedExExrpessEarnedDiscount))*'3Day Base'!D55)*(1+ExpressFuelSurcharge),2))*(1+FedEx_Markup),2)</f>
        <v>75.19</v>
      </c>
      <c r="E58" s="275">
        <f>ROUND(IF(MinBase3Day&gt;ROUND(((1-(ThreeDayDiscount_21_Up+FedExExrpessEarnedDiscount))*'3Day Base'!E55),2),ROUND(MinBase3Day*(1+ExpressFuelSurcharge),2),ROUND(((1-(ThreeDayDiscount_21_Up+FedExExrpessEarnedDiscount))*'3Day Base'!E55)*(1+ExpressFuelSurcharge),2))*(1+FedEx_Markup),2)</f>
        <v>103.39</v>
      </c>
      <c r="F58" s="275">
        <f>ROUND(IF(MinBase3Day&gt;ROUND(((1-(ThreeDayDiscount_21_Up+FedExExrpessEarnedDiscount))*'3Day Base'!F55),2),ROUND(MinBase3Day*(1+ExpressFuelSurcharge),2),ROUND(((1-(ThreeDayDiscount_21_Up+FedExExrpessEarnedDiscount))*'3Day Base'!F55)*(1+ExpressFuelSurcharge),2))*(1+FedEx_Markup),2)</f>
        <v>141.61</v>
      </c>
      <c r="G58" s="275">
        <f>ROUND(IF(MinBase3Day&gt;ROUND(((1-(ThreeDayDiscount_21_Up+FedExExrpessEarnedDiscount))*'3Day Base'!G55),2),ROUND(MinBase3Day*(1+ExpressFuelSurcharge),2),ROUND(((1-(ThreeDayDiscount_21_Up+FedExExrpessEarnedDiscount))*'3Day Base'!G55)*(1+ExpressFuelSurcharge),2))*(1+FedEx_Markup),2)</f>
        <v>150.68</v>
      </c>
      <c r="H58" s="275">
        <f>ROUND(IF(MinBase3Day&gt;ROUND(((1-(ThreeDayDiscount_21_Up+FedExExrpessEarnedDiscount))*'3Day Base'!H55),2),ROUND(MinBase3Day*(1+ExpressFuelSurcharge),2),ROUND(((1-(ThreeDayDiscount_21_Up+FedExExrpessEarnedDiscount))*'3Day Base'!H55)*(1+ExpressFuelSurcharge),2))*(1+FedEx_Markup),2)</f>
        <v>190.19</v>
      </c>
    </row>
    <row r="59" ht="12.75" customHeight="1">
      <c r="A59" s="274">
        <v>54.0</v>
      </c>
      <c r="B59" s="275">
        <f>ROUND(IF(MinBase3Day&gt;ROUND(((1-(ThreeDayDiscount_21_Up+FedExExrpessEarnedDiscount))*'3Day Base'!B56),2),ROUND(MinBase3Day*(1+ExpressFuelSurcharge),2),ROUND(((1-(ThreeDayDiscount_21_Up+FedExExrpessEarnedDiscount))*'3Day Base'!B56)*(1+ExpressFuelSurcharge),2))*(1+FedEx_Markup),2)</f>
        <v>50.96</v>
      </c>
      <c r="C59" s="275">
        <f>ROUND(IF(MinBase3Day&gt;ROUND(((1-(ThreeDayDiscount_21_Up+FedExExrpessEarnedDiscount))*'3Day Base'!C56),2),ROUND(MinBase3Day*(1+ExpressFuelSurcharge),2),ROUND(((1-(ThreeDayDiscount_21_Up+FedExExrpessEarnedDiscount))*'3Day Base'!C56)*(1+ExpressFuelSurcharge),2))*(1+FedEx_Markup),2)</f>
        <v>62.5</v>
      </c>
      <c r="D59" s="275">
        <f>ROUND(IF(MinBase3Day&gt;ROUND(((1-(ThreeDayDiscount_21_Up+FedExExrpessEarnedDiscount))*'3Day Base'!D56),2),ROUND(MinBase3Day*(1+ExpressFuelSurcharge),2),ROUND(((1-(ThreeDayDiscount_21_Up+FedExExrpessEarnedDiscount))*'3Day Base'!D56)*(1+ExpressFuelSurcharge),2))*(1+FedEx_Markup),2)</f>
        <v>75.46</v>
      </c>
      <c r="E59" s="275">
        <f>ROUND(IF(MinBase3Day&gt;ROUND(((1-(ThreeDayDiscount_21_Up+FedExExrpessEarnedDiscount))*'3Day Base'!E56),2),ROUND(MinBase3Day*(1+ExpressFuelSurcharge),2),ROUND(((1-(ThreeDayDiscount_21_Up+FedExExrpessEarnedDiscount))*'3Day Base'!E56)*(1+ExpressFuelSurcharge),2))*(1+FedEx_Markup),2)</f>
        <v>105.31</v>
      </c>
      <c r="F59" s="275">
        <f>ROUND(IF(MinBase3Day&gt;ROUND(((1-(ThreeDayDiscount_21_Up+FedExExrpessEarnedDiscount))*'3Day Base'!F56),2),ROUND(MinBase3Day*(1+ExpressFuelSurcharge),2),ROUND(((1-(ThreeDayDiscount_21_Up+FedExExrpessEarnedDiscount))*'3Day Base'!F56)*(1+ExpressFuelSurcharge),2))*(1+FedEx_Markup),2)</f>
        <v>141.92</v>
      </c>
      <c r="G59" s="275">
        <f>ROUND(IF(MinBase3Day&gt;ROUND(((1-(ThreeDayDiscount_21_Up+FedExExrpessEarnedDiscount))*'3Day Base'!G56),2),ROUND(MinBase3Day*(1+ExpressFuelSurcharge),2),ROUND(((1-(ThreeDayDiscount_21_Up+FedExExrpessEarnedDiscount))*'3Day Base'!G56)*(1+ExpressFuelSurcharge),2))*(1+FedEx_Markup),2)</f>
        <v>156.89</v>
      </c>
      <c r="H59" s="275">
        <f>ROUND(IF(MinBase3Day&gt;ROUND(((1-(ThreeDayDiscount_21_Up+FedExExrpessEarnedDiscount))*'3Day Base'!H56),2),ROUND(MinBase3Day*(1+ExpressFuelSurcharge),2),ROUND(((1-(ThreeDayDiscount_21_Up+FedExExrpessEarnedDiscount))*'3Day Base'!H56)*(1+ExpressFuelSurcharge),2))*(1+FedEx_Markup),2)</f>
        <v>190.66</v>
      </c>
    </row>
    <row r="60" ht="12.75" customHeight="1">
      <c r="A60" s="274">
        <v>55.0</v>
      </c>
      <c r="B60" s="275">
        <f>ROUND(IF(MinBase3Day&gt;ROUND(((1-(ThreeDayDiscount_21_Up+FedExExrpessEarnedDiscount))*'3Day Base'!B57),2),ROUND(MinBase3Day*(1+ExpressFuelSurcharge),2),ROUND(((1-(ThreeDayDiscount_21_Up+FedExExrpessEarnedDiscount))*'3Day Base'!B57)*(1+ExpressFuelSurcharge),2))*(1+FedEx_Markup),2)</f>
        <v>51.21</v>
      </c>
      <c r="C60" s="275">
        <f>ROUND(IF(MinBase3Day&gt;ROUND(((1-(ThreeDayDiscount_21_Up+FedExExrpessEarnedDiscount))*'3Day Base'!C57),2),ROUND(MinBase3Day*(1+ExpressFuelSurcharge),2),ROUND(((1-(ThreeDayDiscount_21_Up+FedExExrpessEarnedDiscount))*'3Day Base'!C57)*(1+ExpressFuelSurcharge),2))*(1+FedEx_Markup),2)</f>
        <v>62.74</v>
      </c>
      <c r="D60" s="275">
        <f>ROUND(IF(MinBase3Day&gt;ROUND(((1-(ThreeDayDiscount_21_Up+FedExExrpessEarnedDiscount))*'3Day Base'!D57),2),ROUND(MinBase3Day*(1+ExpressFuelSurcharge),2),ROUND(((1-(ThreeDayDiscount_21_Up+FedExExrpessEarnedDiscount))*'3Day Base'!D57)*(1+ExpressFuelSurcharge),2))*(1+FedEx_Markup),2)</f>
        <v>77.83</v>
      </c>
      <c r="E60" s="275">
        <f>ROUND(IF(MinBase3Day&gt;ROUND(((1-(ThreeDayDiscount_21_Up+FedExExrpessEarnedDiscount))*'3Day Base'!E57),2),ROUND(MinBase3Day*(1+ExpressFuelSurcharge),2),ROUND(((1-(ThreeDayDiscount_21_Up+FedExExrpessEarnedDiscount))*'3Day Base'!E57)*(1+ExpressFuelSurcharge),2))*(1+FedEx_Markup),2)</f>
        <v>106.87</v>
      </c>
      <c r="F60" s="275">
        <f>ROUND(IF(MinBase3Day&gt;ROUND(((1-(ThreeDayDiscount_21_Up+FedExExrpessEarnedDiscount))*'3Day Base'!F57),2),ROUND(MinBase3Day*(1+ExpressFuelSurcharge),2),ROUND(((1-(ThreeDayDiscount_21_Up+FedExExrpessEarnedDiscount))*'3Day Base'!F57)*(1+ExpressFuelSurcharge),2))*(1+FedEx_Markup),2)</f>
        <v>142.29</v>
      </c>
      <c r="G60" s="275">
        <f>ROUND(IF(MinBase3Day&gt;ROUND(((1-(ThreeDayDiscount_21_Up+FedExExrpessEarnedDiscount))*'3Day Base'!G57),2),ROUND(MinBase3Day*(1+ExpressFuelSurcharge),2),ROUND(((1-(ThreeDayDiscount_21_Up+FedExExrpessEarnedDiscount))*'3Day Base'!G57)*(1+ExpressFuelSurcharge),2))*(1+FedEx_Markup),2)</f>
        <v>157.53</v>
      </c>
      <c r="H60" s="275">
        <f>ROUND(IF(MinBase3Day&gt;ROUND(((1-(ThreeDayDiscount_21_Up+FedExExrpessEarnedDiscount))*'3Day Base'!H57),2),ROUND(MinBase3Day*(1+ExpressFuelSurcharge),2),ROUND(((1-(ThreeDayDiscount_21_Up+FedExExrpessEarnedDiscount))*'3Day Base'!H57)*(1+ExpressFuelSurcharge),2))*(1+FedEx_Markup),2)</f>
        <v>190.92</v>
      </c>
    </row>
    <row r="61" ht="12.75" customHeight="1">
      <c r="A61" s="274">
        <v>56.0</v>
      </c>
      <c r="B61" s="275">
        <f>ROUND(IF(MinBase3Day&gt;ROUND(((1-(ThreeDayDiscount_21_Up+FedExExrpessEarnedDiscount))*'3Day Base'!B58),2),ROUND(MinBase3Day*(1+ExpressFuelSurcharge),2),ROUND(((1-(ThreeDayDiscount_21_Up+FedExExrpessEarnedDiscount))*'3Day Base'!B58)*(1+ExpressFuelSurcharge),2))*(1+FedEx_Markup),2)</f>
        <v>51.45</v>
      </c>
      <c r="C61" s="275">
        <f>ROUND(IF(MinBase3Day&gt;ROUND(((1-(ThreeDayDiscount_21_Up+FedExExrpessEarnedDiscount))*'3Day Base'!C58),2),ROUND(MinBase3Day*(1+ExpressFuelSurcharge),2),ROUND(((1-(ThreeDayDiscount_21_Up+FedExExrpessEarnedDiscount))*'3Day Base'!C58)*(1+ExpressFuelSurcharge),2))*(1+FedEx_Markup),2)</f>
        <v>62.99</v>
      </c>
      <c r="D61" s="275">
        <f>ROUND(IF(MinBase3Day&gt;ROUND(((1-(ThreeDayDiscount_21_Up+FedExExrpessEarnedDiscount))*'3Day Base'!D58),2),ROUND(MinBase3Day*(1+ExpressFuelSurcharge),2),ROUND(((1-(ThreeDayDiscount_21_Up+FedExExrpessEarnedDiscount))*'3Day Base'!D58)*(1+ExpressFuelSurcharge),2))*(1+FedEx_Markup),2)</f>
        <v>78.11</v>
      </c>
      <c r="E61" s="275">
        <f>ROUND(IF(MinBase3Day&gt;ROUND(((1-(ThreeDayDiscount_21_Up+FedExExrpessEarnedDiscount))*'3Day Base'!E58),2),ROUND(MinBase3Day*(1+ExpressFuelSurcharge),2),ROUND(((1-(ThreeDayDiscount_21_Up+FedExExrpessEarnedDiscount))*'3Day Base'!E58)*(1+ExpressFuelSurcharge),2))*(1+FedEx_Markup),2)</f>
        <v>108.8</v>
      </c>
      <c r="F61" s="275">
        <f>ROUND(IF(MinBase3Day&gt;ROUND(((1-(ThreeDayDiscount_21_Up+FedExExrpessEarnedDiscount))*'3Day Base'!F58),2),ROUND(MinBase3Day*(1+ExpressFuelSurcharge),2),ROUND(((1-(ThreeDayDiscount_21_Up+FedExExrpessEarnedDiscount))*'3Day Base'!F58)*(1+ExpressFuelSurcharge),2))*(1+FedEx_Markup),2)</f>
        <v>149.39</v>
      </c>
      <c r="G61" s="275">
        <f>ROUND(IF(MinBase3Day&gt;ROUND(((1-(ThreeDayDiscount_21_Up+FedExExrpessEarnedDiscount))*'3Day Base'!G58),2),ROUND(MinBase3Day*(1+ExpressFuelSurcharge),2),ROUND(((1-(ThreeDayDiscount_21_Up+FedExExrpessEarnedDiscount))*'3Day Base'!G58)*(1+ExpressFuelSurcharge),2))*(1+FedEx_Markup),2)</f>
        <v>158.26</v>
      </c>
      <c r="H61" s="275">
        <f>ROUND(IF(MinBase3Day&gt;ROUND(((1-(ThreeDayDiscount_21_Up+FedExExrpessEarnedDiscount))*'3Day Base'!H58),2),ROUND(MinBase3Day*(1+ExpressFuelSurcharge),2),ROUND(((1-(ThreeDayDiscount_21_Up+FedExExrpessEarnedDiscount))*'3Day Base'!H58)*(1+ExpressFuelSurcharge),2))*(1+FedEx_Markup),2)</f>
        <v>191.2</v>
      </c>
    </row>
    <row r="62" ht="12.75" customHeight="1">
      <c r="A62" s="274">
        <v>57.0</v>
      </c>
      <c r="B62" s="275">
        <f>ROUND(IF(MinBase3Day&gt;ROUND(((1-(ThreeDayDiscount_21_Up+FedExExrpessEarnedDiscount))*'3Day Base'!B59),2),ROUND(MinBase3Day*(1+ExpressFuelSurcharge),2),ROUND(((1-(ThreeDayDiscount_21_Up+FedExExrpessEarnedDiscount))*'3Day Base'!B59)*(1+ExpressFuelSurcharge),2))*(1+FedEx_Markup),2)</f>
        <v>51.69</v>
      </c>
      <c r="C62" s="275">
        <f>ROUND(IF(MinBase3Day&gt;ROUND(((1-(ThreeDayDiscount_21_Up+FedExExrpessEarnedDiscount))*'3Day Base'!C59),2),ROUND(MinBase3Day*(1+ExpressFuelSurcharge),2),ROUND(((1-(ThreeDayDiscount_21_Up+FedExExrpessEarnedDiscount))*'3Day Base'!C59)*(1+ExpressFuelSurcharge),2))*(1+FedEx_Markup),2)</f>
        <v>63.23</v>
      </c>
      <c r="D62" s="275">
        <f>ROUND(IF(MinBase3Day&gt;ROUND(((1-(ThreeDayDiscount_21_Up+FedExExrpessEarnedDiscount))*'3Day Base'!D59),2),ROUND(MinBase3Day*(1+ExpressFuelSurcharge),2),ROUND(((1-(ThreeDayDiscount_21_Up+FedExExrpessEarnedDiscount))*'3Day Base'!D59)*(1+ExpressFuelSurcharge),2))*(1+FedEx_Markup),2)</f>
        <v>80.06</v>
      </c>
      <c r="E62" s="275">
        <f>ROUND(IF(MinBase3Day&gt;ROUND(((1-(ThreeDayDiscount_21_Up+FedExExrpessEarnedDiscount))*'3Day Base'!E59),2),ROUND(MinBase3Day*(1+ExpressFuelSurcharge),2),ROUND(((1-(ThreeDayDiscount_21_Up+FedExExrpessEarnedDiscount))*'3Day Base'!E59)*(1+ExpressFuelSurcharge),2))*(1+FedEx_Markup),2)</f>
        <v>110.47</v>
      </c>
      <c r="F62" s="275">
        <f>ROUND(IF(MinBase3Day&gt;ROUND(((1-(ThreeDayDiscount_21_Up+FedExExrpessEarnedDiscount))*'3Day Base'!F59),2),ROUND(MinBase3Day*(1+ExpressFuelSurcharge),2),ROUND(((1-(ThreeDayDiscount_21_Up+FedExExrpessEarnedDiscount))*'3Day Base'!F59)*(1+ExpressFuelSurcharge),2))*(1+FedEx_Markup),2)</f>
        <v>150.1</v>
      </c>
      <c r="G62" s="275">
        <f>ROUND(IF(MinBase3Day&gt;ROUND(((1-(ThreeDayDiscount_21_Up+FedExExrpessEarnedDiscount))*'3Day Base'!G59),2),ROUND(MinBase3Day*(1+ExpressFuelSurcharge),2),ROUND(((1-(ThreeDayDiscount_21_Up+FedExExrpessEarnedDiscount))*'3Day Base'!G59)*(1+ExpressFuelSurcharge),2))*(1+FedEx_Markup),2)</f>
        <v>172.99</v>
      </c>
      <c r="H62" s="275">
        <f>ROUND(IF(MinBase3Day&gt;ROUND(((1-(ThreeDayDiscount_21_Up+FedExExrpessEarnedDiscount))*'3Day Base'!H59),2),ROUND(MinBase3Day*(1+ExpressFuelSurcharge),2),ROUND(((1-(ThreeDayDiscount_21_Up+FedExExrpessEarnedDiscount))*'3Day Base'!H59)*(1+ExpressFuelSurcharge),2))*(1+FedEx_Markup),2)</f>
        <v>195.03</v>
      </c>
    </row>
    <row r="63" ht="12.75" customHeight="1">
      <c r="A63" s="274">
        <v>58.0</v>
      </c>
      <c r="B63" s="275">
        <f>ROUND(IF(MinBase3Day&gt;ROUND(((1-(ThreeDayDiscount_21_Up+FedExExrpessEarnedDiscount))*'3Day Base'!B60),2),ROUND(MinBase3Day*(1+ExpressFuelSurcharge),2),ROUND(((1-(ThreeDayDiscount_21_Up+FedExExrpessEarnedDiscount))*'3Day Base'!B60)*(1+ExpressFuelSurcharge),2))*(1+FedEx_Markup),2)</f>
        <v>51.95</v>
      </c>
      <c r="C63" s="275">
        <f>ROUND(IF(MinBase3Day&gt;ROUND(((1-(ThreeDayDiscount_21_Up+FedExExrpessEarnedDiscount))*'3Day Base'!C60),2),ROUND(MinBase3Day*(1+ExpressFuelSurcharge),2),ROUND(((1-(ThreeDayDiscount_21_Up+FedExExrpessEarnedDiscount))*'3Day Base'!C60)*(1+ExpressFuelSurcharge),2))*(1+FedEx_Markup),2)</f>
        <v>63.48</v>
      </c>
      <c r="D63" s="275">
        <f>ROUND(IF(MinBase3Day&gt;ROUND(((1-(ThreeDayDiscount_21_Up+FedExExrpessEarnedDiscount))*'3Day Base'!D60),2),ROUND(MinBase3Day*(1+ExpressFuelSurcharge),2),ROUND(((1-(ThreeDayDiscount_21_Up+FedExExrpessEarnedDiscount))*'3Day Base'!D60)*(1+ExpressFuelSurcharge),2))*(1+FedEx_Markup),2)</f>
        <v>80.34</v>
      </c>
      <c r="E63" s="275">
        <f>ROUND(IF(MinBase3Day&gt;ROUND(((1-(ThreeDayDiscount_21_Up+FedExExrpessEarnedDiscount))*'3Day Base'!E60),2),ROUND(MinBase3Day*(1+ExpressFuelSurcharge),2),ROUND(((1-(ThreeDayDiscount_21_Up+FedExExrpessEarnedDiscount))*'3Day Base'!E60)*(1+ExpressFuelSurcharge),2))*(1+FedEx_Markup),2)</f>
        <v>112.21</v>
      </c>
      <c r="F63" s="275">
        <f>ROUND(IF(MinBase3Day&gt;ROUND(((1-(ThreeDayDiscount_21_Up+FedExExrpessEarnedDiscount))*'3Day Base'!F60),2),ROUND(MinBase3Day*(1+ExpressFuelSurcharge),2),ROUND(((1-(ThreeDayDiscount_21_Up+FedExExrpessEarnedDiscount))*'3Day Base'!F60)*(1+ExpressFuelSurcharge),2))*(1+FedEx_Markup),2)</f>
        <v>154.82</v>
      </c>
      <c r="G63" s="275">
        <f>ROUND(IF(MinBase3Day&gt;ROUND(((1-(ThreeDayDiscount_21_Up+FedExExrpessEarnedDiscount))*'3Day Base'!G60),2),ROUND(MinBase3Day*(1+ExpressFuelSurcharge),2),ROUND(((1-(ThreeDayDiscount_21_Up+FedExExrpessEarnedDiscount))*'3Day Base'!G60)*(1+ExpressFuelSurcharge),2))*(1+FedEx_Markup),2)</f>
        <v>174.48</v>
      </c>
      <c r="H63" s="275">
        <f>ROUND(IF(MinBase3Day&gt;ROUND(((1-(ThreeDayDiscount_21_Up+FedExExrpessEarnedDiscount))*'3Day Base'!H60),2),ROUND(MinBase3Day*(1+ExpressFuelSurcharge),2),ROUND(((1-(ThreeDayDiscount_21_Up+FedExExrpessEarnedDiscount))*'3Day Base'!H60)*(1+ExpressFuelSurcharge),2))*(1+FedEx_Markup),2)</f>
        <v>198.21</v>
      </c>
    </row>
    <row r="64" ht="12.75" customHeight="1">
      <c r="A64" s="274">
        <v>59.0</v>
      </c>
      <c r="B64" s="275">
        <f>ROUND(IF(MinBase3Day&gt;ROUND(((1-(ThreeDayDiscount_21_Up+FedExExrpessEarnedDiscount))*'3Day Base'!B61),2),ROUND(MinBase3Day*(1+ExpressFuelSurcharge),2),ROUND(((1-(ThreeDayDiscount_21_Up+FedExExrpessEarnedDiscount))*'3Day Base'!B61)*(1+ExpressFuelSurcharge),2))*(1+FedEx_Markup),2)</f>
        <v>52.19</v>
      </c>
      <c r="C64" s="275">
        <f>ROUND(IF(MinBase3Day&gt;ROUND(((1-(ThreeDayDiscount_21_Up+FedExExrpessEarnedDiscount))*'3Day Base'!C61),2),ROUND(MinBase3Day*(1+ExpressFuelSurcharge),2),ROUND(((1-(ThreeDayDiscount_21_Up+FedExExrpessEarnedDiscount))*'3Day Base'!C61)*(1+ExpressFuelSurcharge),2))*(1+FedEx_Markup),2)</f>
        <v>63.77</v>
      </c>
      <c r="D64" s="275">
        <f>ROUND(IF(MinBase3Day&gt;ROUND(((1-(ThreeDayDiscount_21_Up+FedExExrpessEarnedDiscount))*'3Day Base'!D61),2),ROUND(MinBase3Day*(1+ExpressFuelSurcharge),2),ROUND(((1-(ThreeDayDiscount_21_Up+FedExExrpessEarnedDiscount))*'3Day Base'!D61)*(1+ExpressFuelSurcharge),2))*(1+FedEx_Markup),2)</f>
        <v>80.6</v>
      </c>
      <c r="E64" s="275">
        <f>ROUND(IF(MinBase3Day&gt;ROUND(((1-(ThreeDayDiscount_21_Up+FedExExrpessEarnedDiscount))*'3Day Base'!E61),2),ROUND(MinBase3Day*(1+ExpressFuelSurcharge),2),ROUND(((1-(ThreeDayDiscount_21_Up+FedExExrpessEarnedDiscount))*'3Day Base'!E61)*(1+ExpressFuelSurcharge),2))*(1+FedEx_Markup),2)</f>
        <v>113.62</v>
      </c>
      <c r="F64" s="275">
        <f>ROUND(IF(MinBase3Day&gt;ROUND(((1-(ThreeDayDiscount_21_Up+FedExExrpessEarnedDiscount))*'3Day Base'!F61),2),ROUND(MinBase3Day*(1+ExpressFuelSurcharge),2),ROUND(((1-(ThreeDayDiscount_21_Up+FedExExrpessEarnedDiscount))*'3Day Base'!F61)*(1+ExpressFuelSurcharge),2))*(1+FedEx_Markup),2)</f>
        <v>155.3</v>
      </c>
      <c r="G64" s="275">
        <f>ROUND(IF(MinBase3Day&gt;ROUND(((1-(ThreeDayDiscount_21_Up+FedExExrpessEarnedDiscount))*'3Day Base'!G61),2),ROUND(MinBase3Day*(1+ExpressFuelSurcharge),2),ROUND(((1-(ThreeDayDiscount_21_Up+FedExExrpessEarnedDiscount))*'3Day Base'!G61)*(1+ExpressFuelSurcharge),2))*(1+FedEx_Markup),2)</f>
        <v>177.22</v>
      </c>
      <c r="H64" s="275">
        <f>ROUND(IF(MinBase3Day&gt;ROUND(((1-(ThreeDayDiscount_21_Up+FedExExrpessEarnedDiscount))*'3Day Base'!H61),2),ROUND(MinBase3Day*(1+ExpressFuelSurcharge),2),ROUND(((1-(ThreeDayDiscount_21_Up+FedExExrpessEarnedDiscount))*'3Day Base'!H61)*(1+ExpressFuelSurcharge),2))*(1+FedEx_Markup),2)</f>
        <v>201.86</v>
      </c>
    </row>
    <row r="65" ht="12.75" customHeight="1">
      <c r="A65" s="274">
        <v>60.0</v>
      </c>
      <c r="B65" s="275">
        <f>ROUND(IF(MinBase3Day&gt;ROUND(((1-(ThreeDayDiscount_21_Up+FedExExrpessEarnedDiscount))*'3Day Base'!B62),2),ROUND(MinBase3Day*(1+ExpressFuelSurcharge),2),ROUND(((1-(ThreeDayDiscount_21_Up+FedExExrpessEarnedDiscount))*'3Day Base'!B62)*(1+ExpressFuelSurcharge),2))*(1+FedEx_Markup),2)</f>
        <v>53.13</v>
      </c>
      <c r="C65" s="275">
        <f>ROUND(IF(MinBase3Day&gt;ROUND(((1-(ThreeDayDiscount_21_Up+FedExExrpessEarnedDiscount))*'3Day Base'!C62),2),ROUND(MinBase3Day*(1+ExpressFuelSurcharge),2),ROUND(((1-(ThreeDayDiscount_21_Up+FedExExrpessEarnedDiscount))*'3Day Base'!C62)*(1+ExpressFuelSurcharge),2))*(1+FedEx_Markup),2)</f>
        <v>65.83</v>
      </c>
      <c r="D65" s="275">
        <f>ROUND(IF(MinBase3Day&gt;ROUND(((1-(ThreeDayDiscount_21_Up+FedExExrpessEarnedDiscount))*'3Day Base'!D62),2),ROUND(MinBase3Day*(1+ExpressFuelSurcharge),2),ROUND(((1-(ThreeDayDiscount_21_Up+FedExExrpessEarnedDiscount))*'3Day Base'!D62)*(1+ExpressFuelSurcharge),2))*(1+FedEx_Markup),2)</f>
        <v>80.88</v>
      </c>
      <c r="E65" s="275">
        <f>ROUND(IF(MinBase3Day&gt;ROUND(((1-(ThreeDayDiscount_21_Up+FedExExrpessEarnedDiscount))*'3Day Base'!E62),2),ROUND(MinBase3Day*(1+ExpressFuelSurcharge),2),ROUND(((1-(ThreeDayDiscount_21_Up+FedExExrpessEarnedDiscount))*'3Day Base'!E62)*(1+ExpressFuelSurcharge),2))*(1+FedEx_Markup),2)</f>
        <v>113.91</v>
      </c>
      <c r="F65" s="275">
        <f>ROUND(IF(MinBase3Day&gt;ROUND(((1-(ThreeDayDiscount_21_Up+FedExExrpessEarnedDiscount))*'3Day Base'!F62),2),ROUND(MinBase3Day*(1+ExpressFuelSurcharge),2),ROUND(((1-(ThreeDayDiscount_21_Up+FedExExrpessEarnedDiscount))*'3Day Base'!F62)*(1+ExpressFuelSurcharge),2))*(1+FedEx_Markup),2)</f>
        <v>155.72</v>
      </c>
      <c r="G65" s="275">
        <f>ROUND(IF(MinBase3Day&gt;ROUND(((1-(ThreeDayDiscount_21_Up+FedExExrpessEarnedDiscount))*'3Day Base'!G62),2),ROUND(MinBase3Day*(1+ExpressFuelSurcharge),2),ROUND(((1-(ThreeDayDiscount_21_Up+FedExExrpessEarnedDiscount))*'3Day Base'!G62)*(1+ExpressFuelSurcharge),2))*(1+FedEx_Markup),2)</f>
        <v>177.51</v>
      </c>
      <c r="H65" s="275">
        <f>ROUND(IF(MinBase3Day&gt;ROUND(((1-(ThreeDayDiscount_21_Up+FedExExrpessEarnedDiscount))*'3Day Base'!H62),2),ROUND(MinBase3Day*(1+ExpressFuelSurcharge),2),ROUND(((1-(ThreeDayDiscount_21_Up+FedExExrpessEarnedDiscount))*'3Day Base'!H62)*(1+ExpressFuelSurcharge),2))*(1+FedEx_Markup),2)</f>
        <v>205.52</v>
      </c>
    </row>
    <row r="66" ht="12.75" customHeight="1">
      <c r="A66" s="274">
        <v>61.0</v>
      </c>
      <c r="B66" s="275">
        <f>ROUND(IF(MinBase3Day&gt;ROUND(((1-(ThreeDayDiscount_21_Up+FedExExrpessEarnedDiscount))*'3Day Base'!B63),2),ROUND(MinBase3Day*(1+ExpressFuelSurcharge),2),ROUND(((1-(ThreeDayDiscount_21_Up+FedExExrpessEarnedDiscount))*'3Day Base'!B63)*(1+ExpressFuelSurcharge),2))*(1+FedEx_Markup),2)</f>
        <v>54.5</v>
      </c>
      <c r="C66" s="275">
        <f>ROUND(IF(MinBase3Day&gt;ROUND(((1-(ThreeDayDiscount_21_Up+FedExExrpessEarnedDiscount))*'3Day Base'!C63),2),ROUND(MinBase3Day*(1+ExpressFuelSurcharge),2),ROUND(((1-(ThreeDayDiscount_21_Up+FedExExrpessEarnedDiscount))*'3Day Base'!C63)*(1+ExpressFuelSurcharge),2))*(1+FedEx_Markup),2)</f>
        <v>67.67</v>
      </c>
      <c r="D66" s="275">
        <f>ROUND(IF(MinBase3Day&gt;ROUND(((1-(ThreeDayDiscount_21_Up+FedExExrpessEarnedDiscount))*'3Day Base'!D63),2),ROUND(MinBase3Day*(1+ExpressFuelSurcharge),2),ROUND(((1-(ThreeDayDiscount_21_Up+FedExExrpessEarnedDiscount))*'3Day Base'!D63)*(1+ExpressFuelSurcharge),2))*(1+FedEx_Markup),2)</f>
        <v>85.17</v>
      </c>
      <c r="E66" s="275">
        <f>ROUND(IF(MinBase3Day&gt;ROUND(((1-(ThreeDayDiscount_21_Up+FedExExrpessEarnedDiscount))*'3Day Base'!E63),2),ROUND(MinBase3Day*(1+ExpressFuelSurcharge),2),ROUND(((1-(ThreeDayDiscount_21_Up+FedExExrpessEarnedDiscount))*'3Day Base'!E63)*(1+ExpressFuelSurcharge),2))*(1+FedEx_Markup),2)</f>
        <v>117.77</v>
      </c>
      <c r="F66" s="275">
        <f>ROUND(IF(MinBase3Day&gt;ROUND(((1-(ThreeDayDiscount_21_Up+FedExExrpessEarnedDiscount))*'3Day Base'!F63),2),ROUND(MinBase3Day*(1+ExpressFuelSurcharge),2),ROUND(((1-(ThreeDayDiscount_21_Up+FedExExrpessEarnedDiscount))*'3Day Base'!F63)*(1+ExpressFuelSurcharge),2))*(1+FedEx_Markup),2)</f>
        <v>156.11</v>
      </c>
      <c r="G66" s="275">
        <f>ROUND(IF(MinBase3Day&gt;ROUND(((1-(ThreeDayDiscount_21_Up+FedExExrpessEarnedDiscount))*'3Day Base'!G63),2),ROUND(MinBase3Day*(1+ExpressFuelSurcharge),2),ROUND(((1-(ThreeDayDiscount_21_Up+FedExExrpessEarnedDiscount))*'3Day Base'!G63)*(1+ExpressFuelSurcharge),2))*(1+FedEx_Markup),2)</f>
        <v>183.29</v>
      </c>
      <c r="H66" s="275">
        <f>ROUND(IF(MinBase3Day&gt;ROUND(((1-(ThreeDayDiscount_21_Up+FedExExrpessEarnedDiscount))*'3Day Base'!H63),2),ROUND(MinBase3Day*(1+ExpressFuelSurcharge),2),ROUND(((1-(ThreeDayDiscount_21_Up+FedExExrpessEarnedDiscount))*'3Day Base'!H63)*(1+ExpressFuelSurcharge),2))*(1+FedEx_Markup),2)</f>
        <v>208.81</v>
      </c>
    </row>
    <row r="67" ht="12.75" customHeight="1">
      <c r="A67" s="274">
        <v>62.0</v>
      </c>
      <c r="B67" s="275">
        <f>ROUND(IF(MinBase3Day&gt;ROUND(((1-(ThreeDayDiscount_21_Up+FedExExrpessEarnedDiscount))*'3Day Base'!B64),2),ROUND(MinBase3Day*(1+ExpressFuelSurcharge),2),ROUND(((1-(ThreeDayDiscount_21_Up+FedExExrpessEarnedDiscount))*'3Day Base'!B64)*(1+ExpressFuelSurcharge),2))*(1+FedEx_Markup),2)</f>
        <v>55.38</v>
      </c>
      <c r="C67" s="275">
        <f>ROUND(IF(MinBase3Day&gt;ROUND(((1-(ThreeDayDiscount_21_Up+FedExExrpessEarnedDiscount))*'3Day Base'!C64),2),ROUND(MinBase3Day*(1+ExpressFuelSurcharge),2),ROUND(((1-(ThreeDayDiscount_21_Up+FedExExrpessEarnedDiscount))*'3Day Base'!C64)*(1+ExpressFuelSurcharge),2))*(1+FedEx_Markup),2)</f>
        <v>67.93</v>
      </c>
      <c r="D67" s="275">
        <f>ROUND(IF(MinBase3Day&gt;ROUND(((1-(ThreeDayDiscount_21_Up+FedExExrpessEarnedDiscount))*'3Day Base'!D64),2),ROUND(MinBase3Day*(1+ExpressFuelSurcharge),2),ROUND(((1-(ThreeDayDiscount_21_Up+FedExExrpessEarnedDiscount))*'3Day Base'!D64)*(1+ExpressFuelSurcharge),2))*(1+FedEx_Markup),2)</f>
        <v>86.51</v>
      </c>
      <c r="E67" s="275">
        <f>ROUND(IF(MinBase3Day&gt;ROUND(((1-(ThreeDayDiscount_21_Up+FedExExrpessEarnedDiscount))*'3Day Base'!E64),2),ROUND(MinBase3Day*(1+ExpressFuelSurcharge),2),ROUND(((1-(ThreeDayDiscount_21_Up+FedExExrpessEarnedDiscount))*'3Day Base'!E64)*(1+ExpressFuelSurcharge),2))*(1+FedEx_Markup),2)</f>
        <v>119.39</v>
      </c>
      <c r="F67" s="275">
        <f>ROUND(IF(MinBase3Day&gt;ROUND(((1-(ThreeDayDiscount_21_Up+FedExExrpessEarnedDiscount))*'3Day Base'!F64),2),ROUND(MinBase3Day*(1+ExpressFuelSurcharge),2),ROUND(((1-(ThreeDayDiscount_21_Up+FedExExrpessEarnedDiscount))*'3Day Base'!F64)*(1+ExpressFuelSurcharge),2))*(1+FedEx_Markup),2)</f>
        <v>163.89</v>
      </c>
      <c r="G67" s="275">
        <f>ROUND(IF(MinBase3Day&gt;ROUND(((1-(ThreeDayDiscount_21_Up+FedExExrpessEarnedDiscount))*'3Day Base'!G64),2),ROUND(MinBase3Day*(1+ExpressFuelSurcharge),2),ROUND(((1-(ThreeDayDiscount_21_Up+FedExExrpessEarnedDiscount))*'3Day Base'!G64)*(1+ExpressFuelSurcharge),2))*(1+FedEx_Markup),2)</f>
        <v>186.44</v>
      </c>
      <c r="H67" s="275">
        <f>ROUND(IF(MinBase3Day&gt;ROUND(((1-(ThreeDayDiscount_21_Up+FedExExrpessEarnedDiscount))*'3Day Base'!H64),2),ROUND(MinBase3Day*(1+ExpressFuelSurcharge),2),ROUND(((1-(ThreeDayDiscount_21_Up+FedExExrpessEarnedDiscount))*'3Day Base'!H64)*(1+ExpressFuelSurcharge),2))*(1+FedEx_Markup),2)</f>
        <v>209.15</v>
      </c>
    </row>
    <row r="68" ht="12.75" customHeight="1">
      <c r="A68" s="274">
        <v>63.0</v>
      </c>
      <c r="B68" s="275">
        <f>ROUND(IF(MinBase3Day&gt;ROUND(((1-(ThreeDayDiscount_21_Up+FedExExrpessEarnedDiscount))*'3Day Base'!B65),2),ROUND(MinBase3Day*(1+ExpressFuelSurcharge),2),ROUND(((1-(ThreeDayDiscount_21_Up+FedExExrpessEarnedDiscount))*'3Day Base'!B65)*(1+ExpressFuelSurcharge),2))*(1+FedEx_Markup),2)</f>
        <v>56.01</v>
      </c>
      <c r="C68" s="275">
        <f>ROUND(IF(MinBase3Day&gt;ROUND(((1-(ThreeDayDiscount_21_Up+FedExExrpessEarnedDiscount))*'3Day Base'!C65),2),ROUND(MinBase3Day*(1+ExpressFuelSurcharge),2),ROUND(((1-(ThreeDayDiscount_21_Up+FedExExrpessEarnedDiscount))*'3Day Base'!C65)*(1+ExpressFuelSurcharge),2))*(1+FedEx_Markup),2)</f>
        <v>68.17</v>
      </c>
      <c r="D68" s="275">
        <f>ROUND(IF(MinBase3Day&gt;ROUND(((1-(ThreeDayDiscount_21_Up+FedExExrpessEarnedDiscount))*'3Day Base'!D65),2),ROUND(MinBase3Day*(1+ExpressFuelSurcharge),2),ROUND(((1-(ThreeDayDiscount_21_Up+FedExExrpessEarnedDiscount))*'3Day Base'!D65)*(1+ExpressFuelSurcharge),2))*(1+FedEx_Markup),2)</f>
        <v>86.8</v>
      </c>
      <c r="E68" s="275">
        <f>ROUND(IF(MinBase3Day&gt;ROUND(((1-(ThreeDayDiscount_21_Up+FedExExrpessEarnedDiscount))*'3Day Base'!E65),2),ROUND(MinBase3Day*(1+ExpressFuelSurcharge),2),ROUND(((1-(ThreeDayDiscount_21_Up+FedExExrpessEarnedDiscount))*'3Day Base'!E65)*(1+ExpressFuelSurcharge),2))*(1+FedEx_Markup),2)</f>
        <v>121.27</v>
      </c>
      <c r="F68" s="275">
        <f>ROUND(IF(MinBase3Day&gt;ROUND(((1-(ThreeDayDiscount_21_Up+FedExExrpessEarnedDiscount))*'3Day Base'!F65),2),ROUND(MinBase3Day*(1+ExpressFuelSurcharge),2),ROUND(((1-(ThreeDayDiscount_21_Up+FedExExrpessEarnedDiscount))*'3Day Base'!F65)*(1+ExpressFuelSurcharge),2))*(1+FedEx_Markup),2)</f>
        <v>169.02</v>
      </c>
      <c r="G68" s="275">
        <f>ROUND(IF(MinBase3Day&gt;ROUND(((1-(ThreeDayDiscount_21_Up+FedExExrpessEarnedDiscount))*'3Day Base'!G65),2),ROUND(MinBase3Day*(1+ExpressFuelSurcharge),2),ROUND(((1-(ThreeDayDiscount_21_Up+FedExExrpessEarnedDiscount))*'3Day Base'!G65)*(1+ExpressFuelSurcharge),2))*(1+FedEx_Markup),2)</f>
        <v>189.43</v>
      </c>
      <c r="H68" s="275">
        <f>ROUND(IF(MinBase3Day&gt;ROUND(((1-(ThreeDayDiscount_21_Up+FedExExrpessEarnedDiscount))*'3Day Base'!H65),2),ROUND(MinBase3Day*(1+ExpressFuelSurcharge),2),ROUND(((1-(ThreeDayDiscount_21_Up+FedExExrpessEarnedDiscount))*'3Day Base'!H65)*(1+ExpressFuelSurcharge),2))*(1+FedEx_Markup),2)</f>
        <v>215.72</v>
      </c>
    </row>
    <row r="69" ht="12.75" customHeight="1">
      <c r="A69" s="274">
        <v>64.0</v>
      </c>
      <c r="B69" s="275">
        <f>ROUND(IF(MinBase3Day&gt;ROUND(((1-(ThreeDayDiscount_21_Up+FedExExrpessEarnedDiscount))*'3Day Base'!B66),2),ROUND(MinBase3Day*(1+ExpressFuelSurcharge),2),ROUND(((1-(ThreeDayDiscount_21_Up+FedExExrpessEarnedDiscount))*'3Day Base'!B66)*(1+ExpressFuelSurcharge),2))*(1+FedEx_Markup),2)</f>
        <v>57.36</v>
      </c>
      <c r="C69" s="275">
        <f>ROUND(IF(MinBase3Day&gt;ROUND(((1-(ThreeDayDiscount_21_Up+FedExExrpessEarnedDiscount))*'3Day Base'!C66),2),ROUND(MinBase3Day*(1+ExpressFuelSurcharge),2),ROUND(((1-(ThreeDayDiscount_21_Up+FedExExrpessEarnedDiscount))*'3Day Base'!C66)*(1+ExpressFuelSurcharge),2))*(1+FedEx_Markup),2)</f>
        <v>69.51</v>
      </c>
      <c r="D69" s="275">
        <f>ROUND(IF(MinBase3Day&gt;ROUND(((1-(ThreeDayDiscount_21_Up+FedExExrpessEarnedDiscount))*'3Day Base'!D66),2),ROUND(MinBase3Day*(1+ExpressFuelSurcharge),2),ROUND(((1-(ThreeDayDiscount_21_Up+FedExExrpessEarnedDiscount))*'3Day Base'!D66)*(1+ExpressFuelSurcharge),2))*(1+FedEx_Markup),2)</f>
        <v>87.06</v>
      </c>
      <c r="E69" s="275">
        <f>ROUND(IF(MinBase3Day&gt;ROUND(((1-(ThreeDayDiscount_21_Up+FedExExrpessEarnedDiscount))*'3Day Base'!E66),2),ROUND(MinBase3Day*(1+ExpressFuelSurcharge),2),ROUND(((1-(ThreeDayDiscount_21_Up+FedExExrpessEarnedDiscount))*'3Day Base'!E66)*(1+ExpressFuelSurcharge),2))*(1+FedEx_Markup),2)</f>
        <v>122.89</v>
      </c>
      <c r="F69" s="275">
        <f>ROUND(IF(MinBase3Day&gt;ROUND(((1-(ThreeDayDiscount_21_Up+FedExExrpessEarnedDiscount))*'3Day Base'!F66),2),ROUND(MinBase3Day*(1+ExpressFuelSurcharge),2),ROUND(((1-(ThreeDayDiscount_21_Up+FedExExrpessEarnedDiscount))*'3Day Base'!F66)*(1+ExpressFuelSurcharge),2))*(1+FedEx_Markup),2)</f>
        <v>171.66</v>
      </c>
      <c r="G69" s="275">
        <f>ROUND(IF(MinBase3Day&gt;ROUND(((1-(ThreeDayDiscount_21_Up+FedExExrpessEarnedDiscount))*'3Day Base'!G66),2),ROUND(MinBase3Day*(1+ExpressFuelSurcharge),2),ROUND(((1-(ThreeDayDiscount_21_Up+FedExExrpessEarnedDiscount))*'3Day Base'!G66)*(1+ExpressFuelSurcharge),2))*(1+FedEx_Markup),2)</f>
        <v>192.42</v>
      </c>
      <c r="H69" s="275">
        <f>ROUND(IF(MinBase3Day&gt;ROUND(((1-(ThreeDayDiscount_21_Up+FedExExrpessEarnedDiscount))*'3Day Base'!H66),2),ROUND(MinBase3Day*(1+ExpressFuelSurcharge),2),ROUND(((1-(ThreeDayDiscount_21_Up+FedExExrpessEarnedDiscount))*'3Day Base'!H66)*(1+ExpressFuelSurcharge),2))*(1+FedEx_Markup),2)</f>
        <v>219.16</v>
      </c>
    </row>
    <row r="70" ht="12.75" customHeight="1">
      <c r="A70" s="274">
        <v>65.0</v>
      </c>
      <c r="B70" s="275">
        <f>ROUND(IF(MinBase3Day&gt;ROUND(((1-(ThreeDayDiscount_21_Up+FedExExrpessEarnedDiscount))*'3Day Base'!B67),2),ROUND(MinBase3Day*(1+ExpressFuelSurcharge),2),ROUND(((1-(ThreeDayDiscount_21_Up+FedExExrpessEarnedDiscount))*'3Day Base'!B67)*(1+ExpressFuelSurcharge),2))*(1+FedEx_Markup),2)</f>
        <v>57.6</v>
      </c>
      <c r="C70" s="275">
        <f>ROUND(IF(MinBase3Day&gt;ROUND(((1-(ThreeDayDiscount_21_Up+FedExExrpessEarnedDiscount))*'3Day Base'!C67),2),ROUND(MinBase3Day*(1+ExpressFuelSurcharge),2),ROUND(((1-(ThreeDayDiscount_21_Up+FedExExrpessEarnedDiscount))*'3Day Base'!C67)*(1+ExpressFuelSurcharge),2))*(1+FedEx_Markup),2)</f>
        <v>71.35</v>
      </c>
      <c r="D70" s="275">
        <f>ROUND(IF(MinBase3Day&gt;ROUND(((1-(ThreeDayDiscount_21_Up+FedExExrpessEarnedDiscount))*'3Day Base'!D67),2),ROUND(MinBase3Day*(1+ExpressFuelSurcharge),2),ROUND(((1-(ThreeDayDiscount_21_Up+FedExExrpessEarnedDiscount))*'3Day Base'!D67)*(1+ExpressFuelSurcharge),2))*(1+FedEx_Markup),2)</f>
        <v>89.23</v>
      </c>
      <c r="E70" s="275">
        <f>ROUND(IF(MinBase3Day&gt;ROUND(((1-(ThreeDayDiscount_21_Up+FedExExrpessEarnedDiscount))*'3Day Base'!E67),2),ROUND(MinBase3Day*(1+ExpressFuelSurcharge),2),ROUND(((1-(ThreeDayDiscount_21_Up+FedExExrpessEarnedDiscount))*'3Day Base'!E67)*(1+ExpressFuelSurcharge),2))*(1+FedEx_Markup),2)</f>
        <v>124.17</v>
      </c>
      <c r="F70" s="275">
        <f>ROUND(IF(MinBase3Day&gt;ROUND(((1-(ThreeDayDiscount_21_Up+FedExExrpessEarnedDiscount))*'3Day Base'!F67),2),ROUND(MinBase3Day*(1+ExpressFuelSurcharge),2),ROUND(((1-(ThreeDayDiscount_21_Up+FedExExrpessEarnedDiscount))*'3Day Base'!F67)*(1+ExpressFuelSurcharge),2))*(1+FedEx_Markup),2)</f>
        <v>171.96</v>
      </c>
      <c r="G70" s="275">
        <f>ROUND(IF(MinBase3Day&gt;ROUND(((1-(ThreeDayDiscount_21_Up+FedExExrpessEarnedDiscount))*'3Day Base'!G67),2),ROUND(MinBase3Day*(1+ExpressFuelSurcharge),2),ROUND(((1-(ThreeDayDiscount_21_Up+FedExExrpessEarnedDiscount))*'3Day Base'!G67)*(1+ExpressFuelSurcharge),2))*(1+FedEx_Markup),2)</f>
        <v>195.4</v>
      </c>
      <c r="H70" s="275">
        <f>ROUND(IF(MinBase3Day&gt;ROUND(((1-(ThreeDayDiscount_21_Up+FedExExrpessEarnedDiscount))*'3Day Base'!H67),2),ROUND(MinBase3Day*(1+ExpressFuelSurcharge),2),ROUND(((1-(ThreeDayDiscount_21_Up+FedExExrpessEarnedDiscount))*'3Day Base'!H67)*(1+ExpressFuelSurcharge),2))*(1+FedEx_Markup),2)</f>
        <v>224.37</v>
      </c>
    </row>
    <row r="71" ht="12.75" customHeight="1">
      <c r="A71" s="274">
        <v>66.0</v>
      </c>
      <c r="B71" s="275">
        <f>ROUND(IF(MinBase3Day&gt;ROUND(((1-(ThreeDayDiscount_21_Up+FedExExrpessEarnedDiscount))*'3Day Base'!B68),2),ROUND(MinBase3Day*(1+ExpressFuelSurcharge),2),ROUND(((1-(ThreeDayDiscount_21_Up+FedExExrpessEarnedDiscount))*'3Day Base'!B68)*(1+ExpressFuelSurcharge),2))*(1+FedEx_Markup),2)</f>
        <v>57.86</v>
      </c>
      <c r="C71" s="275">
        <f>ROUND(IF(MinBase3Day&gt;ROUND(((1-(ThreeDayDiscount_21_Up+FedExExrpessEarnedDiscount))*'3Day Base'!C68),2),ROUND(MinBase3Day*(1+ExpressFuelSurcharge),2),ROUND(((1-(ThreeDayDiscount_21_Up+FedExExrpessEarnedDiscount))*'3Day Base'!C68)*(1+ExpressFuelSurcharge),2))*(1+FedEx_Markup),2)</f>
        <v>71.6</v>
      </c>
      <c r="D71" s="275">
        <f>ROUND(IF(MinBase3Day&gt;ROUND(((1-(ThreeDayDiscount_21_Up+FedExExrpessEarnedDiscount))*'3Day Base'!D68),2),ROUND(MinBase3Day*(1+ExpressFuelSurcharge),2),ROUND(((1-(ThreeDayDiscount_21_Up+FedExExrpessEarnedDiscount))*'3Day Base'!D68)*(1+ExpressFuelSurcharge),2))*(1+FedEx_Markup),2)</f>
        <v>90.22</v>
      </c>
      <c r="E71" s="275">
        <f>ROUND(IF(MinBase3Day&gt;ROUND(((1-(ThreeDayDiscount_21_Up+FedExExrpessEarnedDiscount))*'3Day Base'!E68),2),ROUND(MinBase3Day*(1+ExpressFuelSurcharge),2),ROUND(((1-(ThreeDayDiscount_21_Up+FedExExrpessEarnedDiscount))*'3Day Base'!E68)*(1+ExpressFuelSurcharge),2))*(1+FedEx_Markup),2)</f>
        <v>124.46</v>
      </c>
      <c r="F71" s="275">
        <f>ROUND(IF(MinBase3Day&gt;ROUND(((1-(ThreeDayDiscount_21_Up+FedExExrpessEarnedDiscount))*'3Day Base'!F68),2),ROUND(MinBase3Day*(1+ExpressFuelSurcharge),2),ROUND(((1-(ThreeDayDiscount_21_Up+FedExExrpessEarnedDiscount))*'3Day Base'!F68)*(1+ExpressFuelSurcharge),2))*(1+FedEx_Markup),2)</f>
        <v>173.14</v>
      </c>
      <c r="G71" s="275">
        <f>ROUND(IF(MinBase3Day&gt;ROUND(((1-(ThreeDayDiscount_21_Up+FedExExrpessEarnedDiscount))*'3Day Base'!G68),2),ROUND(MinBase3Day*(1+ExpressFuelSurcharge),2),ROUND(((1-(ThreeDayDiscount_21_Up+FedExExrpessEarnedDiscount))*'3Day Base'!G68)*(1+ExpressFuelSurcharge),2))*(1+FedEx_Markup),2)</f>
        <v>198.06</v>
      </c>
      <c r="H71" s="275">
        <f>ROUND(IF(MinBase3Day&gt;ROUND(((1-(ThreeDayDiscount_21_Up+FedExExrpessEarnedDiscount))*'3Day Base'!H68),2),ROUND(MinBase3Day*(1+ExpressFuelSurcharge),2),ROUND(((1-(ThreeDayDiscount_21_Up+FedExExrpessEarnedDiscount))*'3Day Base'!H68)*(1+ExpressFuelSurcharge),2))*(1+FedEx_Markup),2)</f>
        <v>229.13</v>
      </c>
    </row>
    <row r="72" ht="12.75" customHeight="1">
      <c r="A72" s="274">
        <v>67.0</v>
      </c>
      <c r="B72" s="275">
        <f>ROUND(IF(MinBase3Day&gt;ROUND(((1-(ThreeDayDiscount_21_Up+FedExExrpessEarnedDiscount))*'3Day Base'!B69),2),ROUND(MinBase3Day*(1+ExpressFuelSurcharge),2),ROUND(((1-(ThreeDayDiscount_21_Up+FedExExrpessEarnedDiscount))*'3Day Base'!B69)*(1+ExpressFuelSurcharge),2))*(1+FedEx_Markup),2)</f>
        <v>58.1</v>
      </c>
      <c r="C72" s="275">
        <f>ROUND(IF(MinBase3Day&gt;ROUND(((1-(ThreeDayDiscount_21_Up+FedExExrpessEarnedDiscount))*'3Day Base'!C69),2),ROUND(MinBase3Day*(1+ExpressFuelSurcharge),2),ROUND(((1-(ThreeDayDiscount_21_Up+FedExExrpessEarnedDiscount))*'3Day Base'!C69)*(1+ExpressFuelSurcharge),2))*(1+FedEx_Markup),2)</f>
        <v>73.04</v>
      </c>
      <c r="D72" s="275">
        <f>ROUND(IF(MinBase3Day&gt;ROUND(((1-(ThreeDayDiscount_21_Up+FedExExrpessEarnedDiscount))*'3Day Base'!D69),2),ROUND(MinBase3Day*(1+ExpressFuelSurcharge),2),ROUND(((1-(ThreeDayDiscount_21_Up+FedExExrpessEarnedDiscount))*'3Day Base'!D69)*(1+ExpressFuelSurcharge),2))*(1+FedEx_Markup),2)</f>
        <v>90.45</v>
      </c>
      <c r="E72" s="275">
        <f>ROUND(IF(MinBase3Day&gt;ROUND(((1-(ThreeDayDiscount_21_Up+FedExExrpessEarnedDiscount))*'3Day Base'!E69),2),ROUND(MinBase3Day*(1+ExpressFuelSurcharge),2),ROUND(((1-(ThreeDayDiscount_21_Up+FedExExrpessEarnedDiscount))*'3Day Base'!E69)*(1+ExpressFuelSurcharge),2))*(1+FedEx_Markup),2)</f>
        <v>124.76</v>
      </c>
      <c r="F72" s="275">
        <f>ROUND(IF(MinBase3Day&gt;ROUND(((1-(ThreeDayDiscount_21_Up+FedExExrpessEarnedDiscount))*'3Day Base'!F69),2),ROUND(MinBase3Day*(1+ExpressFuelSurcharge),2),ROUND(((1-(ThreeDayDiscount_21_Up+FedExExrpessEarnedDiscount))*'3Day Base'!F69)*(1+ExpressFuelSurcharge),2))*(1+FedEx_Markup),2)</f>
        <v>173.44</v>
      </c>
      <c r="G72" s="275">
        <f>ROUND(IF(MinBase3Day&gt;ROUND(((1-(ThreeDayDiscount_21_Up+FedExExrpessEarnedDiscount))*'3Day Base'!G69),2),ROUND(MinBase3Day*(1+ExpressFuelSurcharge),2),ROUND(((1-(ThreeDayDiscount_21_Up+FedExExrpessEarnedDiscount))*'3Day Base'!G69)*(1+ExpressFuelSurcharge),2))*(1+FedEx_Markup),2)</f>
        <v>198.38</v>
      </c>
      <c r="H72" s="275">
        <f>ROUND(IF(MinBase3Day&gt;ROUND(((1-(ThreeDayDiscount_21_Up+FedExExrpessEarnedDiscount))*'3Day Base'!H69),2),ROUND(MinBase3Day*(1+ExpressFuelSurcharge),2),ROUND(((1-(ThreeDayDiscount_21_Up+FedExExrpessEarnedDiscount))*'3Day Base'!H69)*(1+ExpressFuelSurcharge),2))*(1+FedEx_Markup),2)</f>
        <v>229.61</v>
      </c>
    </row>
    <row r="73" ht="12.75" customHeight="1">
      <c r="A73" s="274">
        <v>68.0</v>
      </c>
      <c r="B73" s="275">
        <f>ROUND(IF(MinBase3Day&gt;ROUND(((1-(ThreeDayDiscount_21_Up+FedExExrpessEarnedDiscount))*'3Day Base'!B70),2),ROUND(MinBase3Day*(1+ExpressFuelSurcharge),2),ROUND(((1-(ThreeDayDiscount_21_Up+FedExExrpessEarnedDiscount))*'3Day Base'!B70)*(1+ExpressFuelSurcharge),2))*(1+FedEx_Markup),2)</f>
        <v>58.34</v>
      </c>
      <c r="C73" s="275">
        <f>ROUND(IF(MinBase3Day&gt;ROUND(((1-(ThreeDayDiscount_21_Up+FedExExrpessEarnedDiscount))*'3Day Base'!C70),2),ROUND(MinBase3Day*(1+ExpressFuelSurcharge),2),ROUND(((1-(ThreeDayDiscount_21_Up+FedExExrpessEarnedDiscount))*'3Day Base'!C70)*(1+ExpressFuelSurcharge),2))*(1+FedEx_Markup),2)</f>
        <v>73.62</v>
      </c>
      <c r="D73" s="275">
        <f>ROUND(IF(MinBase3Day&gt;ROUND(((1-(ThreeDayDiscount_21_Up+FedExExrpessEarnedDiscount))*'3Day Base'!D70),2),ROUND(MinBase3Day*(1+ExpressFuelSurcharge),2),ROUND(((1-(ThreeDayDiscount_21_Up+FedExExrpessEarnedDiscount))*'3Day Base'!D70)*(1+ExpressFuelSurcharge),2))*(1+FedEx_Markup),2)</f>
        <v>92.97</v>
      </c>
      <c r="E73" s="275">
        <f>ROUND(IF(MinBase3Day&gt;ROUND(((1-(ThreeDayDiscount_21_Up+FedExExrpessEarnedDiscount))*'3Day Base'!E70),2),ROUND(MinBase3Day*(1+ExpressFuelSurcharge),2),ROUND(((1-(ThreeDayDiscount_21_Up+FedExExrpessEarnedDiscount))*'3Day Base'!E70)*(1+ExpressFuelSurcharge),2))*(1+FedEx_Markup),2)</f>
        <v>129.54</v>
      </c>
      <c r="F73" s="275">
        <f>ROUND(IF(MinBase3Day&gt;ROUND(((1-(ThreeDayDiscount_21_Up+FedExExrpessEarnedDiscount))*'3Day Base'!F70),2),ROUND(MinBase3Day*(1+ExpressFuelSurcharge),2),ROUND(((1-(ThreeDayDiscount_21_Up+FedExExrpessEarnedDiscount))*'3Day Base'!F70)*(1+ExpressFuelSurcharge),2))*(1+FedEx_Markup),2)</f>
        <v>173.74</v>
      </c>
      <c r="G73" s="275">
        <f>ROUND(IF(MinBase3Day&gt;ROUND(((1-(ThreeDayDiscount_21_Up+FedExExrpessEarnedDiscount))*'3Day Base'!G70),2),ROUND(MinBase3Day*(1+ExpressFuelSurcharge),2),ROUND(((1-(ThreeDayDiscount_21_Up+FedExExrpessEarnedDiscount))*'3Day Base'!G70)*(1+ExpressFuelSurcharge),2))*(1+FedEx_Markup),2)</f>
        <v>198.66</v>
      </c>
      <c r="H73" s="275">
        <f>ROUND(IF(MinBase3Day&gt;ROUND(((1-(ThreeDayDiscount_21_Up+FedExExrpessEarnedDiscount))*'3Day Base'!H70),2),ROUND(MinBase3Day*(1+ExpressFuelSurcharge),2),ROUND(((1-(ThreeDayDiscount_21_Up+FedExExrpessEarnedDiscount))*'3Day Base'!H70)*(1+ExpressFuelSurcharge),2))*(1+FedEx_Markup),2)</f>
        <v>239.13</v>
      </c>
    </row>
    <row r="74" ht="12.75" customHeight="1">
      <c r="A74" s="274">
        <v>69.0</v>
      </c>
      <c r="B74" s="275">
        <f>ROUND(IF(MinBase3Day&gt;ROUND(((1-(ThreeDayDiscount_21_Up+FedExExrpessEarnedDiscount))*'3Day Base'!B71),2),ROUND(MinBase3Day*(1+ExpressFuelSurcharge),2),ROUND(((1-(ThreeDayDiscount_21_Up+FedExExrpessEarnedDiscount))*'3Day Base'!B71)*(1+ExpressFuelSurcharge),2))*(1+FedEx_Markup),2)</f>
        <v>58.59</v>
      </c>
      <c r="C74" s="275">
        <f>ROUND(IF(MinBase3Day&gt;ROUND(((1-(ThreeDayDiscount_21_Up+FedExExrpessEarnedDiscount))*'3Day Base'!C71),2),ROUND(MinBase3Day*(1+ExpressFuelSurcharge),2),ROUND(((1-(ThreeDayDiscount_21_Up+FedExExrpessEarnedDiscount))*'3Day Base'!C71)*(1+ExpressFuelSurcharge),2))*(1+FedEx_Markup),2)</f>
        <v>75.12</v>
      </c>
      <c r="D74" s="275">
        <f>ROUND(IF(MinBase3Day&gt;ROUND(((1-(ThreeDayDiscount_21_Up+FedExExrpessEarnedDiscount))*'3Day Base'!D71),2),ROUND(MinBase3Day*(1+ExpressFuelSurcharge),2),ROUND(((1-(ThreeDayDiscount_21_Up+FedExExrpessEarnedDiscount))*'3Day Base'!D71)*(1+ExpressFuelSurcharge),2))*(1+FedEx_Markup),2)</f>
        <v>93.22</v>
      </c>
      <c r="E74" s="275">
        <f>ROUND(IF(MinBase3Day&gt;ROUND(((1-(ThreeDayDiscount_21_Up+FedExExrpessEarnedDiscount))*'3Day Base'!E71),2),ROUND(MinBase3Day*(1+ExpressFuelSurcharge),2),ROUND(((1-(ThreeDayDiscount_21_Up+FedExExrpessEarnedDiscount))*'3Day Base'!E71)*(1+ExpressFuelSurcharge),2))*(1+FedEx_Markup),2)</f>
        <v>130.02</v>
      </c>
      <c r="F74" s="275">
        <f>ROUND(IF(MinBase3Day&gt;ROUND(((1-(ThreeDayDiscount_21_Up+FedExExrpessEarnedDiscount))*'3Day Base'!F71),2),ROUND(MinBase3Day*(1+ExpressFuelSurcharge),2),ROUND(((1-(ThreeDayDiscount_21_Up+FedExExrpessEarnedDiscount))*'3Day Base'!F71)*(1+ExpressFuelSurcharge),2))*(1+FedEx_Markup),2)</f>
        <v>174.05</v>
      </c>
      <c r="G74" s="275">
        <f>ROUND(IF(MinBase3Day&gt;ROUND(((1-(ThreeDayDiscount_21_Up+FedExExrpessEarnedDiscount))*'3Day Base'!G71),2),ROUND(MinBase3Day*(1+ExpressFuelSurcharge),2),ROUND(((1-(ThreeDayDiscount_21_Up+FedExExrpessEarnedDiscount))*'3Day Base'!G71)*(1+ExpressFuelSurcharge),2))*(1+FedEx_Markup),2)</f>
        <v>199.1</v>
      </c>
      <c r="H74" s="275">
        <f>ROUND(IF(MinBase3Day&gt;ROUND(((1-(ThreeDayDiscount_21_Up+FedExExrpessEarnedDiscount))*'3Day Base'!H71),2),ROUND(MinBase3Day*(1+ExpressFuelSurcharge),2),ROUND(((1-(ThreeDayDiscount_21_Up+FedExExrpessEarnedDiscount))*'3Day Base'!H71)*(1+ExpressFuelSurcharge),2))*(1+FedEx_Markup),2)</f>
        <v>240.09</v>
      </c>
    </row>
    <row r="75" ht="12.75" customHeight="1">
      <c r="A75" s="274">
        <v>70.0</v>
      </c>
      <c r="B75" s="275">
        <f>ROUND(IF(MinBase3Day&gt;ROUND(((1-(ThreeDayDiscount_21_Up+FedExExrpessEarnedDiscount))*'3Day Base'!B72),2),ROUND(MinBase3Day*(1+ExpressFuelSurcharge),2),ROUND(((1-(ThreeDayDiscount_21_Up+FedExExrpessEarnedDiscount))*'3Day Base'!B72)*(1+ExpressFuelSurcharge),2))*(1+FedEx_Markup),2)</f>
        <v>60.03</v>
      </c>
      <c r="C75" s="275">
        <f>ROUND(IF(MinBase3Day&gt;ROUND(((1-(ThreeDayDiscount_21_Up+FedExExrpessEarnedDiscount))*'3Day Base'!C72),2),ROUND(MinBase3Day*(1+ExpressFuelSurcharge),2),ROUND(((1-(ThreeDayDiscount_21_Up+FedExExrpessEarnedDiscount))*'3Day Base'!C72)*(1+ExpressFuelSurcharge),2))*(1+FedEx_Markup),2)</f>
        <v>77.23</v>
      </c>
      <c r="D75" s="275">
        <f>ROUND(IF(MinBase3Day&gt;ROUND(((1-(ThreeDayDiscount_21_Up+FedExExrpessEarnedDiscount))*'3Day Base'!D72),2),ROUND(MinBase3Day*(1+ExpressFuelSurcharge),2),ROUND(((1-(ThreeDayDiscount_21_Up+FedExExrpessEarnedDiscount))*'3Day Base'!D72)*(1+ExpressFuelSurcharge),2))*(1+FedEx_Markup),2)</f>
        <v>95.43</v>
      </c>
      <c r="E75" s="275">
        <f>ROUND(IF(MinBase3Day&gt;ROUND(((1-(ThreeDayDiscount_21_Up+FedExExrpessEarnedDiscount))*'3Day Base'!E72),2),ROUND(MinBase3Day*(1+ExpressFuelSurcharge),2),ROUND(((1-(ThreeDayDiscount_21_Up+FedExExrpessEarnedDiscount))*'3Day Base'!E72)*(1+ExpressFuelSurcharge),2))*(1+FedEx_Markup),2)</f>
        <v>133.31</v>
      </c>
      <c r="F75" s="275">
        <f>ROUND(IF(MinBase3Day&gt;ROUND(((1-(ThreeDayDiscount_21_Up+FedExExrpessEarnedDiscount))*'3Day Base'!F72),2),ROUND(MinBase3Day*(1+ExpressFuelSurcharge),2),ROUND(((1-(ThreeDayDiscount_21_Up+FedExExrpessEarnedDiscount))*'3Day Base'!F72)*(1+ExpressFuelSurcharge),2))*(1+FedEx_Markup),2)</f>
        <v>174.34</v>
      </c>
      <c r="G75" s="275">
        <f>ROUND(IF(MinBase3Day&gt;ROUND(((1-(ThreeDayDiscount_21_Up+FedExExrpessEarnedDiscount))*'3Day Base'!G72),2),ROUND(MinBase3Day*(1+ExpressFuelSurcharge),2),ROUND(((1-(ThreeDayDiscount_21_Up+FedExExrpessEarnedDiscount))*'3Day Base'!G72)*(1+ExpressFuelSurcharge),2))*(1+FedEx_Markup),2)</f>
        <v>207.61</v>
      </c>
      <c r="H75" s="275">
        <f>ROUND(IF(MinBase3Day&gt;ROUND(((1-(ThreeDayDiscount_21_Up+FedExExrpessEarnedDiscount))*'3Day Base'!H72),2),ROUND(MinBase3Day*(1+ExpressFuelSurcharge),2),ROUND(((1-(ThreeDayDiscount_21_Up+FedExExrpessEarnedDiscount))*'3Day Base'!H72)*(1+ExpressFuelSurcharge),2))*(1+FedEx_Markup),2)</f>
        <v>240.41</v>
      </c>
    </row>
    <row r="76" ht="12.75" customHeight="1">
      <c r="A76" s="274">
        <v>71.0</v>
      </c>
      <c r="B76" s="275">
        <f>ROUND(IF(MinBase3Day&gt;ROUND(((1-(ThreeDayDiscount_21_Up+FedExExrpessEarnedDiscount))*'3Day Base'!B73),2),ROUND(MinBase3Day*(1+ExpressFuelSurcharge),2),ROUND(((1-(ThreeDayDiscount_21_Up+FedExExrpessEarnedDiscount))*'3Day Base'!B73)*(1+ExpressFuelSurcharge),2))*(1+FedEx_Markup),2)</f>
        <v>60.31</v>
      </c>
      <c r="C76" s="275">
        <f>ROUND(IF(MinBase3Day&gt;ROUND(((1-(ThreeDayDiscount_21_Up+FedExExrpessEarnedDiscount))*'3Day Base'!C73),2),ROUND(MinBase3Day*(1+ExpressFuelSurcharge),2),ROUND(((1-(ThreeDayDiscount_21_Up+FedExExrpessEarnedDiscount))*'3Day Base'!C73)*(1+ExpressFuelSurcharge),2))*(1+FedEx_Markup),2)</f>
        <v>77.5</v>
      </c>
      <c r="D76" s="275">
        <f>ROUND(IF(MinBase3Day&gt;ROUND(((1-(ThreeDayDiscount_21_Up+FedExExrpessEarnedDiscount))*'3Day Base'!D73),2),ROUND(MinBase3Day*(1+ExpressFuelSurcharge),2),ROUND(((1-(ThreeDayDiscount_21_Up+FedExExrpessEarnedDiscount))*'3Day Base'!D73)*(1+ExpressFuelSurcharge),2))*(1+FedEx_Markup),2)</f>
        <v>95.7</v>
      </c>
      <c r="E76" s="275">
        <f>ROUND(IF(MinBase3Day&gt;ROUND(((1-(ThreeDayDiscount_21_Up+FedExExrpessEarnedDiscount))*'3Day Base'!E73),2),ROUND(MinBase3Day*(1+ExpressFuelSurcharge),2),ROUND(((1-(ThreeDayDiscount_21_Up+FedExExrpessEarnedDiscount))*'3Day Base'!E73)*(1+ExpressFuelSurcharge),2))*(1+FedEx_Markup),2)</f>
        <v>134.44</v>
      </c>
      <c r="F76" s="275">
        <f>ROUND(IF(MinBase3Day&gt;ROUND(((1-(ThreeDayDiscount_21_Up+FedExExrpessEarnedDiscount))*'3Day Base'!F73),2),ROUND(MinBase3Day*(1+ExpressFuelSurcharge),2),ROUND(((1-(ThreeDayDiscount_21_Up+FedExExrpessEarnedDiscount))*'3Day Base'!F73)*(1+ExpressFuelSurcharge),2))*(1+FedEx_Markup),2)</f>
        <v>174.64</v>
      </c>
      <c r="G76" s="275">
        <f>ROUND(IF(MinBase3Day&gt;ROUND(((1-(ThreeDayDiscount_21_Up+FedExExrpessEarnedDiscount))*'3Day Base'!G73),2),ROUND(MinBase3Day*(1+ExpressFuelSurcharge),2),ROUND(((1-(ThreeDayDiscount_21_Up+FedExExrpessEarnedDiscount))*'3Day Base'!G73)*(1+ExpressFuelSurcharge),2))*(1+FedEx_Markup),2)</f>
        <v>212.75</v>
      </c>
      <c r="H76" s="275">
        <f>ROUND(IF(MinBase3Day&gt;ROUND(((1-(ThreeDayDiscount_21_Up+FedExExrpessEarnedDiscount))*'3Day Base'!H73),2),ROUND(MinBase3Day*(1+ExpressFuelSurcharge),2),ROUND(((1-(ThreeDayDiscount_21_Up+FedExExrpessEarnedDiscount))*'3Day Base'!H73)*(1+ExpressFuelSurcharge),2))*(1+FedEx_Markup),2)</f>
        <v>246.66</v>
      </c>
    </row>
    <row r="77" ht="12.75" customHeight="1">
      <c r="A77" s="274">
        <v>72.0</v>
      </c>
      <c r="B77" s="275">
        <f>ROUND(IF(MinBase3Day&gt;ROUND(((1-(ThreeDayDiscount_21_Up+FedExExrpessEarnedDiscount))*'3Day Base'!B74),2),ROUND(MinBase3Day*(1+ExpressFuelSurcharge),2),ROUND(((1-(ThreeDayDiscount_21_Up+FedExExrpessEarnedDiscount))*'3Day Base'!B74)*(1+ExpressFuelSurcharge),2))*(1+FedEx_Markup),2)</f>
        <v>61.73</v>
      </c>
      <c r="C77" s="275">
        <f>ROUND(IF(MinBase3Day&gt;ROUND(((1-(ThreeDayDiscount_21_Up+FedExExrpessEarnedDiscount))*'3Day Base'!C74),2),ROUND(MinBase3Day*(1+ExpressFuelSurcharge),2),ROUND(((1-(ThreeDayDiscount_21_Up+FedExExrpessEarnedDiscount))*'3Day Base'!C74)*(1+ExpressFuelSurcharge),2))*(1+FedEx_Markup),2)</f>
        <v>77.77</v>
      </c>
      <c r="D77" s="275">
        <f>ROUND(IF(MinBase3Day&gt;ROUND(((1-(ThreeDayDiscount_21_Up+FedExExrpessEarnedDiscount))*'3Day Base'!D74),2),ROUND(MinBase3Day*(1+ExpressFuelSurcharge),2),ROUND(((1-(ThreeDayDiscount_21_Up+FedExExrpessEarnedDiscount))*'3Day Base'!D74)*(1+ExpressFuelSurcharge),2))*(1+FedEx_Markup),2)</f>
        <v>96.46</v>
      </c>
      <c r="E77" s="275">
        <f>ROUND(IF(MinBase3Day&gt;ROUND(((1-(ThreeDayDiscount_21_Up+FedExExrpessEarnedDiscount))*'3Day Base'!E74),2),ROUND(MinBase3Day*(1+ExpressFuelSurcharge),2),ROUND(((1-(ThreeDayDiscount_21_Up+FedExExrpessEarnedDiscount))*'3Day Base'!E74)*(1+ExpressFuelSurcharge),2))*(1+FedEx_Markup),2)</f>
        <v>136.31</v>
      </c>
      <c r="F77" s="275">
        <f>ROUND(IF(MinBase3Day&gt;ROUND(((1-(ThreeDayDiscount_21_Up+FedExExrpessEarnedDiscount))*'3Day Base'!F74),2),ROUND(MinBase3Day*(1+ExpressFuelSurcharge),2),ROUND(((1-(ThreeDayDiscount_21_Up+FedExExrpessEarnedDiscount))*'3Day Base'!F74)*(1+ExpressFuelSurcharge),2))*(1+FedEx_Markup),2)</f>
        <v>174.94</v>
      </c>
      <c r="G77" s="275">
        <f>ROUND(IF(MinBase3Day&gt;ROUND(((1-(ThreeDayDiscount_21_Up+FedExExrpessEarnedDiscount))*'3Day Base'!G74),2),ROUND(MinBase3Day*(1+ExpressFuelSurcharge),2),ROUND(((1-(ThreeDayDiscount_21_Up+FedExExrpessEarnedDiscount))*'3Day Base'!G74)*(1+ExpressFuelSurcharge),2))*(1+FedEx_Markup),2)</f>
        <v>215.06</v>
      </c>
      <c r="H77" s="275">
        <f>ROUND(IF(MinBase3Day&gt;ROUND(((1-(ThreeDayDiscount_21_Up+FedExExrpessEarnedDiscount))*'3Day Base'!H74),2),ROUND(MinBase3Day*(1+ExpressFuelSurcharge),2),ROUND(((1-(ThreeDayDiscount_21_Up+FedExExrpessEarnedDiscount))*'3Day Base'!H74)*(1+ExpressFuelSurcharge),2))*(1+FedEx_Markup),2)</f>
        <v>247.28</v>
      </c>
    </row>
    <row r="78" ht="12.75" customHeight="1">
      <c r="A78" s="274">
        <v>73.0</v>
      </c>
      <c r="B78" s="275">
        <f>ROUND(IF(MinBase3Day&gt;ROUND(((1-(ThreeDayDiscount_21_Up+FedExExrpessEarnedDiscount))*'3Day Base'!B75),2),ROUND(MinBase3Day*(1+ExpressFuelSurcharge),2),ROUND(((1-(ThreeDayDiscount_21_Up+FedExExrpessEarnedDiscount))*'3Day Base'!B75)*(1+ExpressFuelSurcharge),2))*(1+FedEx_Markup),2)</f>
        <v>61.97</v>
      </c>
      <c r="C78" s="275">
        <f>ROUND(IF(MinBase3Day&gt;ROUND(((1-(ThreeDayDiscount_21_Up+FedExExrpessEarnedDiscount))*'3Day Base'!C75),2),ROUND(MinBase3Day*(1+ExpressFuelSurcharge),2),ROUND(((1-(ThreeDayDiscount_21_Up+FedExExrpessEarnedDiscount))*'3Day Base'!C75)*(1+ExpressFuelSurcharge),2))*(1+FedEx_Markup),2)</f>
        <v>78.04</v>
      </c>
      <c r="D78" s="275">
        <f>ROUND(IF(MinBase3Day&gt;ROUND(((1-(ThreeDayDiscount_21_Up+FedExExrpessEarnedDiscount))*'3Day Base'!D75),2),ROUND(MinBase3Day*(1+ExpressFuelSurcharge),2),ROUND(((1-(ThreeDayDiscount_21_Up+FedExExrpessEarnedDiscount))*'3Day Base'!D75)*(1+ExpressFuelSurcharge),2))*(1+FedEx_Markup),2)</f>
        <v>96.75</v>
      </c>
      <c r="E78" s="275">
        <f>ROUND(IF(MinBase3Day&gt;ROUND(((1-(ThreeDayDiscount_21_Up+FedExExrpessEarnedDiscount))*'3Day Base'!E75),2),ROUND(MinBase3Day*(1+ExpressFuelSurcharge),2),ROUND(((1-(ThreeDayDiscount_21_Up+FedExExrpessEarnedDiscount))*'3Day Base'!E75)*(1+ExpressFuelSurcharge),2))*(1+FedEx_Markup),2)</f>
        <v>136.88</v>
      </c>
      <c r="F78" s="275">
        <f>ROUND(IF(MinBase3Day&gt;ROUND(((1-(ThreeDayDiscount_21_Up+FedExExrpessEarnedDiscount))*'3Day Base'!F75),2),ROUND(MinBase3Day*(1+ExpressFuelSurcharge),2),ROUND(((1-(ThreeDayDiscount_21_Up+FedExExrpessEarnedDiscount))*'3Day Base'!F75)*(1+ExpressFuelSurcharge),2))*(1+FedEx_Markup),2)</f>
        <v>175.24</v>
      </c>
      <c r="G78" s="275">
        <f>ROUND(IF(MinBase3Day&gt;ROUND(((1-(ThreeDayDiscount_21_Up+FedExExrpessEarnedDiscount))*'3Day Base'!G75),2),ROUND(MinBase3Day*(1+ExpressFuelSurcharge),2),ROUND(((1-(ThreeDayDiscount_21_Up+FedExExrpessEarnedDiscount))*'3Day Base'!G75)*(1+ExpressFuelSurcharge),2))*(1+FedEx_Markup),2)</f>
        <v>215.35</v>
      </c>
      <c r="H78" s="275">
        <f>ROUND(IF(MinBase3Day&gt;ROUND(((1-(ThreeDayDiscount_21_Up+FedExExrpessEarnedDiscount))*'3Day Base'!H75),2),ROUND(MinBase3Day*(1+ExpressFuelSurcharge),2),ROUND(((1-(ThreeDayDiscount_21_Up+FedExExrpessEarnedDiscount))*'3Day Base'!H75)*(1+ExpressFuelSurcharge),2))*(1+FedEx_Markup),2)</f>
        <v>247.56</v>
      </c>
    </row>
    <row r="79" ht="12.75" customHeight="1">
      <c r="A79" s="274">
        <v>74.0</v>
      </c>
      <c r="B79" s="275">
        <f>ROUND(IF(MinBase3Day&gt;ROUND(((1-(ThreeDayDiscount_21_Up+FedExExrpessEarnedDiscount))*'3Day Base'!B76),2),ROUND(MinBase3Day*(1+ExpressFuelSurcharge),2),ROUND(((1-(ThreeDayDiscount_21_Up+FedExExrpessEarnedDiscount))*'3Day Base'!B76)*(1+ExpressFuelSurcharge),2))*(1+FedEx_Markup),2)</f>
        <v>62.22</v>
      </c>
      <c r="C79" s="275">
        <f>ROUND(IF(MinBase3Day&gt;ROUND(((1-(ThreeDayDiscount_21_Up+FedExExrpessEarnedDiscount))*'3Day Base'!C76),2),ROUND(MinBase3Day*(1+ExpressFuelSurcharge),2),ROUND(((1-(ThreeDayDiscount_21_Up+FedExExrpessEarnedDiscount))*'3Day Base'!C76)*(1+ExpressFuelSurcharge),2))*(1+FedEx_Markup),2)</f>
        <v>78.32</v>
      </c>
      <c r="D79" s="275">
        <f>ROUND(IF(MinBase3Day&gt;ROUND(((1-(ThreeDayDiscount_21_Up+FedExExrpessEarnedDiscount))*'3Day Base'!D76),2),ROUND(MinBase3Day*(1+ExpressFuelSurcharge),2),ROUND(((1-(ThreeDayDiscount_21_Up+FedExExrpessEarnedDiscount))*'3Day Base'!D76)*(1+ExpressFuelSurcharge),2))*(1+FedEx_Markup),2)</f>
        <v>97.01</v>
      </c>
      <c r="E79" s="275">
        <f>ROUND(IF(MinBase3Day&gt;ROUND(((1-(ThreeDayDiscount_21_Up+FedExExrpessEarnedDiscount))*'3Day Base'!E76),2),ROUND(MinBase3Day*(1+ExpressFuelSurcharge),2),ROUND(((1-(ThreeDayDiscount_21_Up+FedExExrpessEarnedDiscount))*'3Day Base'!E76)*(1+ExpressFuelSurcharge),2))*(1+FedEx_Markup),2)</f>
        <v>137.2</v>
      </c>
      <c r="F79" s="275">
        <f>ROUND(IF(MinBase3Day&gt;ROUND(((1-(ThreeDayDiscount_21_Up+FedExExrpessEarnedDiscount))*'3Day Base'!F76),2),ROUND(MinBase3Day*(1+ExpressFuelSurcharge),2),ROUND(((1-(ThreeDayDiscount_21_Up+FedExExrpessEarnedDiscount))*'3Day Base'!F76)*(1+ExpressFuelSurcharge),2))*(1+FedEx_Markup),2)</f>
        <v>175.55</v>
      </c>
      <c r="G79" s="275">
        <f>ROUND(IF(MinBase3Day&gt;ROUND(((1-(ThreeDayDiscount_21_Up+FedExExrpessEarnedDiscount))*'3Day Base'!G76),2),ROUND(MinBase3Day*(1+ExpressFuelSurcharge),2),ROUND(((1-(ThreeDayDiscount_21_Up+FedExExrpessEarnedDiscount))*'3Day Base'!G76)*(1+ExpressFuelSurcharge),2))*(1+FedEx_Markup),2)</f>
        <v>215.66</v>
      </c>
      <c r="H79" s="275">
        <f>ROUND(IF(MinBase3Day&gt;ROUND(((1-(ThreeDayDiscount_21_Up+FedExExrpessEarnedDiscount))*'3Day Base'!H76),2),ROUND(MinBase3Day*(1+ExpressFuelSurcharge),2),ROUND(((1-(ThreeDayDiscount_21_Up+FedExExrpessEarnedDiscount))*'3Day Base'!H76)*(1+ExpressFuelSurcharge),2))*(1+FedEx_Markup),2)</f>
        <v>247.83</v>
      </c>
    </row>
    <row r="80" ht="12.75" customHeight="1">
      <c r="A80" s="274">
        <v>75.0</v>
      </c>
      <c r="B80" s="275">
        <f>ROUND(IF(MinBase3Day&gt;ROUND(((1-(ThreeDayDiscount_21_Up+FedExExrpessEarnedDiscount))*'3Day Base'!B77),2),ROUND(MinBase3Day*(1+ExpressFuelSurcharge),2),ROUND(((1-(ThreeDayDiscount_21_Up+FedExExrpessEarnedDiscount))*'3Day Base'!B77)*(1+ExpressFuelSurcharge),2))*(1+FedEx_Markup),2)</f>
        <v>62.77</v>
      </c>
      <c r="C80" s="275">
        <f>ROUND(IF(MinBase3Day&gt;ROUND(((1-(ThreeDayDiscount_21_Up+FedExExrpessEarnedDiscount))*'3Day Base'!C77),2),ROUND(MinBase3Day*(1+ExpressFuelSurcharge),2),ROUND(((1-(ThreeDayDiscount_21_Up+FedExExrpessEarnedDiscount))*'3Day Base'!C77)*(1+ExpressFuelSurcharge),2))*(1+FedEx_Markup),2)</f>
        <v>78.86</v>
      </c>
      <c r="D80" s="275">
        <f>ROUND(IF(MinBase3Day&gt;ROUND(((1-(ThreeDayDiscount_21_Up+FedExExrpessEarnedDiscount))*'3Day Base'!D77),2),ROUND(MinBase3Day*(1+ExpressFuelSurcharge),2),ROUND(((1-(ThreeDayDiscount_21_Up+FedExExrpessEarnedDiscount))*'3Day Base'!D77)*(1+ExpressFuelSurcharge),2))*(1+FedEx_Markup),2)</f>
        <v>97.55</v>
      </c>
      <c r="E80" s="275">
        <f>ROUND(IF(MinBase3Day&gt;ROUND(((1-(ThreeDayDiscount_21_Up+FedExExrpessEarnedDiscount))*'3Day Base'!E77),2),ROUND(MinBase3Day*(1+ExpressFuelSurcharge),2),ROUND(((1-(ThreeDayDiscount_21_Up+FedExExrpessEarnedDiscount))*'3Day Base'!E77)*(1+ExpressFuelSurcharge),2))*(1+FedEx_Markup),2)</f>
        <v>137.79</v>
      </c>
      <c r="F80" s="275">
        <f>ROUND(IF(MinBase3Day&gt;ROUND(((1-(ThreeDayDiscount_21_Up+FedExExrpessEarnedDiscount))*'3Day Base'!F77),2),ROUND(MinBase3Day*(1+ExpressFuelSurcharge),2),ROUND(((1-(ThreeDayDiscount_21_Up+FedExExrpessEarnedDiscount))*'3Day Base'!F77)*(1+ExpressFuelSurcharge),2))*(1+FedEx_Markup),2)</f>
        <v>176.15</v>
      </c>
      <c r="G80" s="275">
        <f>ROUND(IF(MinBase3Day&gt;ROUND(((1-(ThreeDayDiscount_21_Up+FedExExrpessEarnedDiscount))*'3Day Base'!G77),2),ROUND(MinBase3Day*(1+ExpressFuelSurcharge),2),ROUND(((1-(ThreeDayDiscount_21_Up+FedExExrpessEarnedDiscount))*'3Day Base'!G77)*(1+ExpressFuelSurcharge),2))*(1+FedEx_Markup),2)</f>
        <v>216.26</v>
      </c>
      <c r="H80" s="275">
        <f>ROUND(IF(MinBase3Day&gt;ROUND(((1-(ThreeDayDiscount_21_Up+FedExExrpessEarnedDiscount))*'3Day Base'!H77),2),ROUND(MinBase3Day*(1+ExpressFuelSurcharge),2),ROUND(((1-(ThreeDayDiscount_21_Up+FedExExrpessEarnedDiscount))*'3Day Base'!H77)*(1+ExpressFuelSurcharge),2))*(1+FedEx_Markup),2)</f>
        <v>248.5</v>
      </c>
    </row>
    <row r="81" ht="12.75" customHeight="1">
      <c r="A81" s="274">
        <v>76.0</v>
      </c>
      <c r="B81" s="275">
        <f>ROUND(IF(MinBase3Day&gt;ROUND(((1-(ThreeDayDiscount_21_Up+FedExExrpessEarnedDiscount))*'3Day Base'!B78),2),ROUND(MinBase3Day*(1+ExpressFuelSurcharge),2),ROUND(((1-(ThreeDayDiscount_21_Up+FedExExrpessEarnedDiscount))*'3Day Base'!B78)*(1+ExpressFuelSurcharge),2))*(1+FedEx_Markup),2)</f>
        <v>63.55</v>
      </c>
      <c r="C81" s="275">
        <f>ROUND(IF(MinBase3Day&gt;ROUND(((1-(ThreeDayDiscount_21_Up+FedExExrpessEarnedDiscount))*'3Day Base'!C78),2),ROUND(MinBase3Day*(1+ExpressFuelSurcharge),2),ROUND(((1-(ThreeDayDiscount_21_Up+FedExExrpessEarnedDiscount))*'3Day Base'!C78)*(1+ExpressFuelSurcharge),2))*(1+FedEx_Markup),2)</f>
        <v>79.38</v>
      </c>
      <c r="D81" s="275">
        <f>ROUND(IF(MinBase3Day&gt;ROUND(((1-(ThreeDayDiscount_21_Up+FedExExrpessEarnedDiscount))*'3Day Base'!D78),2),ROUND(MinBase3Day*(1+ExpressFuelSurcharge),2),ROUND(((1-(ThreeDayDiscount_21_Up+FedExExrpessEarnedDiscount))*'3Day Base'!D78)*(1+ExpressFuelSurcharge),2))*(1+FedEx_Markup),2)</f>
        <v>98.1</v>
      </c>
      <c r="E81" s="275">
        <f>ROUND(IF(MinBase3Day&gt;ROUND(((1-(ThreeDayDiscount_21_Up+FedExExrpessEarnedDiscount))*'3Day Base'!E78),2),ROUND(MinBase3Day*(1+ExpressFuelSurcharge),2),ROUND(((1-(ThreeDayDiscount_21_Up+FedExExrpessEarnedDiscount))*'3Day Base'!E78)*(1+ExpressFuelSurcharge),2))*(1+FedEx_Markup),2)</f>
        <v>138.39</v>
      </c>
      <c r="F81" s="275">
        <f>ROUND(IF(MinBase3Day&gt;ROUND(((1-(ThreeDayDiscount_21_Up+FedExExrpessEarnedDiscount))*'3Day Base'!F78),2),ROUND(MinBase3Day*(1+ExpressFuelSurcharge),2),ROUND(((1-(ThreeDayDiscount_21_Up+FedExExrpessEarnedDiscount))*'3Day Base'!F78)*(1+ExpressFuelSurcharge),2))*(1+FedEx_Markup),2)</f>
        <v>176.74</v>
      </c>
      <c r="G81" s="275">
        <f>ROUND(IF(MinBase3Day&gt;ROUND(((1-(ThreeDayDiscount_21_Up+FedExExrpessEarnedDiscount))*'3Day Base'!G78),2),ROUND(MinBase3Day*(1+ExpressFuelSurcharge),2),ROUND(((1-(ThreeDayDiscount_21_Up+FedExExrpessEarnedDiscount))*'3Day Base'!G78)*(1+ExpressFuelSurcharge),2))*(1+FedEx_Markup),2)</f>
        <v>221.75</v>
      </c>
      <c r="H81" s="275">
        <f>ROUND(IF(MinBase3Day&gt;ROUND(((1-(ThreeDayDiscount_21_Up+FedExExrpessEarnedDiscount))*'3Day Base'!H78),2),ROUND(MinBase3Day*(1+ExpressFuelSurcharge),2),ROUND(((1-(ThreeDayDiscount_21_Up+FedExExrpessEarnedDiscount))*'3Day Base'!H78)*(1+ExpressFuelSurcharge),2))*(1+FedEx_Markup),2)</f>
        <v>261.82</v>
      </c>
      <c r="L81" s="4"/>
    </row>
    <row r="82" ht="12.75" customHeight="1">
      <c r="A82" s="274">
        <v>77.0</v>
      </c>
      <c r="B82" s="275">
        <f>ROUND(IF(MinBase3Day&gt;ROUND(((1-(ThreeDayDiscount_21_Up+FedExExrpessEarnedDiscount))*'3Day Base'!B79),2),ROUND(MinBase3Day*(1+ExpressFuelSurcharge),2),ROUND(((1-(ThreeDayDiscount_21_Up+FedExExrpessEarnedDiscount))*'3Day Base'!B79)*(1+ExpressFuelSurcharge),2))*(1+FedEx_Markup),2)</f>
        <v>64.03</v>
      </c>
      <c r="C82" s="275">
        <f>ROUND(IF(MinBase3Day&gt;ROUND(((1-(ThreeDayDiscount_21_Up+FedExExrpessEarnedDiscount))*'3Day Base'!C79),2),ROUND(MinBase3Day*(1+ExpressFuelSurcharge),2),ROUND(((1-(ThreeDayDiscount_21_Up+FedExExrpessEarnedDiscount))*'3Day Base'!C79)*(1+ExpressFuelSurcharge),2))*(1+FedEx_Markup),2)</f>
        <v>79.94</v>
      </c>
      <c r="D82" s="275">
        <f>ROUND(IF(MinBase3Day&gt;ROUND(((1-(ThreeDayDiscount_21_Up+FedExExrpessEarnedDiscount))*'3Day Base'!D79),2),ROUND(MinBase3Day*(1+ExpressFuelSurcharge),2),ROUND(((1-(ThreeDayDiscount_21_Up+FedExExrpessEarnedDiscount))*'3Day Base'!D79)*(1+ExpressFuelSurcharge),2))*(1+FedEx_Markup),2)</f>
        <v>98.64</v>
      </c>
      <c r="E82" s="275">
        <f>ROUND(IF(MinBase3Day&gt;ROUND(((1-(ThreeDayDiscount_21_Up+FedExExrpessEarnedDiscount))*'3Day Base'!E79),2),ROUND(MinBase3Day*(1+ExpressFuelSurcharge),2),ROUND(((1-(ThreeDayDiscount_21_Up+FedExExrpessEarnedDiscount))*'3Day Base'!E79)*(1+ExpressFuelSurcharge),2))*(1+FedEx_Markup),2)</f>
        <v>138.99</v>
      </c>
      <c r="F82" s="275">
        <f>ROUND(IF(MinBase3Day&gt;ROUND(((1-(ThreeDayDiscount_21_Up+FedExExrpessEarnedDiscount))*'3Day Base'!F79),2),ROUND(MinBase3Day*(1+ExpressFuelSurcharge),2),ROUND(((1-(ThreeDayDiscount_21_Up+FedExExrpessEarnedDiscount))*'3Day Base'!F79)*(1+ExpressFuelSurcharge),2))*(1+FedEx_Markup),2)</f>
        <v>177.33</v>
      </c>
      <c r="G82" s="275">
        <f>ROUND(IF(MinBase3Day&gt;ROUND(((1-(ThreeDayDiscount_21_Up+FedExExrpessEarnedDiscount))*'3Day Base'!G79),2),ROUND(MinBase3Day*(1+ExpressFuelSurcharge),2),ROUND(((1-(ThreeDayDiscount_21_Up+FedExExrpessEarnedDiscount))*'3Day Base'!G79)*(1+ExpressFuelSurcharge),2))*(1+FedEx_Markup),2)</f>
        <v>222.35</v>
      </c>
      <c r="H82" s="275">
        <f>ROUND(IF(MinBase3Day&gt;ROUND(((1-(ThreeDayDiscount_21_Up+FedExExrpessEarnedDiscount))*'3Day Base'!H79),2),ROUND(MinBase3Day*(1+ExpressFuelSurcharge),2),ROUND(((1-(ThreeDayDiscount_21_Up+FedExExrpessEarnedDiscount))*'3Day Base'!H79)*(1+ExpressFuelSurcharge),2))*(1+FedEx_Markup),2)</f>
        <v>263.15</v>
      </c>
    </row>
    <row r="83" ht="12.75" customHeight="1">
      <c r="A83" s="274">
        <v>78.0</v>
      </c>
      <c r="B83" s="275">
        <f>ROUND(IF(MinBase3Day&gt;ROUND(((1-(ThreeDayDiscount_21_Up+FedExExrpessEarnedDiscount))*'3Day Base'!B80),2),ROUND(MinBase3Day*(1+ExpressFuelSurcharge),2),ROUND(((1-(ThreeDayDiscount_21_Up+FedExExrpessEarnedDiscount))*'3Day Base'!B80)*(1+ExpressFuelSurcharge),2))*(1+FedEx_Markup),2)</f>
        <v>64.53</v>
      </c>
      <c r="C83" s="275">
        <f>ROUND(IF(MinBase3Day&gt;ROUND(((1-(ThreeDayDiscount_21_Up+FedExExrpessEarnedDiscount))*'3Day Base'!C80),2),ROUND(MinBase3Day*(1+ExpressFuelSurcharge),2),ROUND(((1-(ThreeDayDiscount_21_Up+FedExExrpessEarnedDiscount))*'3Day Base'!C80)*(1+ExpressFuelSurcharge),2))*(1+FedEx_Markup),2)</f>
        <v>80.57</v>
      </c>
      <c r="D83" s="275">
        <f>ROUND(IF(MinBase3Day&gt;ROUND(((1-(ThreeDayDiscount_21_Up+FedExExrpessEarnedDiscount))*'3Day Base'!D80),2),ROUND(MinBase3Day*(1+ExpressFuelSurcharge),2),ROUND(((1-(ThreeDayDiscount_21_Up+FedExExrpessEarnedDiscount))*'3Day Base'!D80)*(1+ExpressFuelSurcharge),2))*(1+FedEx_Markup),2)</f>
        <v>99.19</v>
      </c>
      <c r="E83" s="275">
        <f>ROUND(IF(MinBase3Day&gt;ROUND(((1-(ThreeDayDiscount_21_Up+FedExExrpessEarnedDiscount))*'3Day Base'!E80),2),ROUND(MinBase3Day*(1+ExpressFuelSurcharge),2),ROUND(((1-(ThreeDayDiscount_21_Up+FedExExrpessEarnedDiscount))*'3Day Base'!E80)*(1+ExpressFuelSurcharge),2))*(1+FedEx_Markup),2)</f>
        <v>139.59</v>
      </c>
      <c r="F83" s="275">
        <f>ROUND(IF(MinBase3Day&gt;ROUND(((1-(ThreeDayDiscount_21_Up+FedExExrpessEarnedDiscount))*'3Day Base'!F80),2),ROUND(MinBase3Day*(1+ExpressFuelSurcharge),2),ROUND(((1-(ThreeDayDiscount_21_Up+FedExExrpessEarnedDiscount))*'3Day Base'!F80)*(1+ExpressFuelSurcharge),2))*(1+FedEx_Markup),2)</f>
        <v>177.94</v>
      </c>
      <c r="G83" s="275">
        <f>ROUND(IF(MinBase3Day&gt;ROUND(((1-(ThreeDayDiscount_21_Up+FedExExrpessEarnedDiscount))*'3Day Base'!G80),2),ROUND(MinBase3Day*(1+ExpressFuelSurcharge),2),ROUND(((1-(ThreeDayDiscount_21_Up+FedExExrpessEarnedDiscount))*'3Day Base'!G80)*(1+ExpressFuelSurcharge),2))*(1+FedEx_Markup),2)</f>
        <v>222.97</v>
      </c>
      <c r="H83" s="275">
        <f>ROUND(IF(MinBase3Day&gt;ROUND(((1-(ThreeDayDiscount_21_Up+FedExExrpessEarnedDiscount))*'3Day Base'!H80),2),ROUND(MinBase3Day*(1+ExpressFuelSurcharge),2),ROUND(((1-(ThreeDayDiscount_21_Up+FedExExrpessEarnedDiscount))*'3Day Base'!H80)*(1+ExpressFuelSurcharge),2))*(1+FedEx_Markup),2)</f>
        <v>264.37</v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ht="12.75" customHeight="1">
      <c r="A84" s="274">
        <v>79.0</v>
      </c>
      <c r="B84" s="275">
        <f>ROUND(IF(MinBase3Day&gt;ROUND(((1-(ThreeDayDiscount_21_Up+FedExExrpessEarnedDiscount))*'3Day Base'!B81),2),ROUND(MinBase3Day*(1+ExpressFuelSurcharge),2),ROUND(((1-(ThreeDayDiscount_21_Up+FedExExrpessEarnedDiscount))*'3Day Base'!B81)*(1+ExpressFuelSurcharge),2))*(1+FedEx_Markup),2)</f>
        <v>65.02</v>
      </c>
      <c r="C84" s="275">
        <f>ROUND(IF(MinBase3Day&gt;ROUND(((1-(ThreeDayDiscount_21_Up+FedExExrpessEarnedDiscount))*'3Day Base'!C81),2),ROUND(MinBase3Day*(1+ExpressFuelSurcharge),2),ROUND(((1-(ThreeDayDiscount_21_Up+FedExExrpessEarnedDiscount))*'3Day Base'!C81)*(1+ExpressFuelSurcharge),2))*(1+FedEx_Markup),2)</f>
        <v>81.06</v>
      </c>
      <c r="D84" s="275">
        <f>ROUND(IF(MinBase3Day&gt;ROUND(((1-(ThreeDayDiscount_21_Up+FedExExrpessEarnedDiscount))*'3Day Base'!D81),2),ROUND(MinBase3Day*(1+ExpressFuelSurcharge),2),ROUND(((1-(ThreeDayDiscount_21_Up+FedExExrpessEarnedDiscount))*'3Day Base'!D81)*(1+ExpressFuelSurcharge),2))*(1+FedEx_Markup),2)</f>
        <v>99.72</v>
      </c>
      <c r="E84" s="275">
        <f>ROUND(IF(MinBase3Day&gt;ROUND(((1-(ThreeDayDiscount_21_Up+FedExExrpessEarnedDiscount))*'3Day Base'!E81),2),ROUND(MinBase3Day*(1+ExpressFuelSurcharge),2),ROUND(((1-(ThreeDayDiscount_21_Up+FedExExrpessEarnedDiscount))*'3Day Base'!E81)*(1+ExpressFuelSurcharge),2))*(1+FedEx_Markup),2)</f>
        <v>140.2</v>
      </c>
      <c r="F84" s="275">
        <f>ROUND(IF(MinBase3Day&gt;ROUND(((1-(ThreeDayDiscount_21_Up+FedExExrpessEarnedDiscount))*'3Day Base'!F81),2),ROUND(MinBase3Day*(1+ExpressFuelSurcharge),2),ROUND(((1-(ThreeDayDiscount_21_Up+FedExExrpessEarnedDiscount))*'3Day Base'!F81)*(1+ExpressFuelSurcharge),2))*(1+FedEx_Markup),2)</f>
        <v>178.53</v>
      </c>
      <c r="G84" s="275">
        <f>ROUND(IF(MinBase3Day&gt;ROUND(((1-(ThreeDayDiscount_21_Up+FedExExrpessEarnedDiscount))*'3Day Base'!G81),2),ROUND(MinBase3Day*(1+ExpressFuelSurcharge),2),ROUND(((1-(ThreeDayDiscount_21_Up+FedExExrpessEarnedDiscount))*'3Day Base'!G81)*(1+ExpressFuelSurcharge),2))*(1+FedEx_Markup),2)</f>
        <v>223.56</v>
      </c>
      <c r="H84" s="275">
        <f>ROUND(IF(MinBase3Day&gt;ROUND(((1-(ThreeDayDiscount_21_Up+FedExExrpessEarnedDiscount))*'3Day Base'!H81),2),ROUND(MinBase3Day*(1+ExpressFuelSurcharge),2),ROUND(((1-(ThreeDayDiscount_21_Up+FedExExrpessEarnedDiscount))*'3Day Base'!H81)*(1+ExpressFuelSurcharge),2))*(1+FedEx_Markup),2)</f>
        <v>266.85</v>
      </c>
    </row>
    <row r="85" ht="12.75" customHeight="1">
      <c r="A85" s="274">
        <v>80.0</v>
      </c>
      <c r="B85" s="275">
        <f>ROUND(IF(MinBase3Day&gt;ROUND(((1-(ThreeDayDiscount_21_Up+FedExExrpessEarnedDiscount))*'3Day Base'!B82),2),ROUND(MinBase3Day*(1+ExpressFuelSurcharge),2),ROUND(((1-(ThreeDayDiscount_21_Up+FedExExrpessEarnedDiscount))*'3Day Base'!B82)*(1+ExpressFuelSurcharge),2))*(1+FedEx_Markup),2)</f>
        <v>65.52</v>
      </c>
      <c r="C85" s="275">
        <f>ROUND(IF(MinBase3Day&gt;ROUND(((1-(ThreeDayDiscount_21_Up+FedExExrpessEarnedDiscount))*'3Day Base'!C82),2),ROUND(MinBase3Day*(1+ExpressFuelSurcharge),2),ROUND(((1-(ThreeDayDiscount_21_Up+FedExExrpessEarnedDiscount))*'3Day Base'!C82)*(1+ExpressFuelSurcharge),2))*(1+FedEx_Markup),2)</f>
        <v>81.56</v>
      </c>
      <c r="D85" s="275">
        <f>ROUND(IF(MinBase3Day&gt;ROUND(((1-(ThreeDayDiscount_21_Up+FedExExrpessEarnedDiscount))*'3Day Base'!D82),2),ROUND(MinBase3Day*(1+ExpressFuelSurcharge),2),ROUND(((1-(ThreeDayDiscount_21_Up+FedExExrpessEarnedDiscount))*'3Day Base'!D82)*(1+ExpressFuelSurcharge),2))*(1+FedEx_Markup),2)</f>
        <v>100.31</v>
      </c>
      <c r="E85" s="275">
        <f>ROUND(IF(MinBase3Day&gt;ROUND(((1-(ThreeDayDiscount_21_Up+FedExExrpessEarnedDiscount))*'3Day Base'!E82),2),ROUND(MinBase3Day*(1+ExpressFuelSurcharge),2),ROUND(((1-(ThreeDayDiscount_21_Up+FedExExrpessEarnedDiscount))*'3Day Base'!E82)*(1+ExpressFuelSurcharge),2))*(1+FedEx_Markup),2)</f>
        <v>140.78</v>
      </c>
      <c r="F85" s="275">
        <f>ROUND(IF(MinBase3Day&gt;ROUND(((1-(ThreeDayDiscount_21_Up+FedExExrpessEarnedDiscount))*'3Day Base'!F82),2),ROUND(MinBase3Day*(1+ExpressFuelSurcharge),2),ROUND(((1-(ThreeDayDiscount_21_Up+FedExExrpessEarnedDiscount))*'3Day Base'!F82)*(1+ExpressFuelSurcharge),2))*(1+FedEx_Markup),2)</f>
        <v>179.14</v>
      </c>
      <c r="G85" s="275">
        <f>ROUND(IF(MinBase3Day&gt;ROUND(((1-(ThreeDayDiscount_21_Up+FedExExrpessEarnedDiscount))*'3Day Base'!G82),2),ROUND(MinBase3Day*(1+ExpressFuelSurcharge),2),ROUND(((1-(ThreeDayDiscount_21_Up+FedExExrpessEarnedDiscount))*'3Day Base'!G82)*(1+ExpressFuelSurcharge),2))*(1+FedEx_Markup),2)</f>
        <v>224.17</v>
      </c>
      <c r="H85" s="275">
        <f>ROUND(IF(MinBase3Day&gt;ROUND(((1-(ThreeDayDiscount_21_Up+FedExExrpessEarnedDiscount))*'3Day Base'!H82),2),ROUND(MinBase3Day*(1+ExpressFuelSurcharge),2),ROUND(((1-(ThreeDayDiscount_21_Up+FedExExrpessEarnedDiscount))*'3Day Base'!H82)*(1+ExpressFuelSurcharge),2))*(1+FedEx_Markup),2)</f>
        <v>267.44</v>
      </c>
    </row>
    <row r="86" ht="12.75" customHeight="1">
      <c r="A86" s="274">
        <v>81.0</v>
      </c>
      <c r="B86" s="275">
        <f>ROUND(IF(MinBase3Day&gt;ROUND(((1-(ThreeDayDiscount_21_Up+FedExExrpessEarnedDiscount))*'3Day Base'!B83),2),ROUND(MinBase3Day*(1+ExpressFuelSurcharge),2),ROUND(((1-(ThreeDayDiscount_21_Up+FedExExrpessEarnedDiscount))*'3Day Base'!B83)*(1+ExpressFuelSurcharge),2))*(1+FedEx_Markup),2)</f>
        <v>66.01</v>
      </c>
      <c r="C86" s="275">
        <f>ROUND(IF(MinBase3Day&gt;ROUND(((1-(ThreeDayDiscount_21_Up+FedExExrpessEarnedDiscount))*'3Day Base'!C83),2),ROUND(MinBase3Day*(1+ExpressFuelSurcharge),2),ROUND(((1-(ThreeDayDiscount_21_Up+FedExExrpessEarnedDiscount))*'3Day Base'!C83)*(1+ExpressFuelSurcharge),2))*(1+FedEx_Markup),2)</f>
        <v>82.92</v>
      </c>
      <c r="D86" s="275">
        <f>ROUND(IF(MinBase3Day&gt;ROUND(((1-(ThreeDayDiscount_21_Up+FedExExrpessEarnedDiscount))*'3Day Base'!D83),2),ROUND(MinBase3Day*(1+ExpressFuelSurcharge),2),ROUND(((1-(ThreeDayDiscount_21_Up+FedExExrpessEarnedDiscount))*'3Day Base'!D83)*(1+ExpressFuelSurcharge),2))*(1+FedEx_Markup),2)</f>
        <v>100.81</v>
      </c>
      <c r="E86" s="275">
        <f>ROUND(IF(MinBase3Day&gt;ROUND(((1-(ThreeDayDiscount_21_Up+FedExExrpessEarnedDiscount))*'3Day Base'!E83),2),ROUND(MinBase3Day*(1+ExpressFuelSurcharge),2),ROUND(((1-(ThreeDayDiscount_21_Up+FedExExrpessEarnedDiscount))*'3Day Base'!E83)*(1+ExpressFuelSurcharge),2))*(1+FedEx_Markup),2)</f>
        <v>141.44</v>
      </c>
      <c r="F86" s="275">
        <f>ROUND(IF(MinBase3Day&gt;ROUND(((1-(ThreeDayDiscount_21_Up+FedExExrpessEarnedDiscount))*'3Day Base'!F83),2),ROUND(MinBase3Day*(1+ExpressFuelSurcharge),2),ROUND(((1-(ThreeDayDiscount_21_Up+FedExExrpessEarnedDiscount))*'3Day Base'!F83)*(1+ExpressFuelSurcharge),2))*(1+FedEx_Markup),2)</f>
        <v>181.27</v>
      </c>
      <c r="G86" s="275">
        <f>ROUND(IF(MinBase3Day&gt;ROUND(((1-(ThreeDayDiscount_21_Up+FedExExrpessEarnedDiscount))*'3Day Base'!G83),2),ROUND(MinBase3Day*(1+ExpressFuelSurcharge),2),ROUND(((1-(ThreeDayDiscount_21_Up+FedExExrpessEarnedDiscount))*'3Day Base'!G83)*(1+ExpressFuelSurcharge),2))*(1+FedEx_Markup),2)</f>
        <v>225.17</v>
      </c>
      <c r="H86" s="275">
        <f>ROUND(IF(MinBase3Day&gt;ROUND(((1-(ThreeDayDiscount_21_Up+FedExExrpessEarnedDiscount))*'3Day Base'!H83),2),ROUND(MinBase3Day*(1+ExpressFuelSurcharge),2),ROUND(((1-(ThreeDayDiscount_21_Up+FedExExrpessEarnedDiscount))*'3Day Base'!H83)*(1+ExpressFuelSurcharge),2))*(1+FedEx_Markup),2)</f>
        <v>268.05</v>
      </c>
    </row>
    <row r="87" ht="12.75" customHeight="1">
      <c r="A87" s="274">
        <v>82.0</v>
      </c>
      <c r="B87" s="275">
        <f>ROUND(IF(MinBase3Day&gt;ROUND(((1-(ThreeDayDiscount_21_Up+FedExExrpessEarnedDiscount))*'3Day Base'!B84),2),ROUND(MinBase3Day*(1+ExpressFuelSurcharge),2),ROUND(((1-(ThreeDayDiscount_21_Up+FedExExrpessEarnedDiscount))*'3Day Base'!B84)*(1+ExpressFuelSurcharge),2))*(1+FedEx_Markup),2)</f>
        <v>68.36</v>
      </c>
      <c r="C87" s="275">
        <f>ROUND(IF(MinBase3Day&gt;ROUND(((1-(ThreeDayDiscount_21_Up+FedExExrpessEarnedDiscount))*'3Day Base'!C84),2),ROUND(MinBase3Day*(1+ExpressFuelSurcharge),2),ROUND(((1-(ThreeDayDiscount_21_Up+FedExExrpessEarnedDiscount))*'3Day Base'!C84)*(1+ExpressFuelSurcharge),2))*(1+FedEx_Markup),2)</f>
        <v>86.39</v>
      </c>
      <c r="D87" s="275">
        <f>ROUND(IF(MinBase3Day&gt;ROUND(((1-(ThreeDayDiscount_21_Up+FedExExrpessEarnedDiscount))*'3Day Base'!D84),2),ROUND(MinBase3Day*(1+ExpressFuelSurcharge),2),ROUND(((1-(ThreeDayDiscount_21_Up+FedExExrpessEarnedDiscount))*'3Day Base'!D84)*(1+ExpressFuelSurcharge),2))*(1+FedEx_Markup),2)</f>
        <v>104.77</v>
      </c>
      <c r="E87" s="275">
        <f>ROUND(IF(MinBase3Day&gt;ROUND(((1-(ThreeDayDiscount_21_Up+FedExExrpessEarnedDiscount))*'3Day Base'!E84),2),ROUND(MinBase3Day*(1+ExpressFuelSurcharge),2),ROUND(((1-(ThreeDayDiscount_21_Up+FedExExrpessEarnedDiscount))*'3Day Base'!E84)*(1+ExpressFuelSurcharge),2))*(1+FedEx_Markup),2)</f>
        <v>152.04</v>
      </c>
      <c r="F87" s="275">
        <f>ROUND(IF(MinBase3Day&gt;ROUND(((1-(ThreeDayDiscount_21_Up+FedExExrpessEarnedDiscount))*'3Day Base'!F84),2),ROUND(MinBase3Day*(1+ExpressFuelSurcharge),2),ROUND(((1-(ThreeDayDiscount_21_Up+FedExExrpessEarnedDiscount))*'3Day Base'!F84)*(1+ExpressFuelSurcharge),2))*(1+FedEx_Markup),2)</f>
        <v>194.45</v>
      </c>
      <c r="G87" s="275">
        <f>ROUND(IF(MinBase3Day&gt;ROUND(((1-(ThreeDayDiscount_21_Up+FedExExrpessEarnedDiscount))*'3Day Base'!G84),2),ROUND(MinBase3Day*(1+ExpressFuelSurcharge),2),ROUND(((1-(ThreeDayDiscount_21_Up+FedExExrpessEarnedDiscount))*'3Day Base'!G84)*(1+ExpressFuelSurcharge),2))*(1+FedEx_Markup),2)</f>
        <v>244.29</v>
      </c>
      <c r="H87" s="275">
        <f>ROUND(IF(MinBase3Day&gt;ROUND(((1-(ThreeDayDiscount_21_Up+FedExExrpessEarnedDiscount))*'3Day Base'!H84),2),ROUND(MinBase3Day*(1+ExpressFuelSurcharge),2),ROUND(((1-(ThreeDayDiscount_21_Up+FedExExrpessEarnedDiscount))*'3Day Base'!H84)*(1+ExpressFuelSurcharge),2))*(1+FedEx_Markup),2)</f>
        <v>269.35</v>
      </c>
    </row>
    <row r="88" ht="12.75" customHeight="1">
      <c r="A88" s="274">
        <v>83.0</v>
      </c>
      <c r="B88" s="275">
        <f>ROUND(IF(MinBase3Day&gt;ROUND(((1-(ThreeDayDiscount_21_Up+FedExExrpessEarnedDiscount))*'3Day Base'!B85),2),ROUND(MinBase3Day*(1+ExpressFuelSurcharge),2),ROUND(((1-(ThreeDayDiscount_21_Up+FedExExrpessEarnedDiscount))*'3Day Base'!B85)*(1+ExpressFuelSurcharge),2))*(1+FedEx_Markup),2)</f>
        <v>68.85</v>
      </c>
      <c r="C88" s="275">
        <f>ROUND(IF(MinBase3Day&gt;ROUND(((1-(ThreeDayDiscount_21_Up+FedExExrpessEarnedDiscount))*'3Day Base'!C85),2),ROUND(MinBase3Day*(1+ExpressFuelSurcharge),2),ROUND(((1-(ThreeDayDiscount_21_Up+FedExExrpessEarnedDiscount))*'3Day Base'!C85)*(1+ExpressFuelSurcharge),2))*(1+FedEx_Markup),2)</f>
        <v>86.93</v>
      </c>
      <c r="D88" s="275">
        <f>ROUND(IF(MinBase3Day&gt;ROUND(((1-(ThreeDayDiscount_21_Up+FedExExrpessEarnedDiscount))*'3Day Base'!D85),2),ROUND(MinBase3Day*(1+ExpressFuelSurcharge),2),ROUND(((1-(ThreeDayDiscount_21_Up+FedExExrpessEarnedDiscount))*'3Day Base'!D85)*(1+ExpressFuelSurcharge),2))*(1+FedEx_Markup),2)</f>
        <v>105.28</v>
      </c>
      <c r="E88" s="275">
        <f>ROUND(IF(MinBase3Day&gt;ROUND(((1-(ThreeDayDiscount_21_Up+FedExExrpessEarnedDiscount))*'3Day Base'!E85),2),ROUND(MinBase3Day*(1+ExpressFuelSurcharge),2),ROUND(((1-(ThreeDayDiscount_21_Up+FedExExrpessEarnedDiscount))*'3Day Base'!E85)*(1+ExpressFuelSurcharge),2))*(1+FedEx_Markup),2)</f>
        <v>153.67</v>
      </c>
      <c r="F88" s="275">
        <f>ROUND(IF(MinBase3Day&gt;ROUND(((1-(ThreeDayDiscount_21_Up+FedExExrpessEarnedDiscount))*'3Day Base'!F85),2),ROUND(MinBase3Day*(1+ExpressFuelSurcharge),2),ROUND(((1-(ThreeDayDiscount_21_Up+FedExExrpessEarnedDiscount))*'3Day Base'!F85)*(1+ExpressFuelSurcharge),2))*(1+FedEx_Markup),2)</f>
        <v>205.76</v>
      </c>
      <c r="G88" s="275">
        <f>ROUND(IF(MinBase3Day&gt;ROUND(((1-(ThreeDayDiscount_21_Up+FedExExrpessEarnedDiscount))*'3Day Base'!G85),2),ROUND(MinBase3Day*(1+ExpressFuelSurcharge),2),ROUND(((1-(ThreeDayDiscount_21_Up+FedExExrpessEarnedDiscount))*'3Day Base'!G85)*(1+ExpressFuelSurcharge),2))*(1+FedEx_Markup),2)</f>
        <v>246.22</v>
      </c>
      <c r="H88" s="275">
        <f>ROUND(IF(MinBase3Day&gt;ROUND(((1-(ThreeDayDiscount_21_Up+FedExExrpessEarnedDiscount))*'3Day Base'!H85),2),ROUND(MinBase3Day*(1+ExpressFuelSurcharge),2),ROUND(((1-(ThreeDayDiscount_21_Up+FedExExrpessEarnedDiscount))*'3Day Base'!H85)*(1+ExpressFuelSurcharge),2))*(1+FedEx_Markup),2)</f>
        <v>276.26</v>
      </c>
    </row>
    <row r="89" ht="13.5" customHeight="1">
      <c r="A89" s="274">
        <v>84.0</v>
      </c>
      <c r="B89" s="275">
        <f>ROUND(IF(MinBase3Day&gt;ROUND(((1-(ThreeDayDiscount_21_Up+FedExExrpessEarnedDiscount))*'3Day Base'!B86),2),ROUND(MinBase3Day*(1+ExpressFuelSurcharge),2),ROUND(((1-(ThreeDayDiscount_21_Up+FedExExrpessEarnedDiscount))*'3Day Base'!B86)*(1+ExpressFuelSurcharge),2))*(1+FedEx_Markup),2)</f>
        <v>69.35</v>
      </c>
      <c r="C89" s="275">
        <f>ROUND(IF(MinBase3Day&gt;ROUND(((1-(ThreeDayDiscount_21_Up+FedExExrpessEarnedDiscount))*'3Day Base'!C86),2),ROUND(MinBase3Day*(1+ExpressFuelSurcharge),2),ROUND(((1-(ThreeDayDiscount_21_Up+FedExExrpessEarnedDiscount))*'3Day Base'!C86)*(1+ExpressFuelSurcharge),2))*(1+FedEx_Markup),2)</f>
        <v>89.73</v>
      </c>
      <c r="D89" s="275">
        <f>ROUND(IF(MinBase3Day&gt;ROUND(((1-(ThreeDayDiscount_21_Up+FedExExrpessEarnedDiscount))*'3Day Base'!D86),2),ROUND(MinBase3Day*(1+ExpressFuelSurcharge),2),ROUND(((1-(ThreeDayDiscount_21_Up+FedExExrpessEarnedDiscount))*'3Day Base'!D86)*(1+ExpressFuelSurcharge),2))*(1+FedEx_Markup),2)</f>
        <v>106.86</v>
      </c>
      <c r="E89" s="275">
        <f>ROUND(IF(MinBase3Day&gt;ROUND(((1-(ThreeDayDiscount_21_Up+FedExExrpessEarnedDiscount))*'3Day Base'!E86),2),ROUND(MinBase3Day*(1+ExpressFuelSurcharge),2),ROUND(((1-(ThreeDayDiscount_21_Up+FedExExrpessEarnedDiscount))*'3Day Base'!E86)*(1+ExpressFuelSurcharge),2))*(1+FedEx_Markup),2)</f>
        <v>154.28</v>
      </c>
      <c r="F89" s="275">
        <f>ROUND(IF(MinBase3Day&gt;ROUND(((1-(ThreeDayDiscount_21_Up+FedExExrpessEarnedDiscount))*'3Day Base'!F86),2),ROUND(MinBase3Day*(1+ExpressFuelSurcharge),2),ROUND(((1-(ThreeDayDiscount_21_Up+FedExExrpessEarnedDiscount))*'3Day Base'!F86)*(1+ExpressFuelSurcharge),2))*(1+FedEx_Markup),2)</f>
        <v>206.9</v>
      </c>
      <c r="G89" s="275">
        <f>ROUND(IF(MinBase3Day&gt;ROUND(((1-(ThreeDayDiscount_21_Up+FedExExrpessEarnedDiscount))*'3Day Base'!G86),2),ROUND(MinBase3Day*(1+ExpressFuelSurcharge),2),ROUND(((1-(ThreeDayDiscount_21_Up+FedExExrpessEarnedDiscount))*'3Day Base'!G86)*(1+ExpressFuelSurcharge),2))*(1+FedEx_Markup),2)</f>
        <v>246.81</v>
      </c>
      <c r="H89" s="275">
        <f>ROUND(IF(MinBase3Day&gt;ROUND(((1-(ThreeDayDiscount_21_Up+FedExExrpessEarnedDiscount))*'3Day Base'!H86),2),ROUND(MinBase3Day*(1+ExpressFuelSurcharge),2),ROUND(((1-(ThreeDayDiscount_21_Up+FedExExrpessEarnedDiscount))*'3Day Base'!H86)*(1+ExpressFuelSurcharge),2))*(1+FedEx_Markup),2)</f>
        <v>276.97</v>
      </c>
    </row>
    <row r="90" ht="13.5" customHeight="1">
      <c r="A90" s="274">
        <v>85.0</v>
      </c>
      <c r="B90" s="275">
        <f>ROUND(IF(MinBase3Day&gt;ROUND(((1-(ThreeDayDiscount_21_Up+FedExExrpessEarnedDiscount))*'3Day Base'!B87),2),ROUND(MinBase3Day*(1+ExpressFuelSurcharge),2),ROUND(((1-(ThreeDayDiscount_21_Up+FedExExrpessEarnedDiscount))*'3Day Base'!B87)*(1+ExpressFuelSurcharge),2))*(1+FedEx_Markup),2)</f>
        <v>69.83</v>
      </c>
      <c r="C90" s="275">
        <f>ROUND(IF(MinBase3Day&gt;ROUND(((1-(ThreeDayDiscount_21_Up+FedExExrpessEarnedDiscount))*'3Day Base'!C87),2),ROUND(MinBase3Day*(1+ExpressFuelSurcharge),2),ROUND(((1-(ThreeDayDiscount_21_Up+FedExExrpessEarnedDiscount))*'3Day Base'!C87)*(1+ExpressFuelSurcharge),2))*(1+FedEx_Markup),2)</f>
        <v>91.78</v>
      </c>
      <c r="D90" s="275">
        <f>ROUND(IF(MinBase3Day&gt;ROUND(((1-(ThreeDayDiscount_21_Up+FedExExrpessEarnedDiscount))*'3Day Base'!D87),2),ROUND(MinBase3Day*(1+ExpressFuelSurcharge),2),ROUND(((1-(ThreeDayDiscount_21_Up+FedExExrpessEarnedDiscount))*'3Day Base'!D87)*(1+ExpressFuelSurcharge),2))*(1+FedEx_Markup),2)</f>
        <v>108.74</v>
      </c>
      <c r="E90" s="275">
        <f>ROUND(IF(MinBase3Day&gt;ROUND(((1-(ThreeDayDiscount_21_Up+FedExExrpessEarnedDiscount))*'3Day Base'!E87),2),ROUND(MinBase3Day*(1+ExpressFuelSurcharge),2),ROUND(((1-(ThreeDayDiscount_21_Up+FedExExrpessEarnedDiscount))*'3Day Base'!E87)*(1+ExpressFuelSurcharge),2))*(1+FedEx_Markup),2)</f>
        <v>159.87</v>
      </c>
      <c r="F90" s="275">
        <f>ROUND(IF(MinBase3Day&gt;ROUND(((1-(ThreeDayDiscount_21_Up+FedExExrpessEarnedDiscount))*'3Day Base'!F87),2),ROUND(MinBase3Day*(1+ExpressFuelSurcharge),2),ROUND(((1-(ThreeDayDiscount_21_Up+FedExExrpessEarnedDiscount))*'3Day Base'!F87)*(1+ExpressFuelSurcharge),2))*(1+FedEx_Markup),2)</f>
        <v>207.48</v>
      </c>
      <c r="G90" s="275">
        <f>ROUND(IF(MinBase3Day&gt;ROUND(((1-(ThreeDayDiscount_21_Up+FedExExrpessEarnedDiscount))*'3Day Base'!G87),2),ROUND(MinBase3Day*(1+ExpressFuelSurcharge),2),ROUND(((1-(ThreeDayDiscount_21_Up+FedExExrpessEarnedDiscount))*'3Day Base'!G87)*(1+ExpressFuelSurcharge),2))*(1+FedEx_Markup),2)</f>
        <v>247.41</v>
      </c>
      <c r="H90" s="275">
        <f>ROUND(IF(MinBase3Day&gt;ROUND(((1-(ThreeDayDiscount_21_Up+FedExExrpessEarnedDiscount))*'3Day Base'!H87),2),ROUND(MinBase3Day*(1+ExpressFuelSurcharge),2),ROUND(((1-(ThreeDayDiscount_21_Up+FedExExrpessEarnedDiscount))*'3Day Base'!H87)*(1+ExpressFuelSurcharge),2))*(1+FedEx_Markup),2)</f>
        <v>287.29</v>
      </c>
    </row>
    <row r="91" ht="13.5" customHeight="1">
      <c r="A91" s="274">
        <v>86.0</v>
      </c>
      <c r="B91" s="275">
        <f>ROUND(IF(MinBase3Day&gt;ROUND(((1-(ThreeDayDiscount_21_Up+FedExExrpessEarnedDiscount))*'3Day Base'!B88),2),ROUND(MinBase3Day*(1+ExpressFuelSurcharge),2),ROUND(((1-(ThreeDayDiscount_21_Up+FedExExrpessEarnedDiscount))*'3Day Base'!B88)*(1+ExpressFuelSurcharge),2))*(1+FedEx_Markup),2)</f>
        <v>70.32</v>
      </c>
      <c r="C91" s="275">
        <f>ROUND(IF(MinBase3Day&gt;ROUND(((1-(ThreeDayDiscount_21_Up+FedExExrpessEarnedDiscount))*'3Day Base'!C88),2),ROUND(MinBase3Day*(1+ExpressFuelSurcharge),2),ROUND(((1-(ThreeDayDiscount_21_Up+FedExExrpessEarnedDiscount))*'3Day Base'!C88)*(1+ExpressFuelSurcharge),2))*(1+FedEx_Markup),2)</f>
        <v>92.59</v>
      </c>
      <c r="D91" s="275">
        <f>ROUND(IF(MinBase3Day&gt;ROUND(((1-(ThreeDayDiscount_21_Up+FedExExrpessEarnedDiscount))*'3Day Base'!D88),2),ROUND(MinBase3Day*(1+ExpressFuelSurcharge),2),ROUND(((1-(ThreeDayDiscount_21_Up+FedExExrpessEarnedDiscount))*'3Day Base'!D88)*(1+ExpressFuelSurcharge),2))*(1+FedEx_Markup),2)</f>
        <v>109.12</v>
      </c>
      <c r="E91" s="275">
        <f>ROUND(IF(MinBase3Day&gt;ROUND(((1-(ThreeDayDiscount_21_Up+FedExExrpessEarnedDiscount))*'3Day Base'!E88),2),ROUND(MinBase3Day*(1+ExpressFuelSurcharge),2),ROUND(((1-(ThreeDayDiscount_21_Up+FedExExrpessEarnedDiscount))*'3Day Base'!E88)*(1+ExpressFuelSurcharge),2))*(1+FedEx_Markup),2)</f>
        <v>160.47</v>
      </c>
      <c r="F91" s="275">
        <f>ROUND(IF(MinBase3Day&gt;ROUND(((1-(ThreeDayDiscount_21_Up+FedExExrpessEarnedDiscount))*'3Day Base'!F88),2),ROUND(MinBase3Day*(1+ExpressFuelSurcharge),2),ROUND(((1-(ThreeDayDiscount_21_Up+FedExExrpessEarnedDiscount))*'3Day Base'!F88)*(1+ExpressFuelSurcharge),2))*(1+FedEx_Markup),2)</f>
        <v>208.09</v>
      </c>
      <c r="G91" s="275">
        <f>ROUND(IF(MinBase3Day&gt;ROUND(((1-(ThreeDayDiscount_21_Up+FedExExrpessEarnedDiscount))*'3Day Base'!G88),2),ROUND(MinBase3Day*(1+ExpressFuelSurcharge),2),ROUND(((1-(ThreeDayDiscount_21_Up+FedExExrpessEarnedDiscount))*'3Day Base'!G88)*(1+ExpressFuelSurcharge),2))*(1+FedEx_Markup),2)</f>
        <v>248.01</v>
      </c>
      <c r="H91" s="275">
        <f>ROUND(IF(MinBase3Day&gt;ROUND(((1-(ThreeDayDiscount_21_Up+FedExExrpessEarnedDiscount))*'3Day Base'!H88),2),ROUND(MinBase3Day*(1+ExpressFuelSurcharge),2),ROUND(((1-(ThreeDayDiscount_21_Up+FedExExrpessEarnedDiscount))*'3Day Base'!H88)*(1+ExpressFuelSurcharge),2))*(1+FedEx_Markup),2)</f>
        <v>288.33</v>
      </c>
    </row>
    <row r="92" ht="13.5" customHeight="1">
      <c r="A92" s="274">
        <v>87.0</v>
      </c>
      <c r="B92" s="275">
        <f>ROUND(IF(MinBase3Day&gt;ROUND(((1-(ThreeDayDiscount_21_Up+FedExExrpessEarnedDiscount))*'3Day Base'!B89),2),ROUND(MinBase3Day*(1+ExpressFuelSurcharge),2),ROUND(((1-(ThreeDayDiscount_21_Up+FedExExrpessEarnedDiscount))*'3Day Base'!B89)*(1+ExpressFuelSurcharge),2))*(1+FedEx_Markup),2)</f>
        <v>70.82</v>
      </c>
      <c r="C92" s="275">
        <f>ROUND(IF(MinBase3Day&gt;ROUND(((1-(ThreeDayDiscount_21_Up+FedExExrpessEarnedDiscount))*'3Day Base'!C89),2),ROUND(MinBase3Day*(1+ExpressFuelSurcharge),2),ROUND(((1-(ThreeDayDiscount_21_Up+FedExExrpessEarnedDiscount))*'3Day Base'!C89)*(1+ExpressFuelSurcharge),2))*(1+FedEx_Markup),2)</f>
        <v>95.12</v>
      </c>
      <c r="D92" s="275">
        <f>ROUND(IF(MinBase3Day&gt;ROUND(((1-(ThreeDayDiscount_21_Up+FedExExrpessEarnedDiscount))*'3Day Base'!D89),2),ROUND(MinBase3Day*(1+ExpressFuelSurcharge),2),ROUND(((1-(ThreeDayDiscount_21_Up+FedExExrpessEarnedDiscount))*'3Day Base'!D89)*(1+ExpressFuelSurcharge),2))*(1+FedEx_Markup),2)</f>
        <v>109.5</v>
      </c>
      <c r="E92" s="275">
        <f>ROUND(IF(MinBase3Day&gt;ROUND(((1-(ThreeDayDiscount_21_Up+FedExExrpessEarnedDiscount))*'3Day Base'!E89),2),ROUND(MinBase3Day*(1+ExpressFuelSurcharge),2),ROUND(((1-(ThreeDayDiscount_21_Up+FedExExrpessEarnedDiscount))*'3Day Base'!E89)*(1+ExpressFuelSurcharge),2))*(1+FedEx_Markup),2)</f>
        <v>161.07</v>
      </c>
      <c r="F92" s="275">
        <f>ROUND(IF(MinBase3Day&gt;ROUND(((1-(ThreeDayDiscount_21_Up+FedExExrpessEarnedDiscount))*'3Day Base'!F89),2),ROUND(MinBase3Day*(1+ExpressFuelSurcharge),2),ROUND(((1-(ThreeDayDiscount_21_Up+FedExExrpessEarnedDiscount))*'3Day Base'!F89)*(1+ExpressFuelSurcharge),2))*(1+FedEx_Markup),2)</f>
        <v>208.69</v>
      </c>
      <c r="G92" s="275">
        <f>ROUND(IF(MinBase3Day&gt;ROUND(((1-(ThreeDayDiscount_21_Up+FedExExrpessEarnedDiscount))*'3Day Base'!G89),2),ROUND(MinBase3Day*(1+ExpressFuelSurcharge),2),ROUND(((1-(ThreeDayDiscount_21_Up+FedExExrpessEarnedDiscount))*'3Day Base'!G89)*(1+ExpressFuelSurcharge),2))*(1+FedEx_Markup),2)</f>
        <v>250.06</v>
      </c>
      <c r="H92" s="275">
        <f>ROUND(IF(MinBase3Day&gt;ROUND(((1-(ThreeDayDiscount_21_Up+FedExExrpessEarnedDiscount))*'3Day Base'!H89),2),ROUND(MinBase3Day*(1+ExpressFuelSurcharge),2),ROUND(((1-(ThreeDayDiscount_21_Up+FedExExrpessEarnedDiscount))*'3Day Base'!H89)*(1+ExpressFuelSurcharge),2))*(1+FedEx_Markup),2)</f>
        <v>289.1</v>
      </c>
    </row>
    <row r="93" ht="13.5" customHeight="1">
      <c r="A93" s="274">
        <v>88.0</v>
      </c>
      <c r="B93" s="275">
        <f>ROUND(IF(MinBase3Day&gt;ROUND(((1-(ThreeDayDiscount_21_Up+FedExExrpessEarnedDiscount))*'3Day Base'!B90),2),ROUND(MinBase3Day*(1+ExpressFuelSurcharge),2),ROUND(((1-(ThreeDayDiscount_21_Up+FedExExrpessEarnedDiscount))*'3Day Base'!B90)*(1+ExpressFuelSurcharge),2))*(1+FedEx_Markup),2)</f>
        <v>71.31</v>
      </c>
      <c r="C93" s="275">
        <f>ROUND(IF(MinBase3Day&gt;ROUND(((1-(ThreeDayDiscount_21_Up+FedExExrpessEarnedDiscount))*'3Day Base'!C90),2),ROUND(MinBase3Day*(1+ExpressFuelSurcharge),2),ROUND(((1-(ThreeDayDiscount_21_Up+FedExExrpessEarnedDiscount))*'3Day Base'!C90)*(1+ExpressFuelSurcharge),2))*(1+FedEx_Markup),2)</f>
        <v>95.5</v>
      </c>
      <c r="D93" s="275">
        <f>ROUND(IF(MinBase3Day&gt;ROUND(((1-(ThreeDayDiscount_21_Up+FedExExrpessEarnedDiscount))*'3Day Base'!D90),2),ROUND(MinBase3Day*(1+ExpressFuelSurcharge),2),ROUND(((1-(ThreeDayDiscount_21_Up+FedExExrpessEarnedDiscount))*'3Day Base'!D90)*(1+ExpressFuelSurcharge),2))*(1+FedEx_Markup),2)</f>
        <v>109.88</v>
      </c>
      <c r="E93" s="275">
        <f>ROUND(IF(MinBase3Day&gt;ROUND(((1-(ThreeDayDiscount_21_Up+FedExExrpessEarnedDiscount))*'3Day Base'!E90),2),ROUND(MinBase3Day*(1+ExpressFuelSurcharge),2),ROUND(((1-(ThreeDayDiscount_21_Up+FedExExrpessEarnedDiscount))*'3Day Base'!E90)*(1+ExpressFuelSurcharge),2))*(1+FedEx_Markup),2)</f>
        <v>161.46</v>
      </c>
      <c r="F93" s="275">
        <f>ROUND(IF(MinBase3Day&gt;ROUND(((1-(ThreeDayDiscount_21_Up+FedExExrpessEarnedDiscount))*'3Day Base'!F90),2),ROUND(MinBase3Day*(1+ExpressFuelSurcharge),2),ROUND(((1-(ThreeDayDiscount_21_Up+FedExExrpessEarnedDiscount))*'3Day Base'!F90)*(1+ExpressFuelSurcharge),2))*(1+FedEx_Markup),2)</f>
        <v>209.29</v>
      </c>
      <c r="G93" s="275">
        <f>ROUND(IF(MinBase3Day&gt;ROUND(((1-(ThreeDayDiscount_21_Up+FedExExrpessEarnedDiscount))*'3Day Base'!G90),2),ROUND(MinBase3Day*(1+ExpressFuelSurcharge),2),ROUND(((1-(ThreeDayDiscount_21_Up+FedExExrpessEarnedDiscount))*'3Day Base'!G90)*(1+ExpressFuelSurcharge),2))*(1+FedEx_Markup),2)</f>
        <v>250.61</v>
      </c>
      <c r="H93" s="275">
        <f>ROUND(IF(MinBase3Day&gt;ROUND(((1-(ThreeDayDiscount_21_Up+FedExExrpessEarnedDiscount))*'3Day Base'!H90),2),ROUND(MinBase3Day*(1+ExpressFuelSurcharge),2),ROUND(((1-(ThreeDayDiscount_21_Up+FedExExrpessEarnedDiscount))*'3Day Base'!H90)*(1+ExpressFuelSurcharge),2))*(1+FedEx_Markup),2)</f>
        <v>289.64</v>
      </c>
    </row>
    <row r="94" ht="13.5" customHeight="1">
      <c r="A94" s="274">
        <v>89.0</v>
      </c>
      <c r="B94" s="275">
        <f>ROUND(IF(MinBase3Day&gt;ROUND(((1-(ThreeDayDiscount_21_Up+FedExExrpessEarnedDiscount))*'3Day Base'!B91),2),ROUND(MinBase3Day*(1+ExpressFuelSurcharge),2),ROUND(((1-(ThreeDayDiscount_21_Up+FedExExrpessEarnedDiscount))*'3Day Base'!B91)*(1+ExpressFuelSurcharge),2))*(1+FedEx_Markup),2)</f>
        <v>71.81</v>
      </c>
      <c r="C94" s="275">
        <f>ROUND(IF(MinBase3Day&gt;ROUND(((1-(ThreeDayDiscount_21_Up+FedExExrpessEarnedDiscount))*'3Day Base'!C91),2),ROUND(MinBase3Day*(1+ExpressFuelSurcharge),2),ROUND(((1-(ThreeDayDiscount_21_Up+FedExExrpessEarnedDiscount))*'3Day Base'!C91)*(1+ExpressFuelSurcharge),2))*(1+FedEx_Markup),2)</f>
        <v>95.88</v>
      </c>
      <c r="D94" s="275">
        <f>ROUND(IF(MinBase3Day&gt;ROUND(((1-(ThreeDayDiscount_21_Up+FedExExrpessEarnedDiscount))*'3Day Base'!D91),2),ROUND(MinBase3Day*(1+ExpressFuelSurcharge),2),ROUND(((1-(ThreeDayDiscount_21_Up+FedExExrpessEarnedDiscount))*'3Day Base'!D91)*(1+ExpressFuelSurcharge),2))*(1+FedEx_Markup),2)</f>
        <v>110.26</v>
      </c>
      <c r="E94" s="275">
        <f>ROUND(IF(MinBase3Day&gt;ROUND(((1-(ThreeDayDiscount_21_Up+FedExExrpessEarnedDiscount))*'3Day Base'!E91),2),ROUND(MinBase3Day*(1+ExpressFuelSurcharge),2),ROUND(((1-(ThreeDayDiscount_21_Up+FedExExrpessEarnedDiscount))*'3Day Base'!E91)*(1+ExpressFuelSurcharge),2))*(1+FedEx_Markup),2)</f>
        <v>161.84</v>
      </c>
      <c r="F94" s="275">
        <f>ROUND(IF(MinBase3Day&gt;ROUND(((1-(ThreeDayDiscount_21_Up+FedExExrpessEarnedDiscount))*'3Day Base'!F91),2),ROUND(MinBase3Day*(1+ExpressFuelSurcharge),2),ROUND(((1-(ThreeDayDiscount_21_Up+FedExExrpessEarnedDiscount))*'3Day Base'!F91)*(1+ExpressFuelSurcharge),2))*(1+FedEx_Markup),2)</f>
        <v>209.93</v>
      </c>
      <c r="G94" s="275">
        <f>ROUND(IF(MinBase3Day&gt;ROUND(((1-(ThreeDayDiscount_21_Up+FedExExrpessEarnedDiscount))*'3Day Base'!G91),2),ROUND(MinBase3Day*(1+ExpressFuelSurcharge),2),ROUND(((1-(ThreeDayDiscount_21_Up+FedExExrpessEarnedDiscount))*'3Day Base'!G91)*(1+ExpressFuelSurcharge),2))*(1+FedEx_Markup),2)</f>
        <v>251.22</v>
      </c>
      <c r="H94" s="275">
        <f>ROUND(IF(MinBase3Day&gt;ROUND(((1-(ThreeDayDiscount_21_Up+FedExExrpessEarnedDiscount))*'3Day Base'!H91),2),ROUND(MinBase3Day*(1+ExpressFuelSurcharge),2),ROUND(((1-(ThreeDayDiscount_21_Up+FedExExrpessEarnedDiscount))*'3Day Base'!H91)*(1+ExpressFuelSurcharge),2))*(1+FedEx_Markup),2)</f>
        <v>290.18</v>
      </c>
    </row>
    <row r="95" ht="13.5" customHeight="1">
      <c r="A95" s="274">
        <v>90.0</v>
      </c>
      <c r="B95" s="275">
        <f>ROUND(IF(MinBase3Day&gt;ROUND(((1-(ThreeDayDiscount_21_Up+FedExExrpessEarnedDiscount))*'3Day Base'!B92),2),ROUND(MinBase3Day*(1+ExpressFuelSurcharge),2),ROUND(((1-(ThreeDayDiscount_21_Up+FedExExrpessEarnedDiscount))*'3Day Base'!B92)*(1+ExpressFuelSurcharge),2))*(1+FedEx_Markup),2)</f>
        <v>72.19</v>
      </c>
      <c r="C95" s="275">
        <f>ROUND(IF(MinBase3Day&gt;ROUND(((1-(ThreeDayDiscount_21_Up+FedExExrpessEarnedDiscount))*'3Day Base'!C92),2),ROUND(MinBase3Day*(1+ExpressFuelSurcharge),2),ROUND(((1-(ThreeDayDiscount_21_Up+FedExExrpessEarnedDiscount))*'3Day Base'!C92)*(1+ExpressFuelSurcharge),2))*(1+FedEx_Markup),2)</f>
        <v>96.26</v>
      </c>
      <c r="D95" s="275">
        <f>ROUND(IF(MinBase3Day&gt;ROUND(((1-(ThreeDayDiscount_21_Up+FedExExrpessEarnedDiscount))*'3Day Base'!D92),2),ROUND(MinBase3Day*(1+ExpressFuelSurcharge),2),ROUND(((1-(ThreeDayDiscount_21_Up+FedExExrpessEarnedDiscount))*'3Day Base'!D92)*(1+ExpressFuelSurcharge),2))*(1+FedEx_Markup),2)</f>
        <v>110.64</v>
      </c>
      <c r="E95" s="275">
        <f>ROUND(IF(MinBase3Day&gt;ROUND(((1-(ThreeDayDiscount_21_Up+FedExExrpessEarnedDiscount))*'3Day Base'!E92),2),ROUND(MinBase3Day*(1+ExpressFuelSurcharge),2),ROUND(((1-(ThreeDayDiscount_21_Up+FedExExrpessEarnedDiscount))*'3Day Base'!E92)*(1+ExpressFuelSurcharge),2))*(1+FedEx_Markup),2)</f>
        <v>162.22</v>
      </c>
      <c r="F95" s="275">
        <f>ROUND(IF(MinBase3Day&gt;ROUND(((1-(ThreeDayDiscount_21_Up+FedExExrpessEarnedDiscount))*'3Day Base'!F92),2),ROUND(MinBase3Day*(1+ExpressFuelSurcharge),2),ROUND(((1-(ThreeDayDiscount_21_Up+FedExExrpessEarnedDiscount))*'3Day Base'!F92)*(1+ExpressFuelSurcharge),2))*(1+FedEx_Markup),2)</f>
        <v>210.48</v>
      </c>
      <c r="G95" s="275">
        <f>ROUND(IF(MinBase3Day&gt;ROUND(((1-(ThreeDayDiscount_21_Up+FedExExrpessEarnedDiscount))*'3Day Base'!G92),2),ROUND(MinBase3Day*(1+ExpressFuelSurcharge),2),ROUND(((1-(ThreeDayDiscount_21_Up+FedExExrpessEarnedDiscount))*'3Day Base'!G92)*(1+ExpressFuelSurcharge),2))*(1+FedEx_Markup),2)</f>
        <v>251.88</v>
      </c>
      <c r="H95" s="275">
        <f>ROUND(IF(MinBase3Day&gt;ROUND(((1-(ThreeDayDiscount_21_Up+FedExExrpessEarnedDiscount))*'3Day Base'!H92),2),ROUND(MinBase3Day*(1+ExpressFuelSurcharge),2),ROUND(((1-(ThreeDayDiscount_21_Up+FedExExrpessEarnedDiscount))*'3Day Base'!H92)*(1+ExpressFuelSurcharge),2))*(1+FedEx_Markup),2)</f>
        <v>290.73</v>
      </c>
    </row>
    <row r="96" ht="13.5" customHeight="1">
      <c r="A96" s="274">
        <v>91.0</v>
      </c>
      <c r="B96" s="275">
        <f>ROUND(IF(MinBase3Day&gt;ROUND(((1-(ThreeDayDiscount_21_Up+FedExExrpessEarnedDiscount))*'3Day Base'!B93),2),ROUND(MinBase3Day*(1+ExpressFuelSurcharge),2),ROUND(((1-(ThreeDayDiscount_21_Up+FedExExrpessEarnedDiscount))*'3Day Base'!B93)*(1+ExpressFuelSurcharge),2))*(1+FedEx_Markup),2)</f>
        <v>75.01</v>
      </c>
      <c r="C96" s="275">
        <f>ROUND(IF(MinBase3Day&gt;ROUND(((1-(ThreeDayDiscount_21_Up+FedExExrpessEarnedDiscount))*'3Day Base'!C93),2),ROUND(MinBase3Day*(1+ExpressFuelSurcharge),2),ROUND(((1-(ThreeDayDiscount_21_Up+FedExExrpessEarnedDiscount))*'3Day Base'!C93)*(1+ExpressFuelSurcharge),2))*(1+FedEx_Markup),2)</f>
        <v>97.14</v>
      </c>
      <c r="D96" s="275">
        <f>ROUND(IF(MinBase3Day&gt;ROUND(((1-(ThreeDayDiscount_21_Up+FedExExrpessEarnedDiscount))*'3Day Base'!D93),2),ROUND(MinBase3Day*(1+ExpressFuelSurcharge),2),ROUND(((1-(ThreeDayDiscount_21_Up+FedExExrpessEarnedDiscount))*'3Day Base'!D93)*(1+ExpressFuelSurcharge),2))*(1+FedEx_Markup),2)</f>
        <v>115.4</v>
      </c>
      <c r="E96" s="275">
        <f>ROUND(IF(MinBase3Day&gt;ROUND(((1-(ThreeDayDiscount_21_Up+FedExExrpessEarnedDiscount))*'3Day Base'!E93),2),ROUND(MinBase3Day*(1+ExpressFuelSurcharge),2),ROUND(((1-(ThreeDayDiscount_21_Up+FedExExrpessEarnedDiscount))*'3Day Base'!E93)*(1+ExpressFuelSurcharge),2))*(1+FedEx_Markup),2)</f>
        <v>163.46</v>
      </c>
      <c r="F96" s="275">
        <f>ROUND(IF(MinBase3Day&gt;ROUND(((1-(ThreeDayDiscount_21_Up+FedExExrpessEarnedDiscount))*'3Day Base'!F93),2),ROUND(MinBase3Day*(1+ExpressFuelSurcharge),2),ROUND(((1-(ThreeDayDiscount_21_Up+FedExExrpessEarnedDiscount))*'3Day Base'!F93)*(1+ExpressFuelSurcharge),2))*(1+FedEx_Markup),2)</f>
        <v>211.08</v>
      </c>
      <c r="G96" s="275">
        <f>ROUND(IF(MinBase3Day&gt;ROUND(((1-(ThreeDayDiscount_21_Up+FedExExrpessEarnedDiscount))*'3Day Base'!G93),2),ROUND(MinBase3Day*(1+ExpressFuelSurcharge),2),ROUND(((1-(ThreeDayDiscount_21_Up+FedExExrpessEarnedDiscount))*'3Day Base'!G93)*(1+ExpressFuelSurcharge),2))*(1+FedEx_Markup),2)</f>
        <v>252.43</v>
      </c>
      <c r="H96" s="275">
        <f>ROUND(IF(MinBase3Day&gt;ROUND(((1-(ThreeDayDiscount_21_Up+FedExExrpessEarnedDiscount))*'3Day Base'!H93),2),ROUND(MinBase3Day*(1+ExpressFuelSurcharge),2),ROUND(((1-(ThreeDayDiscount_21_Up+FedExExrpessEarnedDiscount))*'3Day Base'!H93)*(1+ExpressFuelSurcharge),2))*(1+FedEx_Markup),2)</f>
        <v>291.33</v>
      </c>
    </row>
    <row r="97" ht="13.5" customHeight="1">
      <c r="A97" s="274">
        <v>92.0</v>
      </c>
      <c r="B97" s="275">
        <f>ROUND(IF(MinBase3Day&gt;ROUND(((1-(ThreeDayDiscount_21_Up+FedExExrpessEarnedDiscount))*'3Day Base'!B94),2),ROUND(MinBase3Day*(1+ExpressFuelSurcharge),2),ROUND(((1-(ThreeDayDiscount_21_Up+FedExExrpessEarnedDiscount))*'3Day Base'!B94)*(1+ExpressFuelSurcharge),2))*(1+FedEx_Markup),2)</f>
        <v>75.5</v>
      </c>
      <c r="C97" s="275">
        <f>ROUND(IF(MinBase3Day&gt;ROUND(((1-(ThreeDayDiscount_21_Up+FedExExrpessEarnedDiscount))*'3Day Base'!C94),2),ROUND(MinBase3Day*(1+ExpressFuelSurcharge),2),ROUND(((1-(ThreeDayDiscount_21_Up+FedExExrpessEarnedDiscount))*'3Day Base'!C94)*(1+ExpressFuelSurcharge),2))*(1+FedEx_Markup),2)</f>
        <v>97.65</v>
      </c>
      <c r="D97" s="275">
        <f>ROUND(IF(MinBase3Day&gt;ROUND(((1-(ThreeDayDiscount_21_Up+FedExExrpessEarnedDiscount))*'3Day Base'!D94),2),ROUND(MinBase3Day*(1+ExpressFuelSurcharge),2),ROUND(((1-(ThreeDayDiscount_21_Up+FedExExrpessEarnedDiscount))*'3Day Base'!D94)*(1+ExpressFuelSurcharge),2))*(1+FedEx_Markup),2)</f>
        <v>115.91</v>
      </c>
      <c r="E97" s="275">
        <f>ROUND(IF(MinBase3Day&gt;ROUND(((1-(ThreeDayDiscount_21_Up+FedExExrpessEarnedDiscount))*'3Day Base'!E94),2),ROUND(MinBase3Day*(1+ExpressFuelSurcharge),2),ROUND(((1-(ThreeDayDiscount_21_Up+FedExExrpessEarnedDiscount))*'3Day Base'!E94)*(1+ExpressFuelSurcharge),2))*(1+FedEx_Markup),2)</f>
        <v>164.07</v>
      </c>
      <c r="F97" s="275">
        <f>ROUND(IF(MinBase3Day&gt;ROUND(((1-(ThreeDayDiscount_21_Up+FedExExrpessEarnedDiscount))*'3Day Base'!F94),2),ROUND(MinBase3Day*(1+ExpressFuelSurcharge),2),ROUND(((1-(ThreeDayDiscount_21_Up+FedExExrpessEarnedDiscount))*'3Day Base'!F94)*(1+ExpressFuelSurcharge),2))*(1+FedEx_Markup),2)</f>
        <v>211.68</v>
      </c>
      <c r="G97" s="275">
        <f>ROUND(IF(MinBase3Day&gt;ROUND(((1-(ThreeDayDiscount_21_Up+FedExExrpessEarnedDiscount))*'3Day Base'!G94),2),ROUND(MinBase3Day*(1+ExpressFuelSurcharge),2),ROUND(((1-(ThreeDayDiscount_21_Up+FedExExrpessEarnedDiscount))*'3Day Base'!G94)*(1+ExpressFuelSurcharge),2))*(1+FedEx_Markup),2)</f>
        <v>253.02</v>
      </c>
      <c r="H97" s="275">
        <f>ROUND(IF(MinBase3Day&gt;ROUND(((1-(ThreeDayDiscount_21_Up+FedExExrpessEarnedDiscount))*'3Day Base'!H94),2),ROUND(MinBase3Day*(1+ExpressFuelSurcharge),2),ROUND(((1-(ThreeDayDiscount_21_Up+FedExExrpessEarnedDiscount))*'3Day Base'!H94)*(1+ExpressFuelSurcharge),2))*(1+FedEx_Markup),2)</f>
        <v>291.94</v>
      </c>
    </row>
    <row r="98" ht="13.5" customHeight="1">
      <c r="A98" s="274">
        <v>93.0</v>
      </c>
      <c r="B98" s="275">
        <f>ROUND(IF(MinBase3Day&gt;ROUND(((1-(ThreeDayDiscount_21_Up+FedExExrpessEarnedDiscount))*'3Day Base'!B95),2),ROUND(MinBase3Day*(1+ExpressFuelSurcharge),2),ROUND(((1-(ThreeDayDiscount_21_Up+FedExExrpessEarnedDiscount))*'3Day Base'!B95)*(1+ExpressFuelSurcharge),2))*(1+FedEx_Markup),2)</f>
        <v>76.13</v>
      </c>
      <c r="C98" s="275">
        <f>ROUND(IF(MinBase3Day&gt;ROUND(((1-(ThreeDayDiscount_21_Up+FedExExrpessEarnedDiscount))*'3Day Base'!C95),2),ROUND(MinBase3Day*(1+ExpressFuelSurcharge),2),ROUND(((1-(ThreeDayDiscount_21_Up+FedExExrpessEarnedDiscount))*'3Day Base'!C95)*(1+ExpressFuelSurcharge),2))*(1+FedEx_Markup),2)</f>
        <v>98.15</v>
      </c>
      <c r="D98" s="275">
        <f>ROUND(IF(MinBase3Day&gt;ROUND(((1-(ThreeDayDiscount_21_Up+FedExExrpessEarnedDiscount))*'3Day Base'!D95),2),ROUND(MinBase3Day*(1+ExpressFuelSurcharge),2),ROUND(((1-(ThreeDayDiscount_21_Up+FedExExrpessEarnedDiscount))*'3Day Base'!D95)*(1+ExpressFuelSurcharge),2))*(1+FedEx_Markup),2)</f>
        <v>116.43</v>
      </c>
      <c r="E98" s="275">
        <f>ROUND(IF(MinBase3Day&gt;ROUND(((1-(ThreeDayDiscount_21_Up+FedExExrpessEarnedDiscount))*'3Day Base'!E95),2),ROUND(MinBase3Day*(1+ExpressFuelSurcharge),2),ROUND(((1-(ThreeDayDiscount_21_Up+FedExExrpessEarnedDiscount))*'3Day Base'!E95)*(1+ExpressFuelSurcharge),2))*(1+FedEx_Markup),2)</f>
        <v>164.67</v>
      </c>
      <c r="F98" s="275">
        <f>ROUND(IF(MinBase3Day&gt;ROUND(((1-(ThreeDayDiscount_21_Up+FedExExrpessEarnedDiscount))*'3Day Base'!F95),2),ROUND(MinBase3Day*(1+ExpressFuelSurcharge),2),ROUND(((1-(ThreeDayDiscount_21_Up+FedExExrpessEarnedDiscount))*'3Day Base'!F95)*(1+ExpressFuelSurcharge),2))*(1+FedEx_Markup),2)</f>
        <v>212.28</v>
      </c>
      <c r="G98" s="275">
        <f>ROUND(IF(MinBase3Day&gt;ROUND(((1-(ThreeDayDiscount_21_Up+FedExExrpessEarnedDiscount))*'3Day Base'!G95),2),ROUND(MinBase3Day*(1+ExpressFuelSurcharge),2),ROUND(((1-(ThreeDayDiscount_21_Up+FedExExrpessEarnedDiscount))*'3Day Base'!G95)*(1+ExpressFuelSurcharge),2))*(1+FedEx_Markup),2)</f>
        <v>253.62</v>
      </c>
      <c r="H98" s="275">
        <f>ROUND(IF(MinBase3Day&gt;ROUND(((1-(ThreeDayDiscount_21_Up+FedExExrpessEarnedDiscount))*'3Day Base'!H95),2),ROUND(MinBase3Day*(1+ExpressFuelSurcharge),2),ROUND(((1-(ThreeDayDiscount_21_Up+FedExExrpessEarnedDiscount))*'3Day Base'!H95)*(1+ExpressFuelSurcharge),2))*(1+FedEx_Markup),2)</f>
        <v>292.53</v>
      </c>
    </row>
    <row r="99" ht="13.5" customHeight="1">
      <c r="A99" s="274">
        <v>94.0</v>
      </c>
      <c r="B99" s="275">
        <f>ROUND(IF(MinBase3Day&gt;ROUND(((1-(ThreeDayDiscount_21_Up+FedExExrpessEarnedDiscount))*'3Day Base'!B96),2),ROUND(MinBase3Day*(1+ExpressFuelSurcharge),2),ROUND(((1-(ThreeDayDiscount_21_Up+FedExExrpessEarnedDiscount))*'3Day Base'!B96)*(1+ExpressFuelSurcharge),2))*(1+FedEx_Markup),2)</f>
        <v>76.68</v>
      </c>
      <c r="C99" s="275">
        <f>ROUND(IF(MinBase3Day&gt;ROUND(((1-(ThreeDayDiscount_21_Up+FedExExrpessEarnedDiscount))*'3Day Base'!C96),2),ROUND(MinBase3Day*(1+ExpressFuelSurcharge),2),ROUND(((1-(ThreeDayDiscount_21_Up+FedExExrpessEarnedDiscount))*'3Day Base'!C96)*(1+ExpressFuelSurcharge),2))*(1+FedEx_Markup),2)</f>
        <v>98.66</v>
      </c>
      <c r="D99" s="275">
        <f>ROUND(IF(MinBase3Day&gt;ROUND(((1-(ThreeDayDiscount_21_Up+FedExExrpessEarnedDiscount))*'3Day Base'!D96),2),ROUND(MinBase3Day*(1+ExpressFuelSurcharge),2),ROUND(((1-(ThreeDayDiscount_21_Up+FedExExrpessEarnedDiscount))*'3Day Base'!D96)*(1+ExpressFuelSurcharge),2))*(1+FedEx_Markup),2)</f>
        <v>116.93</v>
      </c>
      <c r="E99" s="275">
        <f>ROUND(IF(MinBase3Day&gt;ROUND(((1-(ThreeDayDiscount_21_Up+FedExExrpessEarnedDiscount))*'3Day Base'!E96),2),ROUND(MinBase3Day*(1+ExpressFuelSurcharge),2),ROUND(((1-(ThreeDayDiscount_21_Up+FedExExrpessEarnedDiscount))*'3Day Base'!E96)*(1+ExpressFuelSurcharge),2))*(1+FedEx_Markup),2)</f>
        <v>165.27</v>
      </c>
      <c r="F99" s="275">
        <f>ROUND(IF(MinBase3Day&gt;ROUND(((1-(ThreeDayDiscount_21_Up+FedExExrpessEarnedDiscount))*'3Day Base'!F96),2),ROUND(MinBase3Day*(1+ExpressFuelSurcharge),2),ROUND(((1-(ThreeDayDiscount_21_Up+FedExExrpessEarnedDiscount))*'3Day Base'!F96)*(1+ExpressFuelSurcharge),2))*(1+FedEx_Markup),2)</f>
        <v>212.88</v>
      </c>
      <c r="G99" s="275">
        <f>ROUND(IF(MinBase3Day&gt;ROUND(((1-(ThreeDayDiscount_21_Up+FedExExrpessEarnedDiscount))*'3Day Base'!G96),2),ROUND(MinBase3Day*(1+ExpressFuelSurcharge),2),ROUND(((1-(ThreeDayDiscount_21_Up+FedExExrpessEarnedDiscount))*'3Day Base'!G96)*(1+ExpressFuelSurcharge),2))*(1+FedEx_Markup),2)</f>
        <v>254.23</v>
      </c>
      <c r="H99" s="275">
        <f>ROUND(IF(MinBase3Day&gt;ROUND(((1-(ThreeDayDiscount_21_Up+FedExExrpessEarnedDiscount))*'3Day Base'!H96),2),ROUND(MinBase3Day*(1+ExpressFuelSurcharge),2),ROUND(((1-(ThreeDayDiscount_21_Up+FedExExrpessEarnedDiscount))*'3Day Base'!H96)*(1+ExpressFuelSurcharge),2))*(1+FedEx_Markup),2)</f>
        <v>293.27</v>
      </c>
    </row>
    <row r="100" ht="13.5" customHeight="1">
      <c r="A100" s="274">
        <v>95.0</v>
      </c>
      <c r="B100" s="275">
        <f>ROUND(IF(MinBase3Day&gt;ROUND(((1-(ThreeDayDiscount_21_Up+FedExExrpessEarnedDiscount))*'3Day Base'!B97),2),ROUND(MinBase3Day*(1+ExpressFuelSurcharge),2),ROUND(((1-(ThreeDayDiscount_21_Up+FedExExrpessEarnedDiscount))*'3Day Base'!B97)*(1+ExpressFuelSurcharge),2))*(1+FedEx_Markup),2)</f>
        <v>77.34</v>
      </c>
      <c r="C100" s="275">
        <f>ROUND(IF(MinBase3Day&gt;ROUND(((1-(ThreeDayDiscount_21_Up+FedExExrpessEarnedDiscount))*'3Day Base'!C97),2),ROUND(MinBase3Day*(1+ExpressFuelSurcharge),2),ROUND(((1-(ThreeDayDiscount_21_Up+FedExExrpessEarnedDiscount))*'3Day Base'!C97)*(1+ExpressFuelSurcharge),2))*(1+FedEx_Markup),2)</f>
        <v>99.18</v>
      </c>
      <c r="D100" s="275">
        <f>ROUND(IF(MinBase3Day&gt;ROUND(((1-(ThreeDayDiscount_21_Up+FedExExrpessEarnedDiscount))*'3Day Base'!D97),2),ROUND(MinBase3Day*(1+ExpressFuelSurcharge),2),ROUND(((1-(ThreeDayDiscount_21_Up+FedExExrpessEarnedDiscount))*'3Day Base'!D97)*(1+ExpressFuelSurcharge),2))*(1+FedEx_Markup),2)</f>
        <v>117.44</v>
      </c>
      <c r="E100" s="275">
        <f>ROUND(IF(MinBase3Day&gt;ROUND(((1-(ThreeDayDiscount_21_Up+FedExExrpessEarnedDiscount))*'3Day Base'!E97),2),ROUND(MinBase3Day*(1+ExpressFuelSurcharge),2),ROUND(((1-(ThreeDayDiscount_21_Up+FedExExrpessEarnedDiscount))*'3Day Base'!E97)*(1+ExpressFuelSurcharge),2))*(1+FedEx_Markup),2)</f>
        <v>165.86</v>
      </c>
      <c r="F100" s="275">
        <f>ROUND(IF(MinBase3Day&gt;ROUND(((1-(ThreeDayDiscount_21_Up+FedExExrpessEarnedDiscount))*'3Day Base'!F97),2),ROUND(MinBase3Day*(1+ExpressFuelSurcharge),2),ROUND(((1-(ThreeDayDiscount_21_Up+FedExExrpessEarnedDiscount))*'3Day Base'!F97)*(1+ExpressFuelSurcharge),2))*(1+FedEx_Markup),2)</f>
        <v>213.75</v>
      </c>
      <c r="G100" s="275">
        <f>ROUND(IF(MinBase3Day&gt;ROUND(((1-(ThreeDayDiscount_21_Up+FedExExrpessEarnedDiscount))*'3Day Base'!G97),2),ROUND(MinBase3Day*(1+ExpressFuelSurcharge),2),ROUND(((1-(ThreeDayDiscount_21_Up+FedExExrpessEarnedDiscount))*'3Day Base'!G97)*(1+ExpressFuelSurcharge),2))*(1+FedEx_Markup),2)</f>
        <v>254.84</v>
      </c>
      <c r="H100" s="275">
        <f>ROUND(IF(MinBase3Day&gt;ROUND(((1-(ThreeDayDiscount_21_Up+FedExExrpessEarnedDiscount))*'3Day Base'!H97),2),ROUND(MinBase3Day*(1+ExpressFuelSurcharge),2),ROUND(((1-(ThreeDayDiscount_21_Up+FedExExrpessEarnedDiscount))*'3Day Base'!H97)*(1+ExpressFuelSurcharge),2))*(1+FedEx_Markup),2)</f>
        <v>308</v>
      </c>
    </row>
    <row r="101" ht="13.5" customHeight="1">
      <c r="A101" s="274">
        <v>96.0</v>
      </c>
      <c r="B101" s="275">
        <f>ROUND(IF(MinBase3Day&gt;ROUND(((1-(ThreeDayDiscount_21_Up+FedExExrpessEarnedDiscount))*'3Day Base'!B98),2),ROUND(MinBase3Day*(1+ExpressFuelSurcharge),2),ROUND(((1-(ThreeDayDiscount_21_Up+FedExExrpessEarnedDiscount))*'3Day Base'!B98)*(1+ExpressFuelSurcharge),2))*(1+FedEx_Markup),2)</f>
        <v>79.07</v>
      </c>
      <c r="C101" s="275">
        <f>ROUND(IF(MinBase3Day&gt;ROUND(((1-(ThreeDayDiscount_21_Up+FedExExrpessEarnedDiscount))*'3Day Base'!C98),2),ROUND(MinBase3Day*(1+ExpressFuelSurcharge),2),ROUND(((1-(ThreeDayDiscount_21_Up+FedExExrpessEarnedDiscount))*'3Day Base'!C98)*(1+ExpressFuelSurcharge),2))*(1+FedEx_Markup),2)</f>
        <v>99.64</v>
      </c>
      <c r="D101" s="275">
        <f>ROUND(IF(MinBase3Day&gt;ROUND(((1-(ThreeDayDiscount_21_Up+FedExExrpessEarnedDiscount))*'3Day Base'!D98),2),ROUND(MinBase3Day*(1+ExpressFuelSurcharge),2),ROUND(((1-(ThreeDayDiscount_21_Up+FedExExrpessEarnedDiscount))*'3Day Base'!D98)*(1+ExpressFuelSurcharge),2))*(1+FedEx_Markup),2)</f>
        <v>120.8</v>
      </c>
      <c r="E101" s="275">
        <f>ROUND(IF(MinBase3Day&gt;ROUND(((1-(ThreeDayDiscount_21_Up+FedExExrpessEarnedDiscount))*'3Day Base'!E98),2),ROUND(MinBase3Day*(1+ExpressFuelSurcharge),2),ROUND(((1-(ThreeDayDiscount_21_Up+FedExExrpessEarnedDiscount))*'3Day Base'!E98)*(1+ExpressFuelSurcharge),2))*(1+FedEx_Markup),2)</f>
        <v>166.46</v>
      </c>
      <c r="F101" s="275">
        <f>ROUND(IF(MinBase3Day&gt;ROUND(((1-(ThreeDayDiscount_21_Up+FedExExrpessEarnedDiscount))*'3Day Base'!F98),2),ROUND(MinBase3Day*(1+ExpressFuelSurcharge),2),ROUND(((1-(ThreeDayDiscount_21_Up+FedExExrpessEarnedDiscount))*'3Day Base'!F98)*(1+ExpressFuelSurcharge),2))*(1+FedEx_Markup),2)</f>
        <v>230.85</v>
      </c>
      <c r="G101" s="275">
        <f>ROUND(IF(MinBase3Day&gt;ROUND(((1-(ThreeDayDiscount_21_Up+FedExExrpessEarnedDiscount))*'3Day Base'!G98),2),ROUND(MinBase3Day*(1+ExpressFuelSurcharge),2),ROUND(((1-(ThreeDayDiscount_21_Up+FedExExrpessEarnedDiscount))*'3Day Base'!G98)*(1+ExpressFuelSurcharge),2))*(1+FedEx_Markup),2)</f>
        <v>255.44</v>
      </c>
      <c r="H101" s="275">
        <f>ROUND(IF(MinBase3Day&gt;ROUND(((1-(ThreeDayDiscount_21_Up+FedExExrpessEarnedDiscount))*'3Day Base'!H98),2),ROUND(MinBase3Day*(1+ExpressFuelSurcharge),2),ROUND(((1-(ThreeDayDiscount_21_Up+FedExExrpessEarnedDiscount))*'3Day Base'!H98)*(1+ExpressFuelSurcharge),2))*(1+FedEx_Markup),2)</f>
        <v>319.45</v>
      </c>
    </row>
    <row r="102" ht="13.5" customHeight="1">
      <c r="A102" s="274">
        <v>97.0</v>
      </c>
      <c r="B102" s="275">
        <f>ROUND(IF(MinBase3Day&gt;ROUND(((1-(ThreeDayDiscount_21_Up+FedExExrpessEarnedDiscount))*'3Day Base'!B99),2),ROUND(MinBase3Day*(1+ExpressFuelSurcharge),2),ROUND(((1-(ThreeDayDiscount_21_Up+FedExExrpessEarnedDiscount))*'3Day Base'!B99)*(1+ExpressFuelSurcharge),2))*(1+FedEx_Markup),2)</f>
        <v>79.57</v>
      </c>
      <c r="C102" s="275">
        <f>ROUND(IF(MinBase3Day&gt;ROUND(((1-(ThreeDayDiscount_21_Up+FedExExrpessEarnedDiscount))*'3Day Base'!C99),2),ROUND(MinBase3Day*(1+ExpressFuelSurcharge),2),ROUND(((1-(ThreeDayDiscount_21_Up+FedExExrpessEarnedDiscount))*'3Day Base'!C99)*(1+ExpressFuelSurcharge),2))*(1+FedEx_Markup),2)</f>
        <v>100.18</v>
      </c>
      <c r="D102" s="275">
        <f>ROUND(IF(MinBase3Day&gt;ROUND(((1-(ThreeDayDiscount_21_Up+FedExExrpessEarnedDiscount))*'3Day Base'!D99),2),ROUND(MinBase3Day*(1+ExpressFuelSurcharge),2),ROUND(((1-(ThreeDayDiscount_21_Up+FedExExrpessEarnedDiscount))*'3Day Base'!D99)*(1+ExpressFuelSurcharge),2))*(1+FedEx_Markup),2)</f>
        <v>123.71</v>
      </c>
      <c r="E102" s="275">
        <f>ROUND(IF(MinBase3Day&gt;ROUND(((1-(ThreeDayDiscount_21_Up+FedExExrpessEarnedDiscount))*'3Day Base'!E99),2),ROUND(MinBase3Day*(1+ExpressFuelSurcharge),2),ROUND(((1-(ThreeDayDiscount_21_Up+FedExExrpessEarnedDiscount))*'3Day Base'!E99)*(1+ExpressFuelSurcharge),2))*(1+FedEx_Markup),2)</f>
        <v>167.06</v>
      </c>
      <c r="F102" s="275">
        <f>ROUND(IF(MinBase3Day&gt;ROUND(((1-(ThreeDayDiscount_21_Up+FedExExrpessEarnedDiscount))*'3Day Base'!F99),2),ROUND(MinBase3Day*(1+ExpressFuelSurcharge),2),ROUND(((1-(ThreeDayDiscount_21_Up+FedExExrpessEarnedDiscount))*'3Day Base'!F99)*(1+ExpressFuelSurcharge),2))*(1+FedEx_Markup),2)</f>
        <v>232.56</v>
      </c>
      <c r="G102" s="275">
        <f>ROUND(IF(MinBase3Day&gt;ROUND(((1-(ThreeDayDiscount_21_Up+FedExExrpessEarnedDiscount))*'3Day Base'!G99),2),ROUND(MinBase3Day*(1+ExpressFuelSurcharge),2),ROUND(((1-(ThreeDayDiscount_21_Up+FedExExrpessEarnedDiscount))*'3Day Base'!G99)*(1+ExpressFuelSurcharge),2))*(1+FedEx_Markup),2)</f>
        <v>256.05</v>
      </c>
      <c r="H102" s="275">
        <f>ROUND(IF(MinBase3Day&gt;ROUND(((1-(ThreeDayDiscount_21_Up+FedExExrpessEarnedDiscount))*'3Day Base'!H99),2),ROUND(MinBase3Day*(1+ExpressFuelSurcharge),2),ROUND(((1-(ThreeDayDiscount_21_Up+FedExExrpessEarnedDiscount))*'3Day Base'!H99)*(1+ExpressFuelSurcharge),2))*(1+FedEx_Markup),2)</f>
        <v>320.6</v>
      </c>
    </row>
    <row r="103" ht="13.5" customHeight="1">
      <c r="A103" s="274">
        <v>98.0</v>
      </c>
      <c r="B103" s="275">
        <f>ROUND(IF(MinBase3Day&gt;ROUND(((1-(ThreeDayDiscount_21_Up+FedExExrpessEarnedDiscount))*'3Day Base'!B100),2),ROUND(MinBase3Day*(1+ExpressFuelSurcharge),2),ROUND(((1-(ThreeDayDiscount_21_Up+FedExExrpessEarnedDiscount))*'3Day Base'!B100)*(1+ExpressFuelSurcharge),2))*(1+FedEx_Markup),2)</f>
        <v>82.81</v>
      </c>
      <c r="C103" s="275">
        <f>ROUND(IF(MinBase3Day&gt;ROUND(((1-(ThreeDayDiscount_21_Up+FedExExrpessEarnedDiscount))*'3Day Base'!C100),2),ROUND(MinBase3Day*(1+ExpressFuelSurcharge),2),ROUND(((1-(ThreeDayDiscount_21_Up+FedExExrpessEarnedDiscount))*'3Day Base'!C100)*(1+ExpressFuelSurcharge),2))*(1+FedEx_Markup),2)</f>
        <v>100.69</v>
      </c>
      <c r="D103" s="275">
        <f>ROUND(IF(MinBase3Day&gt;ROUND(((1-(ThreeDayDiscount_21_Up+FedExExrpessEarnedDiscount))*'3Day Base'!D100),2),ROUND(MinBase3Day*(1+ExpressFuelSurcharge),2),ROUND(((1-(ThreeDayDiscount_21_Up+FedExExrpessEarnedDiscount))*'3Day Base'!D100)*(1+ExpressFuelSurcharge),2))*(1+FedEx_Markup),2)</f>
        <v>124.22</v>
      </c>
      <c r="E103" s="275">
        <f>ROUND(IF(MinBase3Day&gt;ROUND(((1-(ThreeDayDiscount_21_Up+FedExExrpessEarnedDiscount))*'3Day Base'!E100),2),ROUND(MinBase3Day*(1+ExpressFuelSurcharge),2),ROUND(((1-(ThreeDayDiscount_21_Up+FedExExrpessEarnedDiscount))*'3Day Base'!E100)*(1+ExpressFuelSurcharge),2))*(1+FedEx_Markup),2)</f>
        <v>167.65</v>
      </c>
      <c r="F103" s="275">
        <f>ROUND(IF(MinBase3Day&gt;ROUND(((1-(ThreeDayDiscount_21_Up+FedExExrpessEarnedDiscount))*'3Day Base'!F100),2),ROUND(MinBase3Day*(1+ExpressFuelSurcharge),2),ROUND(((1-(ThreeDayDiscount_21_Up+FedExExrpessEarnedDiscount))*'3Day Base'!F100)*(1+ExpressFuelSurcharge),2))*(1+FedEx_Markup),2)</f>
        <v>233.16</v>
      </c>
      <c r="G103" s="275">
        <f>ROUND(IF(MinBase3Day&gt;ROUND(((1-(ThreeDayDiscount_21_Up+FedExExrpessEarnedDiscount))*'3Day Base'!G100),2),ROUND(MinBase3Day*(1+ExpressFuelSurcharge),2),ROUND(((1-(ThreeDayDiscount_21_Up+FedExExrpessEarnedDiscount))*'3Day Base'!G100)*(1+ExpressFuelSurcharge),2))*(1+FedEx_Markup),2)</f>
        <v>256.91</v>
      </c>
      <c r="H103" s="275">
        <f>ROUND(IF(MinBase3Day&gt;ROUND(((1-(ThreeDayDiscount_21_Up+FedExExrpessEarnedDiscount))*'3Day Base'!H100),2),ROUND(MinBase3Day*(1+ExpressFuelSurcharge),2),ROUND(((1-(ThreeDayDiscount_21_Up+FedExExrpessEarnedDiscount))*'3Day Base'!H100)*(1+ExpressFuelSurcharge),2))*(1+FedEx_Markup),2)</f>
        <v>321.23</v>
      </c>
    </row>
    <row r="104" ht="13.5" customHeight="1">
      <c r="A104" s="274">
        <v>99.0</v>
      </c>
      <c r="B104" s="275">
        <f>ROUND(IF(MinBase3Day&gt;ROUND(((1-(ThreeDayDiscount_21_Up+FedExExrpessEarnedDiscount))*'3Day Base'!B101),2),ROUND(MinBase3Day*(1+ExpressFuelSurcharge),2),ROUND(((1-(ThreeDayDiscount_21_Up+FedExExrpessEarnedDiscount))*'3Day Base'!B101)*(1+ExpressFuelSurcharge),2))*(1+FedEx_Markup),2)</f>
        <v>84.12</v>
      </c>
      <c r="C104" s="275">
        <f>ROUND(IF(MinBase3Day&gt;ROUND(((1-(ThreeDayDiscount_21_Up+FedExExrpessEarnedDiscount))*'3Day Base'!C101),2),ROUND(MinBase3Day*(1+ExpressFuelSurcharge),2),ROUND(((1-(ThreeDayDiscount_21_Up+FedExExrpessEarnedDiscount))*'3Day Base'!C101)*(1+ExpressFuelSurcharge),2))*(1+FedEx_Markup),2)</f>
        <v>101.2</v>
      </c>
      <c r="D104" s="275">
        <f>ROUND(IF(MinBase3Day&gt;ROUND(((1-(ThreeDayDiscount_21_Up+FedExExrpessEarnedDiscount))*'3Day Base'!D101),2),ROUND(MinBase3Day*(1+ExpressFuelSurcharge),2),ROUND(((1-(ThreeDayDiscount_21_Up+FedExExrpessEarnedDiscount))*'3Day Base'!D101)*(1+ExpressFuelSurcharge),2))*(1+FedEx_Markup),2)</f>
        <v>127.14</v>
      </c>
      <c r="E104" s="275">
        <f>ROUND(IF(MinBase3Day&gt;ROUND(((1-(ThreeDayDiscount_21_Up+FedExExrpessEarnedDiscount))*'3Day Base'!E101),2),ROUND(MinBase3Day*(1+ExpressFuelSurcharge),2),ROUND(((1-(ThreeDayDiscount_21_Up+FedExExrpessEarnedDiscount))*'3Day Base'!E101)*(1+ExpressFuelSurcharge),2))*(1+FedEx_Markup),2)</f>
        <v>174.41</v>
      </c>
      <c r="F104" s="275">
        <f>ROUND(IF(MinBase3Day&gt;ROUND(((1-(ThreeDayDiscount_21_Up+FedExExrpessEarnedDiscount))*'3Day Base'!F101),2),ROUND(MinBase3Day*(1+ExpressFuelSurcharge),2),ROUND(((1-(ThreeDayDiscount_21_Up+FedExExrpessEarnedDiscount))*'3Day Base'!F101)*(1+ExpressFuelSurcharge),2))*(1+FedEx_Markup),2)</f>
        <v>243.57</v>
      </c>
      <c r="G104" s="275">
        <f>ROUND(IF(MinBase3Day&gt;ROUND(((1-(ThreeDayDiscount_21_Up+FedExExrpessEarnedDiscount))*'3Day Base'!G101),2),ROUND(MinBase3Day*(1+ExpressFuelSurcharge),2),ROUND(((1-(ThreeDayDiscount_21_Up+FedExExrpessEarnedDiscount))*'3Day Base'!G101)*(1+ExpressFuelSurcharge),2))*(1+FedEx_Markup),2)</f>
        <v>274.17</v>
      </c>
      <c r="H104" s="275">
        <f>ROUND(IF(MinBase3Day&gt;ROUND(((1-(ThreeDayDiscount_21_Up+FedExExrpessEarnedDiscount))*'3Day Base'!H101),2),ROUND(MinBase3Day*(1+ExpressFuelSurcharge),2),ROUND(((1-(ThreeDayDiscount_21_Up+FedExExrpessEarnedDiscount))*'3Day Base'!H101)*(1+ExpressFuelSurcharge),2))*(1+FedEx_Markup),2)</f>
        <v>330.73</v>
      </c>
    </row>
    <row r="105" ht="13.5" customHeight="1">
      <c r="A105" s="274">
        <v>100.0</v>
      </c>
      <c r="B105" s="275">
        <f>ROUND(IF(MinBase3Day&gt;ROUND(((1-(ThreeDayDiscount_21_Up+FedExExrpessEarnedDiscount))*'3Day Base'!B102),2),ROUND(MinBase3Day*(1+ExpressFuelSurcharge),2),ROUND(((1-(ThreeDayDiscount_21_Up+FedExExrpessEarnedDiscount))*'3Day Base'!B102)*(1+ExpressFuelSurcharge),2))*(1+FedEx_Markup),2)</f>
        <v>84.54</v>
      </c>
      <c r="C105" s="275">
        <f>ROUND(IF(MinBase3Day&gt;ROUND(((1-(ThreeDayDiscount_21_Up+FedExExrpessEarnedDiscount))*'3Day Base'!C102),2),ROUND(MinBase3Day*(1+ExpressFuelSurcharge),2),ROUND(((1-(ThreeDayDiscount_21_Up+FedExExrpessEarnedDiscount))*'3Day Base'!C102)*(1+ExpressFuelSurcharge),2))*(1+FedEx_Markup),2)</f>
        <v>108.77</v>
      </c>
      <c r="D105" s="275">
        <f>ROUND(IF(MinBase3Day&gt;ROUND(((1-(ThreeDayDiscount_21_Up+FedExExrpessEarnedDiscount))*'3Day Base'!D102),2),ROUND(MinBase3Day*(1+ExpressFuelSurcharge),2),ROUND(((1-(ThreeDayDiscount_21_Up+FedExExrpessEarnedDiscount))*'3Day Base'!D102)*(1+ExpressFuelSurcharge),2))*(1+FedEx_Markup),2)</f>
        <v>139.63</v>
      </c>
      <c r="E105" s="275">
        <f>ROUND(IF(MinBase3Day&gt;ROUND(((1-(ThreeDayDiscount_21_Up+FedExExrpessEarnedDiscount))*'3Day Base'!E102),2),ROUND(MinBase3Day*(1+ExpressFuelSurcharge),2),ROUND(((1-(ThreeDayDiscount_21_Up+FedExExrpessEarnedDiscount))*'3Day Base'!E102)*(1+ExpressFuelSurcharge),2))*(1+FedEx_Markup),2)</f>
        <v>192.83</v>
      </c>
      <c r="F105" s="275">
        <f>ROUND(IF(MinBase3Day&gt;ROUND(((1-(ThreeDayDiscount_21_Up+FedExExrpessEarnedDiscount))*'3Day Base'!F102),2),ROUND(MinBase3Day*(1+ExpressFuelSurcharge),2),ROUND(((1-(ThreeDayDiscount_21_Up+FedExExrpessEarnedDiscount))*'3Day Base'!F102)*(1+ExpressFuelSurcharge),2))*(1+FedEx_Markup),2)</f>
        <v>269.77</v>
      </c>
      <c r="G105" s="275">
        <f>ROUND(IF(MinBase3Day&gt;ROUND(((1-(ThreeDayDiscount_21_Up+FedExExrpessEarnedDiscount))*'3Day Base'!G102),2),ROUND(MinBase3Day*(1+ExpressFuelSurcharge),2),ROUND(((1-(ThreeDayDiscount_21_Up+FedExExrpessEarnedDiscount))*'3Day Base'!G102)*(1+ExpressFuelSurcharge),2))*(1+FedEx_Markup),2)</f>
        <v>303.5</v>
      </c>
      <c r="H105" s="275">
        <f>ROUND(IF(MinBase3Day&gt;ROUND(((1-(ThreeDayDiscount_21_Up+FedExExrpessEarnedDiscount))*'3Day Base'!H102),2),ROUND(MinBase3Day*(1+ExpressFuelSurcharge),2),ROUND(((1-(ThreeDayDiscount_21_Up+FedExExrpessEarnedDiscount))*'3Day Base'!H102)*(1+ExpressFuelSurcharge),2))*(1+FedEx_Markup),2)</f>
        <v>344.82</v>
      </c>
    </row>
    <row r="106" ht="13.5" customHeight="1">
      <c r="A106" s="274">
        <v>101.0</v>
      </c>
      <c r="B106" s="275">
        <f>ROUND(IF(MinBase3Day&gt;ROUND(((1-(ThreeDayDiscount_21_Up+FedExExrpessEarnedDiscount))*'3Day Base'!B103),2),ROUND(MinBase3Day*(1+ExpressFuelSurcharge),2),ROUND(((1-(ThreeDayDiscount_21_Up+FedExExrpessEarnedDiscount))*'3Day Base'!B103)*(1+ExpressFuelSurcharge),2))*(1+FedEx_Markup),2)</f>
        <v>85.39</v>
      </c>
      <c r="C106" s="275">
        <f>ROUND(IF(MinBase3Day&gt;ROUND(((1-(ThreeDayDiscount_21_Up+FedExExrpessEarnedDiscount))*'3Day Base'!C103),2),ROUND(MinBase3Day*(1+ExpressFuelSurcharge),2),ROUND(((1-(ThreeDayDiscount_21_Up+FedExExrpessEarnedDiscount))*'3Day Base'!C103)*(1+ExpressFuelSurcharge),2))*(1+FedEx_Markup),2)</f>
        <v>109.85</v>
      </c>
      <c r="D106" s="275">
        <f>ROUND(IF(MinBase3Day&gt;ROUND(((1-(ThreeDayDiscount_21_Up+FedExExrpessEarnedDiscount))*'3Day Base'!D103),2),ROUND(MinBase3Day*(1+ExpressFuelSurcharge),2),ROUND(((1-(ThreeDayDiscount_21_Up+FedExExrpessEarnedDiscount))*'3Day Base'!D103)*(1+ExpressFuelSurcharge),2))*(1+FedEx_Markup),2)</f>
        <v>141.04</v>
      </c>
      <c r="E106" s="275">
        <f>ROUND(IF(MinBase3Day&gt;ROUND(((1-(ThreeDayDiscount_21_Up+FedExExrpessEarnedDiscount))*'3Day Base'!E103),2),ROUND(MinBase3Day*(1+ExpressFuelSurcharge),2),ROUND(((1-(ThreeDayDiscount_21_Up+FedExExrpessEarnedDiscount))*'3Day Base'!E103)*(1+ExpressFuelSurcharge),2))*(1+FedEx_Markup),2)</f>
        <v>194.75</v>
      </c>
      <c r="F106" s="275">
        <f>ROUND(IF(MinBase3Day&gt;ROUND(((1-(ThreeDayDiscount_21_Up+FedExExrpessEarnedDiscount))*'3Day Base'!F103),2),ROUND(MinBase3Day*(1+ExpressFuelSurcharge),2),ROUND(((1-(ThreeDayDiscount_21_Up+FedExExrpessEarnedDiscount))*'3Day Base'!F103)*(1+ExpressFuelSurcharge),2))*(1+FedEx_Markup),2)</f>
        <v>272.47</v>
      </c>
      <c r="G106" s="275">
        <f>ROUND(IF(MinBase3Day&gt;ROUND(((1-(ThreeDayDiscount_21_Up+FedExExrpessEarnedDiscount))*'3Day Base'!G103),2),ROUND(MinBase3Day*(1+ExpressFuelSurcharge),2),ROUND(((1-(ThreeDayDiscount_21_Up+FedExExrpessEarnedDiscount))*'3Day Base'!G103)*(1+ExpressFuelSurcharge),2))*(1+FedEx_Markup),2)</f>
        <v>306.53</v>
      </c>
      <c r="H106" s="275">
        <f>ROUND(IF(MinBase3Day&gt;ROUND(((1-(ThreeDayDiscount_21_Up+FedExExrpessEarnedDiscount))*'3Day Base'!H103),2),ROUND(MinBase3Day*(1+ExpressFuelSurcharge),2),ROUND(((1-(ThreeDayDiscount_21_Up+FedExExrpessEarnedDiscount))*'3Day Base'!H103)*(1+ExpressFuelSurcharge),2))*(1+FedEx_Markup),2)</f>
        <v>348.27</v>
      </c>
    </row>
    <row r="107" ht="13.5" customHeight="1">
      <c r="A107" s="274">
        <v>102.0</v>
      </c>
      <c r="B107" s="275">
        <f>ROUND(IF(MinBase3Day&gt;ROUND(((1-(ThreeDayDiscount_21_Up+FedExExrpessEarnedDiscount))*'3Day Base'!B104),2),ROUND(MinBase3Day*(1+ExpressFuelSurcharge),2),ROUND(((1-(ThreeDayDiscount_21_Up+FedExExrpessEarnedDiscount))*'3Day Base'!B104)*(1+ExpressFuelSurcharge),2))*(1+FedEx_Markup),2)</f>
        <v>86.23</v>
      </c>
      <c r="C107" s="275">
        <f>ROUND(IF(MinBase3Day&gt;ROUND(((1-(ThreeDayDiscount_21_Up+FedExExrpessEarnedDiscount))*'3Day Base'!C104),2),ROUND(MinBase3Day*(1+ExpressFuelSurcharge),2),ROUND(((1-(ThreeDayDiscount_21_Up+FedExExrpessEarnedDiscount))*'3Day Base'!C104)*(1+ExpressFuelSurcharge),2))*(1+FedEx_Markup),2)</f>
        <v>110.94</v>
      </c>
      <c r="D107" s="275">
        <f>ROUND(IF(MinBase3Day&gt;ROUND(((1-(ThreeDayDiscount_21_Up+FedExExrpessEarnedDiscount))*'3Day Base'!D104),2),ROUND(MinBase3Day*(1+ExpressFuelSurcharge),2),ROUND(((1-(ThreeDayDiscount_21_Up+FedExExrpessEarnedDiscount))*'3Day Base'!D104)*(1+ExpressFuelSurcharge),2))*(1+FedEx_Markup),2)</f>
        <v>142.43</v>
      </c>
      <c r="E107" s="275">
        <f>ROUND(IF(MinBase3Day&gt;ROUND(((1-(ThreeDayDiscount_21_Up+FedExExrpessEarnedDiscount))*'3Day Base'!E104),2),ROUND(MinBase3Day*(1+ExpressFuelSurcharge),2),ROUND(((1-(ThreeDayDiscount_21_Up+FedExExrpessEarnedDiscount))*'3Day Base'!E104)*(1+ExpressFuelSurcharge),2))*(1+FedEx_Markup),2)</f>
        <v>196.68</v>
      </c>
      <c r="F107" s="275">
        <f>ROUND(IF(MinBase3Day&gt;ROUND(((1-(ThreeDayDiscount_21_Up+FedExExrpessEarnedDiscount))*'3Day Base'!F104),2),ROUND(MinBase3Day*(1+ExpressFuelSurcharge),2),ROUND(((1-(ThreeDayDiscount_21_Up+FedExExrpessEarnedDiscount))*'3Day Base'!F104)*(1+ExpressFuelSurcharge),2))*(1+FedEx_Markup),2)</f>
        <v>275.17</v>
      </c>
      <c r="G107" s="275">
        <f>ROUND(IF(MinBase3Day&gt;ROUND(((1-(ThreeDayDiscount_21_Up+FedExExrpessEarnedDiscount))*'3Day Base'!G104),2),ROUND(MinBase3Day*(1+ExpressFuelSurcharge),2),ROUND(((1-(ThreeDayDiscount_21_Up+FedExExrpessEarnedDiscount))*'3Day Base'!G104)*(1+ExpressFuelSurcharge),2))*(1+FedEx_Markup),2)</f>
        <v>309.57</v>
      </c>
      <c r="H107" s="275">
        <f>ROUND(IF(MinBase3Day&gt;ROUND(((1-(ThreeDayDiscount_21_Up+FedExExrpessEarnedDiscount))*'3Day Base'!H104),2),ROUND(MinBase3Day*(1+ExpressFuelSurcharge),2),ROUND(((1-(ThreeDayDiscount_21_Up+FedExExrpessEarnedDiscount))*'3Day Base'!H104)*(1+ExpressFuelSurcharge),2))*(1+FedEx_Markup),2)</f>
        <v>351.7</v>
      </c>
    </row>
    <row r="108" ht="13.5" customHeight="1">
      <c r="A108" s="274">
        <v>103.0</v>
      </c>
      <c r="B108" s="275">
        <f>ROUND(IF(MinBase3Day&gt;ROUND(((1-(ThreeDayDiscount_21_Up+FedExExrpessEarnedDiscount))*'3Day Base'!B105),2),ROUND(MinBase3Day*(1+ExpressFuelSurcharge),2),ROUND(((1-(ThreeDayDiscount_21_Up+FedExExrpessEarnedDiscount))*'3Day Base'!B105)*(1+ExpressFuelSurcharge),2))*(1+FedEx_Markup),2)</f>
        <v>87.08</v>
      </c>
      <c r="C108" s="275">
        <f>ROUND(IF(MinBase3Day&gt;ROUND(((1-(ThreeDayDiscount_21_Up+FedExExrpessEarnedDiscount))*'3Day Base'!C105),2),ROUND(MinBase3Day*(1+ExpressFuelSurcharge),2),ROUND(((1-(ThreeDayDiscount_21_Up+FedExExrpessEarnedDiscount))*'3Day Base'!C105)*(1+ExpressFuelSurcharge),2))*(1+FedEx_Markup),2)</f>
        <v>112.02</v>
      </c>
      <c r="D108" s="275">
        <f>ROUND(IF(MinBase3Day&gt;ROUND(((1-(ThreeDayDiscount_21_Up+FedExExrpessEarnedDiscount))*'3Day Base'!D105),2),ROUND(MinBase3Day*(1+ExpressFuelSurcharge),2),ROUND(((1-(ThreeDayDiscount_21_Up+FedExExrpessEarnedDiscount))*'3Day Base'!D105)*(1+ExpressFuelSurcharge),2))*(1+FedEx_Markup),2)</f>
        <v>143.82</v>
      </c>
      <c r="E108" s="275">
        <f>ROUND(IF(MinBase3Day&gt;ROUND(((1-(ThreeDayDiscount_21_Up+FedExExrpessEarnedDiscount))*'3Day Base'!E105),2),ROUND(MinBase3Day*(1+ExpressFuelSurcharge),2),ROUND(((1-(ThreeDayDiscount_21_Up+FedExExrpessEarnedDiscount))*'3Day Base'!E105)*(1+ExpressFuelSurcharge),2))*(1+FedEx_Markup),2)</f>
        <v>198.62</v>
      </c>
      <c r="F108" s="275">
        <f>ROUND(IF(MinBase3Day&gt;ROUND(((1-(ThreeDayDiscount_21_Up+FedExExrpessEarnedDiscount))*'3Day Base'!F105),2),ROUND(MinBase3Day*(1+ExpressFuelSurcharge),2),ROUND(((1-(ThreeDayDiscount_21_Up+FedExExrpessEarnedDiscount))*'3Day Base'!F105)*(1+ExpressFuelSurcharge),2))*(1+FedEx_Markup),2)</f>
        <v>277.86</v>
      </c>
      <c r="G108" s="275">
        <f>ROUND(IF(MinBase3Day&gt;ROUND(((1-(ThreeDayDiscount_21_Up+FedExExrpessEarnedDiscount))*'3Day Base'!G105),2),ROUND(MinBase3Day*(1+ExpressFuelSurcharge),2),ROUND(((1-(ThreeDayDiscount_21_Up+FedExExrpessEarnedDiscount))*'3Day Base'!G105)*(1+ExpressFuelSurcharge),2))*(1+FedEx_Markup),2)</f>
        <v>312.59</v>
      </c>
      <c r="H108" s="275">
        <f>ROUND(IF(MinBase3Day&gt;ROUND(((1-(ThreeDayDiscount_21_Up+FedExExrpessEarnedDiscount))*'3Day Base'!H105),2),ROUND(MinBase3Day*(1+ExpressFuelSurcharge),2),ROUND(((1-(ThreeDayDiscount_21_Up+FedExExrpessEarnedDiscount))*'3Day Base'!H105)*(1+ExpressFuelSurcharge),2))*(1+FedEx_Markup),2)</f>
        <v>355.15</v>
      </c>
    </row>
    <row r="109" ht="13.5" customHeight="1">
      <c r="A109" s="274">
        <v>104.0</v>
      </c>
      <c r="B109" s="275">
        <f>ROUND(IF(MinBase3Day&gt;ROUND(((1-(ThreeDayDiscount_21_Up+FedExExrpessEarnedDiscount))*'3Day Base'!B106),2),ROUND(MinBase3Day*(1+ExpressFuelSurcharge),2),ROUND(((1-(ThreeDayDiscount_21_Up+FedExExrpessEarnedDiscount))*'3Day Base'!B106)*(1+ExpressFuelSurcharge),2))*(1+FedEx_Markup),2)</f>
        <v>87.92</v>
      </c>
      <c r="C109" s="275">
        <f>ROUND(IF(MinBase3Day&gt;ROUND(((1-(ThreeDayDiscount_21_Up+FedExExrpessEarnedDiscount))*'3Day Base'!C106),2),ROUND(MinBase3Day*(1+ExpressFuelSurcharge),2),ROUND(((1-(ThreeDayDiscount_21_Up+FedExExrpessEarnedDiscount))*'3Day Base'!C106)*(1+ExpressFuelSurcharge),2))*(1+FedEx_Markup),2)</f>
        <v>113.11</v>
      </c>
      <c r="D109" s="275">
        <f>ROUND(IF(MinBase3Day&gt;ROUND(((1-(ThreeDayDiscount_21_Up+FedExExrpessEarnedDiscount))*'3Day Base'!D106),2),ROUND(MinBase3Day*(1+ExpressFuelSurcharge),2),ROUND(((1-(ThreeDayDiscount_21_Up+FedExExrpessEarnedDiscount))*'3Day Base'!D106)*(1+ExpressFuelSurcharge),2))*(1+FedEx_Markup),2)</f>
        <v>145.22</v>
      </c>
      <c r="E109" s="275">
        <f>ROUND(IF(MinBase3Day&gt;ROUND(((1-(ThreeDayDiscount_21_Up+FedExExrpessEarnedDiscount))*'3Day Base'!E106),2),ROUND(MinBase3Day*(1+ExpressFuelSurcharge),2),ROUND(((1-(ThreeDayDiscount_21_Up+FedExExrpessEarnedDiscount))*'3Day Base'!E106)*(1+ExpressFuelSurcharge),2))*(1+FedEx_Markup),2)</f>
        <v>200.55</v>
      </c>
      <c r="F109" s="275">
        <f>ROUND(IF(MinBase3Day&gt;ROUND(((1-(ThreeDayDiscount_21_Up+FedExExrpessEarnedDiscount))*'3Day Base'!F106),2),ROUND(MinBase3Day*(1+ExpressFuelSurcharge),2),ROUND(((1-(ThreeDayDiscount_21_Up+FedExExrpessEarnedDiscount))*'3Day Base'!F106)*(1+ExpressFuelSurcharge),2))*(1+FedEx_Markup),2)</f>
        <v>280.57</v>
      </c>
      <c r="G109" s="275">
        <f>ROUND(IF(MinBase3Day&gt;ROUND(((1-(ThreeDayDiscount_21_Up+FedExExrpessEarnedDiscount))*'3Day Base'!G106),2),ROUND(MinBase3Day*(1+ExpressFuelSurcharge),2),ROUND(((1-(ThreeDayDiscount_21_Up+FedExExrpessEarnedDiscount))*'3Day Base'!G106)*(1+ExpressFuelSurcharge),2))*(1+FedEx_Markup),2)</f>
        <v>315.63</v>
      </c>
      <c r="H109" s="275">
        <f>ROUND(IF(MinBase3Day&gt;ROUND(((1-(ThreeDayDiscount_21_Up+FedExExrpessEarnedDiscount))*'3Day Base'!H106),2),ROUND(MinBase3Day*(1+ExpressFuelSurcharge),2),ROUND(((1-(ThreeDayDiscount_21_Up+FedExExrpessEarnedDiscount))*'3Day Base'!H106)*(1+ExpressFuelSurcharge),2))*(1+FedEx_Markup),2)</f>
        <v>358.6</v>
      </c>
    </row>
    <row r="110" ht="12.75" customHeight="1">
      <c r="A110" s="274">
        <v>105.0</v>
      </c>
      <c r="B110" s="275">
        <f>ROUND(IF(MinBase3Day&gt;ROUND(((1-(ThreeDayDiscount_21_Up+FedExExrpessEarnedDiscount))*'3Day Base'!B107),2),ROUND(MinBase3Day*(1+ExpressFuelSurcharge),2),ROUND(((1-(ThreeDayDiscount_21_Up+FedExExrpessEarnedDiscount))*'3Day Base'!B107)*(1+ExpressFuelSurcharge),2))*(1+FedEx_Markup),2)</f>
        <v>88.77</v>
      </c>
      <c r="C110" s="275">
        <f>ROUND(IF(MinBase3Day&gt;ROUND(((1-(ThreeDayDiscount_21_Up+FedExExrpessEarnedDiscount))*'3Day Base'!C107),2),ROUND(MinBase3Day*(1+ExpressFuelSurcharge),2),ROUND(((1-(ThreeDayDiscount_21_Up+FedExExrpessEarnedDiscount))*'3Day Base'!C107)*(1+ExpressFuelSurcharge),2))*(1+FedEx_Markup),2)</f>
        <v>114.21</v>
      </c>
      <c r="D110" s="275">
        <f>ROUND(IF(MinBase3Day&gt;ROUND(((1-(ThreeDayDiscount_21_Up+FedExExrpessEarnedDiscount))*'3Day Base'!D107),2),ROUND(MinBase3Day*(1+ExpressFuelSurcharge),2),ROUND(((1-(ThreeDayDiscount_21_Up+FedExExrpessEarnedDiscount))*'3Day Base'!D107)*(1+ExpressFuelSurcharge),2))*(1+FedEx_Markup),2)</f>
        <v>146.61</v>
      </c>
      <c r="E110" s="275">
        <f>ROUND(IF(MinBase3Day&gt;ROUND(((1-(ThreeDayDiscount_21_Up+FedExExrpessEarnedDiscount))*'3Day Base'!E107),2),ROUND(MinBase3Day*(1+ExpressFuelSurcharge),2),ROUND(((1-(ThreeDayDiscount_21_Up+FedExExrpessEarnedDiscount))*'3Day Base'!E107)*(1+ExpressFuelSurcharge),2))*(1+FedEx_Markup),2)</f>
        <v>202.47</v>
      </c>
      <c r="F110" s="275">
        <f>ROUND(IF(MinBase3Day&gt;ROUND(((1-(ThreeDayDiscount_21_Up+FedExExrpessEarnedDiscount))*'3Day Base'!F107),2),ROUND(MinBase3Day*(1+ExpressFuelSurcharge),2),ROUND(((1-(ThreeDayDiscount_21_Up+FedExExrpessEarnedDiscount))*'3Day Base'!F107)*(1+ExpressFuelSurcharge),2))*(1+FedEx_Markup),2)</f>
        <v>283.26</v>
      </c>
      <c r="G110" s="275">
        <f>ROUND(IF(MinBase3Day&gt;ROUND(((1-(ThreeDayDiscount_21_Up+FedExExrpessEarnedDiscount))*'3Day Base'!G107),2),ROUND(MinBase3Day*(1+ExpressFuelSurcharge),2),ROUND(((1-(ThreeDayDiscount_21_Up+FedExExrpessEarnedDiscount))*'3Day Base'!G107)*(1+ExpressFuelSurcharge),2))*(1+FedEx_Markup),2)</f>
        <v>318.67</v>
      </c>
      <c r="H110" s="275">
        <f>ROUND(IF(MinBase3Day&gt;ROUND(((1-(ThreeDayDiscount_21_Up+FedExExrpessEarnedDiscount))*'3Day Base'!H107),2),ROUND(MinBase3Day*(1+ExpressFuelSurcharge),2),ROUND(((1-(ThreeDayDiscount_21_Up+FedExExrpessEarnedDiscount))*'3Day Base'!H107)*(1+ExpressFuelSurcharge),2))*(1+FedEx_Markup),2)</f>
        <v>362.05</v>
      </c>
    </row>
    <row r="111" ht="12.75" customHeight="1">
      <c r="A111" s="274">
        <v>106.0</v>
      </c>
      <c r="B111" s="275">
        <f>ROUND(IF(MinBase3Day&gt;ROUND(((1-(ThreeDayDiscount_21_Up+FedExExrpessEarnedDiscount))*'3Day Base'!B108),2),ROUND(MinBase3Day*(1+ExpressFuelSurcharge),2),ROUND(((1-(ThreeDayDiscount_21_Up+FedExExrpessEarnedDiscount))*'3Day Base'!B108)*(1+ExpressFuelSurcharge),2))*(1+FedEx_Markup),2)</f>
        <v>89.61</v>
      </c>
      <c r="C111" s="275">
        <f>ROUND(IF(MinBase3Day&gt;ROUND(((1-(ThreeDayDiscount_21_Up+FedExExrpessEarnedDiscount))*'3Day Base'!C108),2),ROUND(MinBase3Day*(1+ExpressFuelSurcharge),2),ROUND(((1-(ThreeDayDiscount_21_Up+FedExExrpessEarnedDiscount))*'3Day Base'!C108)*(1+ExpressFuelSurcharge),2))*(1+FedEx_Markup),2)</f>
        <v>115.29</v>
      </c>
      <c r="D111" s="275">
        <f>ROUND(IF(MinBase3Day&gt;ROUND(((1-(ThreeDayDiscount_21_Up+FedExExrpessEarnedDiscount))*'3Day Base'!D108),2),ROUND(MinBase3Day*(1+ExpressFuelSurcharge),2),ROUND(((1-(ThreeDayDiscount_21_Up+FedExExrpessEarnedDiscount))*'3Day Base'!D108)*(1+ExpressFuelSurcharge),2))*(1+FedEx_Markup),2)</f>
        <v>148.02</v>
      </c>
      <c r="E111" s="275">
        <f>ROUND(IF(MinBase3Day&gt;ROUND(((1-(ThreeDayDiscount_21_Up+FedExExrpessEarnedDiscount))*'3Day Base'!E108),2),ROUND(MinBase3Day*(1+ExpressFuelSurcharge),2),ROUND(((1-(ThreeDayDiscount_21_Up+FedExExrpessEarnedDiscount))*'3Day Base'!E108)*(1+ExpressFuelSurcharge),2))*(1+FedEx_Markup),2)</f>
        <v>204.4</v>
      </c>
      <c r="F111" s="275">
        <f>ROUND(IF(MinBase3Day&gt;ROUND(((1-(ThreeDayDiscount_21_Up+FedExExrpessEarnedDiscount))*'3Day Base'!F108),2),ROUND(MinBase3Day*(1+ExpressFuelSurcharge),2),ROUND(((1-(ThreeDayDiscount_21_Up+FedExExrpessEarnedDiscount))*'3Day Base'!F108)*(1+ExpressFuelSurcharge),2))*(1+FedEx_Markup),2)</f>
        <v>285.96</v>
      </c>
      <c r="G111" s="275">
        <f>ROUND(IF(MinBase3Day&gt;ROUND(((1-(ThreeDayDiscount_21_Up+FedExExrpessEarnedDiscount))*'3Day Base'!G108),2),ROUND(MinBase3Day*(1+ExpressFuelSurcharge),2),ROUND(((1-(ThreeDayDiscount_21_Up+FedExExrpessEarnedDiscount))*'3Day Base'!G108)*(1+ExpressFuelSurcharge),2))*(1+FedEx_Markup),2)</f>
        <v>321.7</v>
      </c>
      <c r="H111" s="275">
        <f>ROUND(IF(MinBase3Day&gt;ROUND(((1-(ThreeDayDiscount_21_Up+FedExExrpessEarnedDiscount))*'3Day Base'!H108),2),ROUND(MinBase3Day*(1+ExpressFuelSurcharge),2),ROUND(((1-(ThreeDayDiscount_21_Up+FedExExrpessEarnedDiscount))*'3Day Base'!H108)*(1+ExpressFuelSurcharge),2))*(1+FedEx_Markup),2)</f>
        <v>365.5</v>
      </c>
    </row>
    <row r="112" ht="12.75" customHeight="1">
      <c r="A112" s="274">
        <v>107.0</v>
      </c>
      <c r="B112" s="275">
        <f>ROUND(IF(MinBase3Day&gt;ROUND(((1-(ThreeDayDiscount_21_Up+FedExExrpessEarnedDiscount))*'3Day Base'!B109),2),ROUND(MinBase3Day*(1+ExpressFuelSurcharge),2),ROUND(((1-(ThreeDayDiscount_21_Up+FedExExrpessEarnedDiscount))*'3Day Base'!B109)*(1+ExpressFuelSurcharge),2))*(1+FedEx_Markup),2)</f>
        <v>90.46</v>
      </c>
      <c r="C112" s="275">
        <f>ROUND(IF(MinBase3Day&gt;ROUND(((1-(ThreeDayDiscount_21_Up+FedExExrpessEarnedDiscount))*'3Day Base'!C109),2),ROUND(MinBase3Day*(1+ExpressFuelSurcharge),2),ROUND(((1-(ThreeDayDiscount_21_Up+FedExExrpessEarnedDiscount))*'3Day Base'!C109)*(1+ExpressFuelSurcharge),2))*(1+FedEx_Markup),2)</f>
        <v>116.38</v>
      </c>
      <c r="D112" s="275">
        <f>ROUND(IF(MinBase3Day&gt;ROUND(((1-(ThreeDayDiscount_21_Up+FedExExrpessEarnedDiscount))*'3Day Base'!D109),2),ROUND(MinBase3Day*(1+ExpressFuelSurcharge),2),ROUND(((1-(ThreeDayDiscount_21_Up+FedExExrpessEarnedDiscount))*'3Day Base'!D109)*(1+ExpressFuelSurcharge),2))*(1+FedEx_Markup),2)</f>
        <v>149.41</v>
      </c>
      <c r="E112" s="275">
        <f>ROUND(IF(MinBase3Day&gt;ROUND(((1-(ThreeDayDiscount_21_Up+FedExExrpessEarnedDiscount))*'3Day Base'!E109),2),ROUND(MinBase3Day*(1+ExpressFuelSurcharge),2),ROUND(((1-(ThreeDayDiscount_21_Up+FedExExrpessEarnedDiscount))*'3Day Base'!E109)*(1+ExpressFuelSurcharge),2))*(1+FedEx_Markup),2)</f>
        <v>206.33</v>
      </c>
      <c r="F112" s="275">
        <f>ROUND(IF(MinBase3Day&gt;ROUND(((1-(ThreeDayDiscount_21_Up+FedExExrpessEarnedDiscount))*'3Day Base'!F109),2),ROUND(MinBase3Day*(1+ExpressFuelSurcharge),2),ROUND(((1-(ThreeDayDiscount_21_Up+FedExExrpessEarnedDiscount))*'3Day Base'!F109)*(1+ExpressFuelSurcharge),2))*(1+FedEx_Markup),2)</f>
        <v>288.65</v>
      </c>
      <c r="G112" s="275">
        <f>ROUND(IF(MinBase3Day&gt;ROUND(((1-(ThreeDayDiscount_21_Up+FedExExrpessEarnedDiscount))*'3Day Base'!G109),2),ROUND(MinBase3Day*(1+ExpressFuelSurcharge),2),ROUND(((1-(ThreeDayDiscount_21_Up+FedExExrpessEarnedDiscount))*'3Day Base'!G109)*(1+ExpressFuelSurcharge),2))*(1+FedEx_Markup),2)</f>
        <v>324.74</v>
      </c>
      <c r="H112" s="275">
        <f>ROUND(IF(MinBase3Day&gt;ROUND(((1-(ThreeDayDiscount_21_Up+FedExExrpessEarnedDiscount))*'3Day Base'!H109),2),ROUND(MinBase3Day*(1+ExpressFuelSurcharge),2),ROUND(((1-(ThreeDayDiscount_21_Up+FedExExrpessEarnedDiscount))*'3Day Base'!H109)*(1+ExpressFuelSurcharge),2))*(1+FedEx_Markup),2)</f>
        <v>368.95</v>
      </c>
    </row>
    <row r="113" ht="12.75" customHeight="1">
      <c r="A113" s="274">
        <v>108.0</v>
      </c>
      <c r="B113" s="275">
        <f>ROUND(IF(MinBase3Day&gt;ROUND(((1-(ThreeDayDiscount_21_Up+FedExExrpessEarnedDiscount))*'3Day Base'!B110),2),ROUND(MinBase3Day*(1+ExpressFuelSurcharge),2),ROUND(((1-(ThreeDayDiscount_21_Up+FedExExrpessEarnedDiscount))*'3Day Base'!B110)*(1+ExpressFuelSurcharge),2))*(1+FedEx_Markup),2)</f>
        <v>91.31</v>
      </c>
      <c r="C113" s="275">
        <f>ROUND(IF(MinBase3Day&gt;ROUND(((1-(ThreeDayDiscount_21_Up+FedExExrpessEarnedDiscount))*'3Day Base'!C110),2),ROUND(MinBase3Day*(1+ExpressFuelSurcharge),2),ROUND(((1-(ThreeDayDiscount_21_Up+FedExExrpessEarnedDiscount))*'3Day Base'!C110)*(1+ExpressFuelSurcharge),2))*(1+FedEx_Markup),2)</f>
        <v>117.46</v>
      </c>
      <c r="D113" s="275">
        <f>ROUND(IF(MinBase3Day&gt;ROUND(((1-(ThreeDayDiscount_21_Up+FedExExrpessEarnedDiscount))*'3Day Base'!D110),2),ROUND(MinBase3Day*(1+ExpressFuelSurcharge),2),ROUND(((1-(ThreeDayDiscount_21_Up+FedExExrpessEarnedDiscount))*'3Day Base'!D110)*(1+ExpressFuelSurcharge),2))*(1+FedEx_Markup),2)</f>
        <v>150.81</v>
      </c>
      <c r="E113" s="275">
        <f>ROUND(IF(MinBase3Day&gt;ROUND(((1-(ThreeDayDiscount_21_Up+FedExExrpessEarnedDiscount))*'3Day Base'!E110),2),ROUND(MinBase3Day*(1+ExpressFuelSurcharge),2),ROUND(((1-(ThreeDayDiscount_21_Up+FedExExrpessEarnedDiscount))*'3Day Base'!E110)*(1+ExpressFuelSurcharge),2))*(1+FedEx_Markup),2)</f>
        <v>208.25</v>
      </c>
      <c r="F113" s="275">
        <f>ROUND(IF(MinBase3Day&gt;ROUND(((1-(ThreeDayDiscount_21_Up+FedExExrpessEarnedDiscount))*'3Day Base'!F110),2),ROUND(MinBase3Day*(1+ExpressFuelSurcharge),2),ROUND(((1-(ThreeDayDiscount_21_Up+FedExExrpessEarnedDiscount))*'3Day Base'!F110)*(1+ExpressFuelSurcharge),2))*(1+FedEx_Markup),2)</f>
        <v>291.35</v>
      </c>
      <c r="G113" s="275">
        <f>ROUND(IF(MinBase3Day&gt;ROUND(((1-(ThreeDayDiscount_21_Up+FedExExrpessEarnedDiscount))*'3Day Base'!G110),2),ROUND(MinBase3Day*(1+ExpressFuelSurcharge),2),ROUND(((1-(ThreeDayDiscount_21_Up+FedExExrpessEarnedDiscount))*'3Day Base'!G110)*(1+ExpressFuelSurcharge),2))*(1+FedEx_Markup),2)</f>
        <v>327.77</v>
      </c>
      <c r="H113" s="275">
        <f>ROUND(IF(MinBase3Day&gt;ROUND(((1-(ThreeDayDiscount_21_Up+FedExExrpessEarnedDiscount))*'3Day Base'!H110),2),ROUND(MinBase3Day*(1+ExpressFuelSurcharge),2),ROUND(((1-(ThreeDayDiscount_21_Up+FedExExrpessEarnedDiscount))*'3Day Base'!H110)*(1+ExpressFuelSurcharge),2))*(1+FedEx_Markup),2)</f>
        <v>372.4</v>
      </c>
    </row>
    <row r="114" ht="12.75" customHeight="1">
      <c r="A114" s="274">
        <v>109.0</v>
      </c>
      <c r="B114" s="275">
        <f>ROUND(IF(MinBase3Day&gt;ROUND(((1-(ThreeDayDiscount_21_Up+FedExExrpessEarnedDiscount))*'3Day Base'!B111),2),ROUND(MinBase3Day*(1+ExpressFuelSurcharge),2),ROUND(((1-(ThreeDayDiscount_21_Up+FedExExrpessEarnedDiscount))*'3Day Base'!B111)*(1+ExpressFuelSurcharge),2))*(1+FedEx_Markup),2)</f>
        <v>92.15</v>
      </c>
      <c r="C114" s="275">
        <f>ROUND(IF(MinBase3Day&gt;ROUND(((1-(ThreeDayDiscount_21_Up+FedExExrpessEarnedDiscount))*'3Day Base'!C111),2),ROUND(MinBase3Day*(1+ExpressFuelSurcharge),2),ROUND(((1-(ThreeDayDiscount_21_Up+FedExExrpessEarnedDiscount))*'3Day Base'!C111)*(1+ExpressFuelSurcharge),2))*(1+FedEx_Markup),2)</f>
        <v>118.55</v>
      </c>
      <c r="D114" s="275">
        <f>ROUND(IF(MinBase3Day&gt;ROUND(((1-(ThreeDayDiscount_21_Up+FedExExrpessEarnedDiscount))*'3Day Base'!D111),2),ROUND(MinBase3Day*(1+ExpressFuelSurcharge),2),ROUND(((1-(ThreeDayDiscount_21_Up+FedExExrpessEarnedDiscount))*'3Day Base'!D111)*(1+ExpressFuelSurcharge),2))*(1+FedEx_Markup),2)</f>
        <v>152.2</v>
      </c>
      <c r="E114" s="275">
        <f>ROUND(IF(MinBase3Day&gt;ROUND(((1-(ThreeDayDiscount_21_Up+FedExExrpessEarnedDiscount))*'3Day Base'!E111),2),ROUND(MinBase3Day*(1+ExpressFuelSurcharge),2),ROUND(((1-(ThreeDayDiscount_21_Up+FedExExrpessEarnedDiscount))*'3Day Base'!E111)*(1+ExpressFuelSurcharge),2))*(1+FedEx_Markup),2)</f>
        <v>210.19</v>
      </c>
      <c r="F114" s="275">
        <f>ROUND(IF(MinBase3Day&gt;ROUND(((1-(ThreeDayDiscount_21_Up+FedExExrpessEarnedDiscount))*'3Day Base'!F111),2),ROUND(MinBase3Day*(1+ExpressFuelSurcharge),2),ROUND(((1-(ThreeDayDiscount_21_Up+FedExExrpessEarnedDiscount))*'3Day Base'!F111)*(1+ExpressFuelSurcharge),2))*(1+FedEx_Markup),2)</f>
        <v>294.06</v>
      </c>
      <c r="G114" s="275">
        <f>ROUND(IF(MinBase3Day&gt;ROUND(((1-(ThreeDayDiscount_21_Up+FedExExrpessEarnedDiscount))*'3Day Base'!G111),2),ROUND(MinBase3Day*(1+ExpressFuelSurcharge),2),ROUND(((1-(ThreeDayDiscount_21_Up+FedExExrpessEarnedDiscount))*'3Day Base'!G111)*(1+ExpressFuelSurcharge),2))*(1+FedEx_Markup),2)</f>
        <v>330.81</v>
      </c>
      <c r="H114" s="275">
        <f>ROUND(IF(MinBase3Day&gt;ROUND(((1-(ThreeDayDiscount_21_Up+FedExExrpessEarnedDiscount))*'3Day Base'!H111),2),ROUND(MinBase3Day*(1+ExpressFuelSurcharge),2),ROUND(((1-(ThreeDayDiscount_21_Up+FedExExrpessEarnedDiscount))*'3Day Base'!H111)*(1+ExpressFuelSurcharge),2))*(1+FedEx_Markup),2)</f>
        <v>375.84</v>
      </c>
    </row>
    <row r="115" ht="12.75" customHeight="1">
      <c r="A115" s="274">
        <v>110.0</v>
      </c>
      <c r="B115" s="275">
        <f>ROUND(IF(MinBase3Day&gt;ROUND(((1-(ThreeDayDiscount_21_Up+FedExExrpessEarnedDiscount))*'3Day Base'!B112),2),ROUND(MinBase3Day*(1+ExpressFuelSurcharge),2),ROUND(((1-(ThreeDayDiscount_21_Up+FedExExrpessEarnedDiscount))*'3Day Base'!B112)*(1+ExpressFuelSurcharge),2))*(1+FedEx_Markup),2)</f>
        <v>93</v>
      </c>
      <c r="C115" s="275">
        <f>ROUND(IF(MinBase3Day&gt;ROUND(((1-(ThreeDayDiscount_21_Up+FedExExrpessEarnedDiscount))*'3Day Base'!C112),2),ROUND(MinBase3Day*(1+ExpressFuelSurcharge),2),ROUND(((1-(ThreeDayDiscount_21_Up+FedExExrpessEarnedDiscount))*'3Day Base'!C112)*(1+ExpressFuelSurcharge),2))*(1+FedEx_Markup),2)</f>
        <v>119.63</v>
      </c>
      <c r="D115" s="275">
        <f>ROUND(IF(MinBase3Day&gt;ROUND(((1-(ThreeDayDiscount_21_Up+FedExExrpessEarnedDiscount))*'3Day Base'!D112),2),ROUND(MinBase3Day*(1+ExpressFuelSurcharge),2),ROUND(((1-(ThreeDayDiscount_21_Up+FedExExrpessEarnedDiscount))*'3Day Base'!D112)*(1+ExpressFuelSurcharge),2))*(1+FedEx_Markup),2)</f>
        <v>153.59</v>
      </c>
      <c r="E115" s="275">
        <f>ROUND(IF(MinBase3Day&gt;ROUND(((1-(ThreeDayDiscount_21_Up+FedExExrpessEarnedDiscount))*'3Day Base'!E112),2),ROUND(MinBase3Day*(1+ExpressFuelSurcharge),2),ROUND(((1-(ThreeDayDiscount_21_Up+FedExExrpessEarnedDiscount))*'3Day Base'!E112)*(1+ExpressFuelSurcharge),2))*(1+FedEx_Markup),2)</f>
        <v>212.12</v>
      </c>
      <c r="F115" s="275">
        <f>ROUND(IF(MinBase3Day&gt;ROUND(((1-(ThreeDayDiscount_21_Up+FedExExrpessEarnedDiscount))*'3Day Base'!F112),2),ROUND(MinBase3Day*(1+ExpressFuelSurcharge),2),ROUND(((1-(ThreeDayDiscount_21_Up+FedExExrpessEarnedDiscount))*'3Day Base'!F112)*(1+ExpressFuelSurcharge),2))*(1+FedEx_Markup),2)</f>
        <v>296.75</v>
      </c>
      <c r="G115" s="275">
        <f>ROUND(IF(MinBase3Day&gt;ROUND(((1-(ThreeDayDiscount_21_Up+FedExExrpessEarnedDiscount))*'3Day Base'!G112),2),ROUND(MinBase3Day*(1+ExpressFuelSurcharge),2),ROUND(((1-(ThreeDayDiscount_21_Up+FedExExrpessEarnedDiscount))*'3Day Base'!G112)*(1+ExpressFuelSurcharge),2))*(1+FedEx_Markup),2)</f>
        <v>333.85</v>
      </c>
      <c r="H115" s="275">
        <f>ROUND(IF(MinBase3Day&gt;ROUND(((1-(ThreeDayDiscount_21_Up+FedExExrpessEarnedDiscount))*'3Day Base'!H112),2),ROUND(MinBase3Day*(1+ExpressFuelSurcharge),2),ROUND(((1-(ThreeDayDiscount_21_Up+FedExExrpessEarnedDiscount))*'3Day Base'!H112)*(1+ExpressFuelSurcharge),2))*(1+FedEx_Markup),2)</f>
        <v>379.29</v>
      </c>
    </row>
    <row r="116" ht="12.75" customHeight="1">
      <c r="A116" s="274">
        <v>111.0</v>
      </c>
      <c r="B116" s="275">
        <f>ROUND(IF(MinBase3Day&gt;ROUND(((1-(ThreeDayDiscount_21_Up+FedExExrpessEarnedDiscount))*'3Day Base'!B113),2),ROUND(MinBase3Day*(1+ExpressFuelSurcharge),2),ROUND(((1-(ThreeDayDiscount_21_Up+FedExExrpessEarnedDiscount))*'3Day Base'!B113)*(1+ExpressFuelSurcharge),2))*(1+FedEx_Markup),2)</f>
        <v>93.84</v>
      </c>
      <c r="C116" s="275">
        <f>ROUND(IF(MinBase3Day&gt;ROUND(((1-(ThreeDayDiscount_21_Up+FedExExrpessEarnedDiscount))*'3Day Base'!C113),2),ROUND(MinBase3Day*(1+ExpressFuelSurcharge),2),ROUND(((1-(ThreeDayDiscount_21_Up+FedExExrpessEarnedDiscount))*'3Day Base'!C113)*(1+ExpressFuelSurcharge),2))*(1+FedEx_Markup),2)</f>
        <v>120.73</v>
      </c>
      <c r="D116" s="275">
        <f>ROUND(IF(MinBase3Day&gt;ROUND(((1-(ThreeDayDiscount_21_Up+FedExExrpessEarnedDiscount))*'3Day Base'!D113),2),ROUND(MinBase3Day*(1+ExpressFuelSurcharge),2),ROUND(((1-(ThreeDayDiscount_21_Up+FedExExrpessEarnedDiscount))*'3Day Base'!D113)*(1+ExpressFuelSurcharge),2))*(1+FedEx_Markup),2)</f>
        <v>155</v>
      </c>
      <c r="E116" s="275">
        <f>ROUND(IF(MinBase3Day&gt;ROUND(((1-(ThreeDayDiscount_21_Up+FedExExrpessEarnedDiscount))*'3Day Base'!E113),2),ROUND(MinBase3Day*(1+ExpressFuelSurcharge),2),ROUND(((1-(ThreeDayDiscount_21_Up+FedExExrpessEarnedDiscount))*'3Day Base'!E113)*(1+ExpressFuelSurcharge),2))*(1+FedEx_Markup),2)</f>
        <v>214.04</v>
      </c>
      <c r="F116" s="275">
        <f>ROUND(IF(MinBase3Day&gt;ROUND(((1-(ThreeDayDiscount_21_Up+FedExExrpessEarnedDiscount))*'3Day Base'!F113),2),ROUND(MinBase3Day*(1+ExpressFuelSurcharge),2),ROUND(((1-(ThreeDayDiscount_21_Up+FedExExrpessEarnedDiscount))*'3Day Base'!F113)*(1+ExpressFuelSurcharge),2))*(1+FedEx_Markup),2)</f>
        <v>299.45</v>
      </c>
      <c r="G116" s="275">
        <f>ROUND(IF(MinBase3Day&gt;ROUND(((1-(ThreeDayDiscount_21_Up+FedExExrpessEarnedDiscount))*'3Day Base'!G113),2),ROUND(MinBase3Day*(1+ExpressFuelSurcharge),2),ROUND(((1-(ThreeDayDiscount_21_Up+FedExExrpessEarnedDiscount))*'3Day Base'!G113)*(1+ExpressFuelSurcharge),2))*(1+FedEx_Markup),2)</f>
        <v>336.88</v>
      </c>
      <c r="H116" s="275">
        <f>ROUND(IF(MinBase3Day&gt;ROUND(((1-(ThreeDayDiscount_21_Up+FedExExrpessEarnedDiscount))*'3Day Base'!H113),2),ROUND(MinBase3Day*(1+ExpressFuelSurcharge),2),ROUND(((1-(ThreeDayDiscount_21_Up+FedExExrpessEarnedDiscount))*'3Day Base'!H113)*(1+ExpressFuelSurcharge),2))*(1+FedEx_Markup),2)</f>
        <v>382.74</v>
      </c>
    </row>
    <row r="117" ht="12.75" customHeight="1">
      <c r="A117" s="274">
        <v>112.0</v>
      </c>
      <c r="B117" s="275">
        <f>ROUND(IF(MinBase3Day&gt;ROUND(((1-(ThreeDayDiscount_21_Up+FedExExrpessEarnedDiscount))*'3Day Base'!B114),2),ROUND(MinBase3Day*(1+ExpressFuelSurcharge),2),ROUND(((1-(ThreeDayDiscount_21_Up+FedExExrpessEarnedDiscount))*'3Day Base'!B114)*(1+ExpressFuelSurcharge),2))*(1+FedEx_Markup),2)</f>
        <v>94.69</v>
      </c>
      <c r="C117" s="275">
        <f>ROUND(IF(MinBase3Day&gt;ROUND(((1-(ThreeDayDiscount_21_Up+FedExExrpessEarnedDiscount))*'3Day Base'!C114),2),ROUND(MinBase3Day*(1+ExpressFuelSurcharge),2),ROUND(((1-(ThreeDayDiscount_21_Up+FedExExrpessEarnedDiscount))*'3Day Base'!C114)*(1+ExpressFuelSurcharge),2))*(1+FedEx_Markup),2)</f>
        <v>121.82</v>
      </c>
      <c r="D117" s="275">
        <f>ROUND(IF(MinBase3Day&gt;ROUND(((1-(ThreeDayDiscount_21_Up+FedExExrpessEarnedDiscount))*'3Day Base'!D114),2),ROUND(MinBase3Day*(1+ExpressFuelSurcharge),2),ROUND(((1-(ThreeDayDiscount_21_Up+FedExExrpessEarnedDiscount))*'3Day Base'!D114)*(1+ExpressFuelSurcharge),2))*(1+FedEx_Markup),2)</f>
        <v>156.39</v>
      </c>
      <c r="E117" s="275">
        <f>ROUND(IF(MinBase3Day&gt;ROUND(((1-(ThreeDayDiscount_21_Up+FedExExrpessEarnedDiscount))*'3Day Base'!E114),2),ROUND(MinBase3Day*(1+ExpressFuelSurcharge),2),ROUND(((1-(ThreeDayDiscount_21_Up+FedExExrpessEarnedDiscount))*'3Day Base'!E114)*(1+ExpressFuelSurcharge),2))*(1+FedEx_Markup),2)</f>
        <v>215.97</v>
      </c>
      <c r="F117" s="275">
        <f>ROUND(IF(MinBase3Day&gt;ROUND(((1-(ThreeDayDiscount_21_Up+FedExExrpessEarnedDiscount))*'3Day Base'!F114),2),ROUND(MinBase3Day*(1+ExpressFuelSurcharge),2),ROUND(((1-(ThreeDayDiscount_21_Up+FedExExrpessEarnedDiscount))*'3Day Base'!F114)*(1+ExpressFuelSurcharge),2))*(1+FedEx_Markup),2)</f>
        <v>302.14</v>
      </c>
      <c r="G117" s="275">
        <f>ROUND(IF(MinBase3Day&gt;ROUND(((1-(ThreeDayDiscount_21_Up+FedExExrpessEarnedDiscount))*'3Day Base'!G114),2),ROUND(MinBase3Day*(1+ExpressFuelSurcharge),2),ROUND(((1-(ThreeDayDiscount_21_Up+FedExExrpessEarnedDiscount))*'3Day Base'!G114)*(1+ExpressFuelSurcharge),2))*(1+FedEx_Markup),2)</f>
        <v>339.92</v>
      </c>
      <c r="H117" s="275">
        <f>ROUND(IF(MinBase3Day&gt;ROUND(((1-(ThreeDayDiscount_21_Up+FedExExrpessEarnedDiscount))*'3Day Base'!H114),2),ROUND(MinBase3Day*(1+ExpressFuelSurcharge),2),ROUND(((1-(ThreeDayDiscount_21_Up+FedExExrpessEarnedDiscount))*'3Day Base'!H114)*(1+ExpressFuelSurcharge),2))*(1+FedEx_Markup),2)</f>
        <v>386.19</v>
      </c>
    </row>
    <row r="118" ht="12.75" customHeight="1">
      <c r="A118" s="274">
        <v>113.0</v>
      </c>
      <c r="B118" s="275">
        <f>ROUND(IF(MinBase3Day&gt;ROUND(((1-(ThreeDayDiscount_21_Up+FedExExrpessEarnedDiscount))*'3Day Base'!B115),2),ROUND(MinBase3Day*(1+ExpressFuelSurcharge),2),ROUND(((1-(ThreeDayDiscount_21_Up+FedExExrpessEarnedDiscount))*'3Day Base'!B115)*(1+ExpressFuelSurcharge),2))*(1+FedEx_Markup),2)</f>
        <v>95.53</v>
      </c>
      <c r="C118" s="275">
        <f>ROUND(IF(MinBase3Day&gt;ROUND(((1-(ThreeDayDiscount_21_Up+FedExExrpessEarnedDiscount))*'3Day Base'!C115),2),ROUND(MinBase3Day*(1+ExpressFuelSurcharge),2),ROUND(((1-(ThreeDayDiscount_21_Up+FedExExrpessEarnedDiscount))*'3Day Base'!C115)*(1+ExpressFuelSurcharge),2))*(1+FedEx_Markup),2)</f>
        <v>122.9</v>
      </c>
      <c r="D118" s="275">
        <f>ROUND(IF(MinBase3Day&gt;ROUND(((1-(ThreeDayDiscount_21_Up+FedExExrpessEarnedDiscount))*'3Day Base'!D115),2),ROUND(MinBase3Day*(1+ExpressFuelSurcharge),2),ROUND(((1-(ThreeDayDiscount_21_Up+FedExExrpessEarnedDiscount))*'3Day Base'!D115)*(1+ExpressFuelSurcharge),2))*(1+FedEx_Markup),2)</f>
        <v>157.79</v>
      </c>
      <c r="E118" s="275">
        <f>ROUND(IF(MinBase3Day&gt;ROUND(((1-(ThreeDayDiscount_21_Up+FedExExrpessEarnedDiscount))*'3Day Base'!E115),2),ROUND(MinBase3Day*(1+ExpressFuelSurcharge),2),ROUND(((1-(ThreeDayDiscount_21_Up+FedExExrpessEarnedDiscount))*'3Day Base'!E115)*(1+ExpressFuelSurcharge),2))*(1+FedEx_Markup),2)</f>
        <v>217.9</v>
      </c>
      <c r="F118" s="275">
        <f>ROUND(IF(MinBase3Day&gt;ROUND(((1-(ThreeDayDiscount_21_Up+FedExExrpessEarnedDiscount))*'3Day Base'!F115),2),ROUND(MinBase3Day*(1+ExpressFuelSurcharge),2),ROUND(((1-(ThreeDayDiscount_21_Up+FedExExrpessEarnedDiscount))*'3Day Base'!F115)*(1+ExpressFuelSurcharge),2))*(1+FedEx_Markup),2)</f>
        <v>304.84</v>
      </c>
      <c r="G118" s="275">
        <f>ROUND(IF(MinBase3Day&gt;ROUND(((1-(ThreeDayDiscount_21_Up+FedExExrpessEarnedDiscount))*'3Day Base'!G115),2),ROUND(MinBase3Day*(1+ExpressFuelSurcharge),2),ROUND(((1-(ThreeDayDiscount_21_Up+FedExExrpessEarnedDiscount))*'3Day Base'!G115)*(1+ExpressFuelSurcharge),2))*(1+FedEx_Markup),2)</f>
        <v>342.94</v>
      </c>
      <c r="H118" s="275">
        <f>ROUND(IF(MinBase3Day&gt;ROUND(((1-(ThreeDayDiscount_21_Up+FedExExrpessEarnedDiscount))*'3Day Base'!H115),2),ROUND(MinBase3Day*(1+ExpressFuelSurcharge),2),ROUND(((1-(ThreeDayDiscount_21_Up+FedExExrpessEarnedDiscount))*'3Day Base'!H115)*(1+ExpressFuelSurcharge),2))*(1+FedEx_Markup),2)</f>
        <v>389.64</v>
      </c>
    </row>
    <row r="119" ht="12.75" customHeight="1">
      <c r="A119" s="274">
        <v>114.0</v>
      </c>
      <c r="B119" s="275">
        <f>ROUND(IF(MinBase3Day&gt;ROUND(((1-(ThreeDayDiscount_21_Up+FedExExrpessEarnedDiscount))*'3Day Base'!B116),2),ROUND(MinBase3Day*(1+ExpressFuelSurcharge),2),ROUND(((1-(ThreeDayDiscount_21_Up+FedExExrpessEarnedDiscount))*'3Day Base'!B116)*(1+ExpressFuelSurcharge),2))*(1+FedEx_Markup),2)</f>
        <v>96.38</v>
      </c>
      <c r="C119" s="275">
        <f>ROUND(IF(MinBase3Day&gt;ROUND(((1-(ThreeDayDiscount_21_Up+FedExExrpessEarnedDiscount))*'3Day Base'!C116),2),ROUND(MinBase3Day*(1+ExpressFuelSurcharge),2),ROUND(((1-(ThreeDayDiscount_21_Up+FedExExrpessEarnedDiscount))*'3Day Base'!C116)*(1+ExpressFuelSurcharge),2))*(1+FedEx_Markup),2)</f>
        <v>123.99</v>
      </c>
      <c r="D119" s="275">
        <f>ROUND(IF(MinBase3Day&gt;ROUND(((1-(ThreeDayDiscount_21_Up+FedExExrpessEarnedDiscount))*'3Day Base'!D116),2),ROUND(MinBase3Day*(1+ExpressFuelSurcharge),2),ROUND(((1-(ThreeDayDiscount_21_Up+FedExExrpessEarnedDiscount))*'3Day Base'!D116)*(1+ExpressFuelSurcharge),2))*(1+FedEx_Markup),2)</f>
        <v>159.18</v>
      </c>
      <c r="E119" s="275">
        <f>ROUND(IF(MinBase3Day&gt;ROUND(((1-(ThreeDayDiscount_21_Up+FedExExrpessEarnedDiscount))*'3Day Base'!E116),2),ROUND(MinBase3Day*(1+ExpressFuelSurcharge),2),ROUND(((1-(ThreeDayDiscount_21_Up+FedExExrpessEarnedDiscount))*'3Day Base'!E116)*(1+ExpressFuelSurcharge),2))*(1+FedEx_Markup),2)</f>
        <v>219.82</v>
      </c>
      <c r="F119" s="275">
        <f>ROUND(IF(MinBase3Day&gt;ROUND(((1-(ThreeDayDiscount_21_Up+FedExExrpessEarnedDiscount))*'3Day Base'!F116),2),ROUND(MinBase3Day*(1+ExpressFuelSurcharge),2),ROUND(((1-(ThreeDayDiscount_21_Up+FedExExrpessEarnedDiscount))*'3Day Base'!F116)*(1+ExpressFuelSurcharge),2))*(1+FedEx_Markup),2)</f>
        <v>307.54</v>
      </c>
      <c r="G119" s="275">
        <f>ROUND(IF(MinBase3Day&gt;ROUND(((1-(ThreeDayDiscount_21_Up+FedExExrpessEarnedDiscount))*'3Day Base'!G116),2),ROUND(MinBase3Day*(1+ExpressFuelSurcharge),2),ROUND(((1-(ThreeDayDiscount_21_Up+FedExExrpessEarnedDiscount))*'3Day Base'!G116)*(1+ExpressFuelSurcharge),2))*(1+FedEx_Markup),2)</f>
        <v>345.98</v>
      </c>
      <c r="H119" s="275">
        <f>ROUND(IF(MinBase3Day&gt;ROUND(((1-(ThreeDayDiscount_21_Up+FedExExrpessEarnedDiscount))*'3Day Base'!H116),2),ROUND(MinBase3Day*(1+ExpressFuelSurcharge),2),ROUND(((1-(ThreeDayDiscount_21_Up+FedExExrpessEarnedDiscount))*'3Day Base'!H116)*(1+ExpressFuelSurcharge),2))*(1+FedEx_Markup),2)</f>
        <v>393.09</v>
      </c>
    </row>
    <row r="120" ht="12.75" customHeight="1">
      <c r="A120" s="274">
        <v>115.0</v>
      </c>
      <c r="B120" s="275">
        <f>ROUND(IF(MinBase3Day&gt;ROUND(((1-(ThreeDayDiscount_21_Up+FedExExrpessEarnedDiscount))*'3Day Base'!B117),2),ROUND(MinBase3Day*(1+ExpressFuelSurcharge),2),ROUND(((1-(ThreeDayDiscount_21_Up+FedExExrpessEarnedDiscount))*'3Day Base'!B117)*(1+ExpressFuelSurcharge),2))*(1+FedEx_Markup),2)</f>
        <v>97.22</v>
      </c>
      <c r="C120" s="275">
        <f>ROUND(IF(MinBase3Day&gt;ROUND(((1-(ThreeDayDiscount_21_Up+FedExExrpessEarnedDiscount))*'3Day Base'!C117),2),ROUND(MinBase3Day*(1+ExpressFuelSurcharge),2),ROUND(((1-(ThreeDayDiscount_21_Up+FedExExrpessEarnedDiscount))*'3Day Base'!C117)*(1+ExpressFuelSurcharge),2))*(1+FedEx_Markup),2)</f>
        <v>125.07</v>
      </c>
      <c r="D120" s="275">
        <f>ROUND(IF(MinBase3Day&gt;ROUND(((1-(ThreeDayDiscount_21_Up+FedExExrpessEarnedDiscount))*'3Day Base'!D117),2),ROUND(MinBase3Day*(1+ExpressFuelSurcharge),2),ROUND(((1-(ThreeDayDiscount_21_Up+FedExExrpessEarnedDiscount))*'3Day Base'!D117)*(1+ExpressFuelSurcharge),2))*(1+FedEx_Markup),2)</f>
        <v>160.59</v>
      </c>
      <c r="E120" s="275">
        <f>ROUND(IF(MinBase3Day&gt;ROUND(((1-(ThreeDayDiscount_21_Up+FedExExrpessEarnedDiscount))*'3Day Base'!E117),2),ROUND(MinBase3Day*(1+ExpressFuelSurcharge),2),ROUND(((1-(ThreeDayDiscount_21_Up+FedExExrpessEarnedDiscount))*'3Day Base'!E117)*(1+ExpressFuelSurcharge),2))*(1+FedEx_Markup),2)</f>
        <v>221.75</v>
      </c>
      <c r="F120" s="275">
        <f>ROUND(IF(MinBase3Day&gt;ROUND(((1-(ThreeDayDiscount_21_Up+FedExExrpessEarnedDiscount))*'3Day Base'!F117),2),ROUND(MinBase3Day*(1+ExpressFuelSurcharge),2),ROUND(((1-(ThreeDayDiscount_21_Up+FedExExrpessEarnedDiscount))*'3Day Base'!F117)*(1+ExpressFuelSurcharge),2))*(1+FedEx_Markup),2)</f>
        <v>310.24</v>
      </c>
      <c r="G120" s="275">
        <f>ROUND(IF(MinBase3Day&gt;ROUND(((1-(ThreeDayDiscount_21_Up+FedExExrpessEarnedDiscount))*'3Day Base'!G117),2),ROUND(MinBase3Day*(1+ExpressFuelSurcharge),2),ROUND(((1-(ThreeDayDiscount_21_Up+FedExExrpessEarnedDiscount))*'3Day Base'!G117)*(1+ExpressFuelSurcharge),2))*(1+FedEx_Markup),2)</f>
        <v>349.01</v>
      </c>
      <c r="H120" s="275">
        <f>ROUND(IF(MinBase3Day&gt;ROUND(((1-(ThreeDayDiscount_21_Up+FedExExrpessEarnedDiscount))*'3Day Base'!H117),2),ROUND(MinBase3Day*(1+ExpressFuelSurcharge),2),ROUND(((1-(ThreeDayDiscount_21_Up+FedExExrpessEarnedDiscount))*'3Day Base'!H117)*(1+ExpressFuelSurcharge),2))*(1+FedEx_Markup),2)</f>
        <v>396.53</v>
      </c>
    </row>
    <row r="121" ht="12.75" customHeight="1">
      <c r="A121" s="274">
        <v>116.0</v>
      </c>
      <c r="B121" s="275">
        <f>ROUND(IF(MinBase3Day&gt;ROUND(((1-(ThreeDayDiscount_21_Up+FedExExrpessEarnedDiscount))*'3Day Base'!B118),2),ROUND(MinBase3Day*(1+ExpressFuelSurcharge),2),ROUND(((1-(ThreeDayDiscount_21_Up+FedExExrpessEarnedDiscount))*'3Day Base'!B118)*(1+ExpressFuelSurcharge),2))*(1+FedEx_Markup),2)</f>
        <v>98.07</v>
      </c>
      <c r="C121" s="275">
        <f>ROUND(IF(MinBase3Day&gt;ROUND(((1-(ThreeDayDiscount_21_Up+FedExExrpessEarnedDiscount))*'3Day Base'!C118),2),ROUND(MinBase3Day*(1+ExpressFuelSurcharge),2),ROUND(((1-(ThreeDayDiscount_21_Up+FedExExrpessEarnedDiscount))*'3Day Base'!C118)*(1+ExpressFuelSurcharge),2))*(1+FedEx_Markup),2)</f>
        <v>126.17</v>
      </c>
      <c r="D121" s="275">
        <f>ROUND(IF(MinBase3Day&gt;ROUND(((1-(ThreeDayDiscount_21_Up+FedExExrpessEarnedDiscount))*'3Day Base'!D118),2),ROUND(MinBase3Day*(1+ExpressFuelSurcharge),2),ROUND(((1-(ThreeDayDiscount_21_Up+FedExExrpessEarnedDiscount))*'3Day Base'!D118)*(1+ExpressFuelSurcharge),2))*(1+FedEx_Markup),2)</f>
        <v>161.98</v>
      </c>
      <c r="E121" s="275">
        <f>ROUND(IF(MinBase3Day&gt;ROUND(((1-(ThreeDayDiscount_21_Up+FedExExrpessEarnedDiscount))*'3Day Base'!E118),2),ROUND(MinBase3Day*(1+ExpressFuelSurcharge),2),ROUND(((1-(ThreeDayDiscount_21_Up+FedExExrpessEarnedDiscount))*'3Day Base'!E118)*(1+ExpressFuelSurcharge),2))*(1+FedEx_Markup),2)</f>
        <v>223.69</v>
      </c>
      <c r="F121" s="275">
        <f>ROUND(IF(MinBase3Day&gt;ROUND(((1-(ThreeDayDiscount_21_Up+FedExExrpessEarnedDiscount))*'3Day Base'!F118),2),ROUND(MinBase3Day*(1+ExpressFuelSurcharge),2),ROUND(((1-(ThreeDayDiscount_21_Up+FedExExrpessEarnedDiscount))*'3Day Base'!F118)*(1+ExpressFuelSurcharge),2))*(1+FedEx_Markup),2)</f>
        <v>312.94</v>
      </c>
      <c r="G121" s="275">
        <f>ROUND(IF(MinBase3Day&gt;ROUND(((1-(ThreeDayDiscount_21_Up+FedExExrpessEarnedDiscount))*'3Day Base'!G118),2),ROUND(MinBase3Day*(1+ExpressFuelSurcharge),2),ROUND(((1-(ThreeDayDiscount_21_Up+FedExExrpessEarnedDiscount))*'3Day Base'!G118)*(1+ExpressFuelSurcharge),2))*(1+FedEx_Markup),2)</f>
        <v>352.05</v>
      </c>
      <c r="H121" s="275">
        <f>ROUND(IF(MinBase3Day&gt;ROUND(((1-(ThreeDayDiscount_21_Up+FedExExrpessEarnedDiscount))*'3Day Base'!H118),2),ROUND(MinBase3Day*(1+ExpressFuelSurcharge),2),ROUND(((1-(ThreeDayDiscount_21_Up+FedExExrpessEarnedDiscount))*'3Day Base'!H118)*(1+ExpressFuelSurcharge),2))*(1+FedEx_Markup),2)</f>
        <v>399.98</v>
      </c>
      <c r="L121" s="4"/>
    </row>
    <row r="122" ht="12.75" customHeight="1">
      <c r="A122" s="274">
        <v>117.0</v>
      </c>
      <c r="B122" s="275">
        <f>ROUND(IF(MinBase3Day&gt;ROUND(((1-(ThreeDayDiscount_21_Up+FedExExrpessEarnedDiscount))*'3Day Base'!B119),2),ROUND(MinBase3Day*(1+ExpressFuelSurcharge),2),ROUND(((1-(ThreeDayDiscount_21_Up+FedExExrpessEarnedDiscount))*'3Day Base'!B119)*(1+ExpressFuelSurcharge),2))*(1+FedEx_Markup),2)</f>
        <v>98.91</v>
      </c>
      <c r="C122" s="275">
        <f>ROUND(IF(MinBase3Day&gt;ROUND(((1-(ThreeDayDiscount_21_Up+FedExExrpessEarnedDiscount))*'3Day Base'!C119),2),ROUND(MinBase3Day*(1+ExpressFuelSurcharge),2),ROUND(((1-(ThreeDayDiscount_21_Up+FedExExrpessEarnedDiscount))*'3Day Base'!C119)*(1+ExpressFuelSurcharge),2))*(1+FedEx_Markup),2)</f>
        <v>127.26</v>
      </c>
      <c r="D122" s="275">
        <f>ROUND(IF(MinBase3Day&gt;ROUND(((1-(ThreeDayDiscount_21_Up+FedExExrpessEarnedDiscount))*'3Day Base'!D119),2),ROUND(MinBase3Day*(1+ExpressFuelSurcharge),2),ROUND(((1-(ThreeDayDiscount_21_Up+FedExExrpessEarnedDiscount))*'3Day Base'!D119)*(1+ExpressFuelSurcharge),2))*(1+FedEx_Markup),2)</f>
        <v>163.37</v>
      </c>
      <c r="E122" s="275">
        <f>ROUND(IF(MinBase3Day&gt;ROUND(((1-(ThreeDayDiscount_21_Up+FedExExrpessEarnedDiscount))*'3Day Base'!E119),2),ROUND(MinBase3Day*(1+ExpressFuelSurcharge),2),ROUND(((1-(ThreeDayDiscount_21_Up+FedExExrpessEarnedDiscount))*'3Day Base'!E119)*(1+ExpressFuelSurcharge),2))*(1+FedEx_Markup),2)</f>
        <v>225.61</v>
      </c>
      <c r="F122" s="275">
        <f>ROUND(IF(MinBase3Day&gt;ROUND(((1-(ThreeDayDiscount_21_Up+FedExExrpessEarnedDiscount))*'3Day Base'!F119),2),ROUND(MinBase3Day*(1+ExpressFuelSurcharge),2),ROUND(((1-(ThreeDayDiscount_21_Up+FedExExrpessEarnedDiscount))*'3Day Base'!F119)*(1+ExpressFuelSurcharge),2))*(1+FedEx_Markup),2)</f>
        <v>315.63</v>
      </c>
      <c r="G122" s="275">
        <f>ROUND(IF(MinBase3Day&gt;ROUND(((1-(ThreeDayDiscount_21_Up+FedExExrpessEarnedDiscount))*'3Day Base'!G119),2),ROUND(MinBase3Day*(1+ExpressFuelSurcharge),2),ROUND(((1-(ThreeDayDiscount_21_Up+FedExExrpessEarnedDiscount))*'3Day Base'!G119)*(1+ExpressFuelSurcharge),2))*(1+FedEx_Markup),2)</f>
        <v>355.09</v>
      </c>
      <c r="H122" s="275">
        <f>ROUND(IF(MinBase3Day&gt;ROUND(((1-(ThreeDayDiscount_21_Up+FedExExrpessEarnedDiscount))*'3Day Base'!H119),2),ROUND(MinBase3Day*(1+ExpressFuelSurcharge),2),ROUND(((1-(ThreeDayDiscount_21_Up+FedExExrpessEarnedDiscount))*'3Day Base'!H119)*(1+ExpressFuelSurcharge),2))*(1+FedEx_Markup),2)</f>
        <v>403.43</v>
      </c>
    </row>
    <row r="123" ht="12.75" customHeight="1">
      <c r="A123" s="274">
        <v>118.0</v>
      </c>
      <c r="B123" s="275">
        <f>ROUND(IF(MinBase3Day&gt;ROUND(((1-(ThreeDayDiscount_21_Up+FedExExrpessEarnedDiscount))*'3Day Base'!B120),2),ROUND(MinBase3Day*(1+ExpressFuelSurcharge),2),ROUND(((1-(ThreeDayDiscount_21_Up+FedExExrpessEarnedDiscount))*'3Day Base'!B120)*(1+ExpressFuelSurcharge),2))*(1+FedEx_Markup),2)</f>
        <v>99.76</v>
      </c>
      <c r="C123" s="275">
        <f>ROUND(IF(MinBase3Day&gt;ROUND(((1-(ThreeDayDiscount_21_Up+FedExExrpessEarnedDiscount))*'3Day Base'!C120),2),ROUND(MinBase3Day*(1+ExpressFuelSurcharge),2),ROUND(((1-(ThreeDayDiscount_21_Up+FedExExrpessEarnedDiscount))*'3Day Base'!C120)*(1+ExpressFuelSurcharge),2))*(1+FedEx_Markup),2)</f>
        <v>128.34</v>
      </c>
      <c r="D123" s="275">
        <f>ROUND(IF(MinBase3Day&gt;ROUND(((1-(ThreeDayDiscount_21_Up+FedExExrpessEarnedDiscount))*'3Day Base'!D120),2),ROUND(MinBase3Day*(1+ExpressFuelSurcharge),2),ROUND(((1-(ThreeDayDiscount_21_Up+FedExExrpessEarnedDiscount))*'3Day Base'!D120)*(1+ExpressFuelSurcharge),2))*(1+FedEx_Markup),2)</f>
        <v>164.77</v>
      </c>
      <c r="E123" s="275">
        <f>ROUND(IF(MinBase3Day&gt;ROUND(((1-(ThreeDayDiscount_21_Up+FedExExrpessEarnedDiscount))*'3Day Base'!E120),2),ROUND(MinBase3Day*(1+ExpressFuelSurcharge),2),ROUND(((1-(ThreeDayDiscount_21_Up+FedExExrpessEarnedDiscount))*'3Day Base'!E120)*(1+ExpressFuelSurcharge),2))*(1+FedEx_Markup),2)</f>
        <v>227.54</v>
      </c>
      <c r="F123" s="275">
        <f>ROUND(IF(MinBase3Day&gt;ROUND(((1-(ThreeDayDiscount_21_Up+FedExExrpessEarnedDiscount))*'3Day Base'!F120),2),ROUND(MinBase3Day*(1+ExpressFuelSurcharge),2),ROUND(((1-(ThreeDayDiscount_21_Up+FedExExrpessEarnedDiscount))*'3Day Base'!F120)*(1+ExpressFuelSurcharge),2))*(1+FedEx_Markup),2)</f>
        <v>318.33</v>
      </c>
      <c r="G123" s="275">
        <f>ROUND(IF(MinBase3Day&gt;ROUND(((1-(ThreeDayDiscount_21_Up+FedExExrpessEarnedDiscount))*'3Day Base'!G120),2),ROUND(MinBase3Day*(1+ExpressFuelSurcharge),2),ROUND(((1-(ThreeDayDiscount_21_Up+FedExExrpessEarnedDiscount))*'3Day Base'!G120)*(1+ExpressFuelSurcharge),2))*(1+FedEx_Markup),2)</f>
        <v>358.12</v>
      </c>
      <c r="H123" s="275">
        <f>ROUND(IF(MinBase3Day&gt;ROUND(((1-(ThreeDayDiscount_21_Up+FedExExrpessEarnedDiscount))*'3Day Base'!H120),2),ROUND(MinBase3Day*(1+ExpressFuelSurcharge),2),ROUND(((1-(ThreeDayDiscount_21_Up+FedExExrpessEarnedDiscount))*'3Day Base'!H120)*(1+ExpressFuelSurcharge),2))*(1+FedEx_Markup),2)</f>
        <v>406.88</v>
      </c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ht="12.75" customHeight="1">
      <c r="A124" s="274">
        <v>119.0</v>
      </c>
      <c r="B124" s="275">
        <f>ROUND(IF(MinBase3Day&gt;ROUND(((1-(ThreeDayDiscount_21_Up+FedExExrpessEarnedDiscount))*'3Day Base'!B121),2),ROUND(MinBase3Day*(1+ExpressFuelSurcharge),2),ROUND(((1-(ThreeDayDiscount_21_Up+FedExExrpessEarnedDiscount))*'3Day Base'!B121)*(1+ExpressFuelSurcharge),2))*(1+FedEx_Markup),2)</f>
        <v>100.6</v>
      </c>
      <c r="C124" s="275">
        <f>ROUND(IF(MinBase3Day&gt;ROUND(((1-(ThreeDayDiscount_21_Up+FedExExrpessEarnedDiscount))*'3Day Base'!C121),2),ROUND(MinBase3Day*(1+ExpressFuelSurcharge),2),ROUND(((1-(ThreeDayDiscount_21_Up+FedExExrpessEarnedDiscount))*'3Day Base'!C121)*(1+ExpressFuelSurcharge),2))*(1+FedEx_Markup),2)</f>
        <v>129.43</v>
      </c>
      <c r="D124" s="275">
        <f>ROUND(IF(MinBase3Day&gt;ROUND(((1-(ThreeDayDiscount_21_Up+FedExExrpessEarnedDiscount))*'3Day Base'!D121),2),ROUND(MinBase3Day*(1+ExpressFuelSurcharge),2),ROUND(((1-(ThreeDayDiscount_21_Up+FedExExrpessEarnedDiscount))*'3Day Base'!D121)*(1+ExpressFuelSurcharge),2))*(1+FedEx_Markup),2)</f>
        <v>166.16</v>
      </c>
      <c r="E124" s="275">
        <f>ROUND(IF(MinBase3Day&gt;ROUND(((1-(ThreeDayDiscount_21_Up+FedExExrpessEarnedDiscount))*'3Day Base'!E121),2),ROUND(MinBase3Day*(1+ExpressFuelSurcharge),2),ROUND(((1-(ThreeDayDiscount_21_Up+FedExExrpessEarnedDiscount))*'3Day Base'!E121)*(1+ExpressFuelSurcharge),2))*(1+FedEx_Markup),2)</f>
        <v>229.47</v>
      </c>
      <c r="F124" s="275">
        <f>ROUND(IF(MinBase3Day&gt;ROUND(((1-(ThreeDayDiscount_21_Up+FedExExrpessEarnedDiscount))*'3Day Base'!F121),2),ROUND(MinBase3Day*(1+ExpressFuelSurcharge),2),ROUND(((1-(ThreeDayDiscount_21_Up+FedExExrpessEarnedDiscount))*'3Day Base'!F121)*(1+ExpressFuelSurcharge),2))*(1+FedEx_Markup),2)</f>
        <v>321.02</v>
      </c>
      <c r="G124" s="275">
        <f>ROUND(IF(MinBase3Day&gt;ROUND(((1-(ThreeDayDiscount_21_Up+FedExExrpessEarnedDiscount))*'3Day Base'!G121),2),ROUND(MinBase3Day*(1+ExpressFuelSurcharge),2),ROUND(((1-(ThreeDayDiscount_21_Up+FedExExrpessEarnedDiscount))*'3Day Base'!G121)*(1+ExpressFuelSurcharge),2))*(1+FedEx_Markup),2)</f>
        <v>361.16</v>
      </c>
      <c r="H124" s="275">
        <f>ROUND(IF(MinBase3Day&gt;ROUND(((1-(ThreeDayDiscount_21_Up+FedExExrpessEarnedDiscount))*'3Day Base'!H121),2),ROUND(MinBase3Day*(1+ExpressFuelSurcharge),2),ROUND(((1-(ThreeDayDiscount_21_Up+FedExExrpessEarnedDiscount))*'3Day Base'!H121)*(1+ExpressFuelSurcharge),2))*(1+FedEx_Markup),2)</f>
        <v>410.33</v>
      </c>
    </row>
    <row r="125" ht="12.75" customHeight="1">
      <c r="A125" s="274">
        <v>120.0</v>
      </c>
      <c r="B125" s="275">
        <f>ROUND(IF(MinBase3Day&gt;ROUND(((1-(ThreeDayDiscount_21_Up+FedExExrpessEarnedDiscount))*'3Day Base'!B122),2),ROUND(MinBase3Day*(1+ExpressFuelSurcharge),2),ROUND(((1-(ThreeDayDiscount_21_Up+FedExExrpessEarnedDiscount))*'3Day Base'!B122)*(1+ExpressFuelSurcharge),2))*(1+FedEx_Markup),2)</f>
        <v>101.45</v>
      </c>
      <c r="C125" s="275">
        <f>ROUND(IF(MinBase3Day&gt;ROUND(((1-(ThreeDayDiscount_21_Up+FedExExrpessEarnedDiscount))*'3Day Base'!C122),2),ROUND(MinBase3Day*(1+ExpressFuelSurcharge),2),ROUND(((1-(ThreeDayDiscount_21_Up+FedExExrpessEarnedDiscount))*'3Day Base'!C122)*(1+ExpressFuelSurcharge),2))*(1+FedEx_Markup),2)</f>
        <v>130.51</v>
      </c>
      <c r="D125" s="275">
        <f>ROUND(IF(MinBase3Day&gt;ROUND(((1-(ThreeDayDiscount_21_Up+FedExExrpessEarnedDiscount))*'3Day Base'!D122),2),ROUND(MinBase3Day*(1+ExpressFuelSurcharge),2),ROUND(((1-(ThreeDayDiscount_21_Up+FedExExrpessEarnedDiscount))*'3Day Base'!D122)*(1+ExpressFuelSurcharge),2))*(1+FedEx_Markup),2)</f>
        <v>167.57</v>
      </c>
      <c r="E125" s="275">
        <f>ROUND(IF(MinBase3Day&gt;ROUND(((1-(ThreeDayDiscount_21_Up+FedExExrpessEarnedDiscount))*'3Day Base'!E122),2),ROUND(MinBase3Day*(1+ExpressFuelSurcharge),2),ROUND(((1-(ThreeDayDiscount_21_Up+FedExExrpessEarnedDiscount))*'3Day Base'!E122)*(1+ExpressFuelSurcharge),2))*(1+FedEx_Markup),2)</f>
        <v>231.39</v>
      </c>
      <c r="F125" s="275">
        <f>ROUND(IF(MinBase3Day&gt;ROUND(((1-(ThreeDayDiscount_21_Up+FedExExrpessEarnedDiscount))*'3Day Base'!F122),2),ROUND(MinBase3Day*(1+ExpressFuelSurcharge),2),ROUND(((1-(ThreeDayDiscount_21_Up+FedExExrpessEarnedDiscount))*'3Day Base'!F122)*(1+ExpressFuelSurcharge),2))*(1+FedEx_Markup),2)</f>
        <v>323.73</v>
      </c>
      <c r="G125" s="275">
        <f>ROUND(IF(MinBase3Day&gt;ROUND(((1-(ThreeDayDiscount_21_Up+FedExExrpessEarnedDiscount))*'3Day Base'!G122),2),ROUND(MinBase3Day*(1+ExpressFuelSurcharge),2),ROUND(((1-(ThreeDayDiscount_21_Up+FedExExrpessEarnedDiscount))*'3Day Base'!G122)*(1+ExpressFuelSurcharge),2))*(1+FedEx_Markup),2)</f>
        <v>364.19</v>
      </c>
      <c r="H125" s="275">
        <f>ROUND(IF(MinBase3Day&gt;ROUND(((1-(ThreeDayDiscount_21_Up+FedExExrpessEarnedDiscount))*'3Day Base'!H122),2),ROUND(MinBase3Day*(1+ExpressFuelSurcharge),2),ROUND(((1-(ThreeDayDiscount_21_Up+FedExExrpessEarnedDiscount))*'3Day Base'!H122)*(1+ExpressFuelSurcharge),2))*(1+FedEx_Markup),2)</f>
        <v>413.78</v>
      </c>
    </row>
    <row r="126" ht="12.75" customHeight="1">
      <c r="A126" s="274">
        <v>121.0</v>
      </c>
      <c r="B126" s="275">
        <f>ROUND(IF(MinBase3Day&gt;ROUND(((1-(ThreeDayDiscount_21_Up+FedExExrpessEarnedDiscount))*'3Day Base'!B123),2),ROUND(MinBase3Day*(1+ExpressFuelSurcharge),2),ROUND(((1-(ThreeDayDiscount_21_Up+FedExExrpessEarnedDiscount))*'3Day Base'!B123)*(1+ExpressFuelSurcharge),2))*(1+FedEx_Markup),2)</f>
        <v>102.29</v>
      </c>
      <c r="C126" s="275">
        <f>ROUND(IF(MinBase3Day&gt;ROUND(((1-(ThreeDayDiscount_21_Up+FedExExrpessEarnedDiscount))*'3Day Base'!C123),2),ROUND(MinBase3Day*(1+ExpressFuelSurcharge),2),ROUND(((1-(ThreeDayDiscount_21_Up+FedExExrpessEarnedDiscount))*'3Day Base'!C123)*(1+ExpressFuelSurcharge),2))*(1+FedEx_Markup),2)</f>
        <v>131.61</v>
      </c>
      <c r="D126" s="275">
        <f>ROUND(IF(MinBase3Day&gt;ROUND(((1-(ThreeDayDiscount_21_Up+FedExExrpessEarnedDiscount))*'3Day Base'!D123),2),ROUND(MinBase3Day*(1+ExpressFuelSurcharge),2),ROUND(((1-(ThreeDayDiscount_21_Up+FedExExrpessEarnedDiscount))*'3Day Base'!D123)*(1+ExpressFuelSurcharge),2))*(1+FedEx_Markup),2)</f>
        <v>168.96</v>
      </c>
      <c r="E126" s="275">
        <f>ROUND(IF(MinBase3Day&gt;ROUND(((1-(ThreeDayDiscount_21_Up+FedExExrpessEarnedDiscount))*'3Day Base'!E123),2),ROUND(MinBase3Day*(1+ExpressFuelSurcharge),2),ROUND(((1-(ThreeDayDiscount_21_Up+FedExExrpessEarnedDiscount))*'3Day Base'!E123)*(1+ExpressFuelSurcharge),2))*(1+FedEx_Markup),2)</f>
        <v>233.32</v>
      </c>
      <c r="F126" s="275">
        <f>ROUND(IF(MinBase3Day&gt;ROUND(((1-(ThreeDayDiscount_21_Up+FedExExrpessEarnedDiscount))*'3Day Base'!F123),2),ROUND(MinBase3Day*(1+ExpressFuelSurcharge),2),ROUND(((1-(ThreeDayDiscount_21_Up+FedExExrpessEarnedDiscount))*'3Day Base'!F123)*(1+ExpressFuelSurcharge),2))*(1+FedEx_Markup),2)</f>
        <v>326.43</v>
      </c>
      <c r="G126" s="275">
        <f>ROUND(IF(MinBase3Day&gt;ROUND(((1-(ThreeDayDiscount_21_Up+FedExExrpessEarnedDiscount))*'3Day Base'!G123),2),ROUND(MinBase3Day*(1+ExpressFuelSurcharge),2),ROUND(((1-(ThreeDayDiscount_21_Up+FedExExrpessEarnedDiscount))*'3Day Base'!G123)*(1+ExpressFuelSurcharge),2))*(1+FedEx_Markup),2)</f>
        <v>367.23</v>
      </c>
      <c r="H126" s="275">
        <f>ROUND(IF(MinBase3Day&gt;ROUND(((1-(ThreeDayDiscount_21_Up+FedExExrpessEarnedDiscount))*'3Day Base'!H123),2),ROUND(MinBase3Day*(1+ExpressFuelSurcharge),2),ROUND(((1-(ThreeDayDiscount_21_Up+FedExExrpessEarnedDiscount))*'3Day Base'!H123)*(1+ExpressFuelSurcharge),2))*(1+FedEx_Markup),2)</f>
        <v>417.22</v>
      </c>
    </row>
    <row r="127" ht="12.75" customHeight="1">
      <c r="A127" s="274">
        <v>122.0</v>
      </c>
      <c r="B127" s="275">
        <f>ROUND(IF(MinBase3Day&gt;ROUND(((1-(ThreeDayDiscount_21_Up+FedExExrpessEarnedDiscount))*'3Day Base'!B124),2),ROUND(MinBase3Day*(1+ExpressFuelSurcharge),2),ROUND(((1-(ThreeDayDiscount_21_Up+FedExExrpessEarnedDiscount))*'3Day Base'!B124)*(1+ExpressFuelSurcharge),2))*(1+FedEx_Markup),2)</f>
        <v>103.14</v>
      </c>
      <c r="C127" s="275">
        <f>ROUND(IF(MinBase3Day&gt;ROUND(((1-(ThreeDayDiscount_21_Up+FedExExrpessEarnedDiscount))*'3Day Base'!C124),2),ROUND(MinBase3Day*(1+ExpressFuelSurcharge),2),ROUND(((1-(ThreeDayDiscount_21_Up+FedExExrpessEarnedDiscount))*'3Day Base'!C124)*(1+ExpressFuelSurcharge),2))*(1+FedEx_Markup),2)</f>
        <v>132.69</v>
      </c>
      <c r="D127" s="275">
        <f>ROUND(IF(MinBase3Day&gt;ROUND(((1-(ThreeDayDiscount_21_Up+FedExExrpessEarnedDiscount))*'3Day Base'!D124),2),ROUND(MinBase3Day*(1+ExpressFuelSurcharge),2),ROUND(((1-(ThreeDayDiscount_21_Up+FedExExrpessEarnedDiscount))*'3Day Base'!D124)*(1+ExpressFuelSurcharge),2))*(1+FedEx_Markup),2)</f>
        <v>170.35</v>
      </c>
      <c r="E127" s="275">
        <f>ROUND(IF(MinBase3Day&gt;ROUND(((1-(ThreeDayDiscount_21_Up+FedExExrpessEarnedDiscount))*'3Day Base'!E124),2),ROUND(MinBase3Day*(1+ExpressFuelSurcharge),2),ROUND(((1-(ThreeDayDiscount_21_Up+FedExExrpessEarnedDiscount))*'3Day Base'!E124)*(1+ExpressFuelSurcharge),2))*(1+FedEx_Markup),2)</f>
        <v>235.26</v>
      </c>
      <c r="F127" s="275">
        <f>ROUND(IF(MinBase3Day&gt;ROUND(((1-(ThreeDayDiscount_21_Up+FedExExrpessEarnedDiscount))*'3Day Base'!F124),2),ROUND(MinBase3Day*(1+ExpressFuelSurcharge),2),ROUND(((1-(ThreeDayDiscount_21_Up+FedExExrpessEarnedDiscount))*'3Day Base'!F124)*(1+ExpressFuelSurcharge),2))*(1+FedEx_Markup),2)</f>
        <v>329.12</v>
      </c>
      <c r="G127" s="275">
        <f>ROUND(IF(MinBase3Day&gt;ROUND(((1-(ThreeDayDiscount_21_Up+FedExExrpessEarnedDiscount))*'3Day Base'!G124),2),ROUND(MinBase3Day*(1+ExpressFuelSurcharge),2),ROUND(((1-(ThreeDayDiscount_21_Up+FedExExrpessEarnedDiscount))*'3Day Base'!G124)*(1+ExpressFuelSurcharge),2))*(1+FedEx_Markup),2)</f>
        <v>370.27</v>
      </c>
      <c r="H127" s="275">
        <f>ROUND(IF(MinBase3Day&gt;ROUND(((1-(ThreeDayDiscount_21_Up+FedExExrpessEarnedDiscount))*'3Day Base'!H124),2),ROUND(MinBase3Day*(1+ExpressFuelSurcharge),2),ROUND(((1-(ThreeDayDiscount_21_Up+FedExExrpessEarnedDiscount))*'3Day Base'!H124)*(1+ExpressFuelSurcharge),2))*(1+FedEx_Markup),2)</f>
        <v>420.67</v>
      </c>
    </row>
    <row r="128" ht="12.75" customHeight="1">
      <c r="A128" s="274">
        <v>123.0</v>
      </c>
      <c r="B128" s="275">
        <f>ROUND(IF(MinBase3Day&gt;ROUND(((1-(ThreeDayDiscount_21_Up+FedExExrpessEarnedDiscount))*'3Day Base'!B125),2),ROUND(MinBase3Day*(1+ExpressFuelSurcharge),2),ROUND(((1-(ThreeDayDiscount_21_Up+FedExExrpessEarnedDiscount))*'3Day Base'!B125)*(1+ExpressFuelSurcharge),2))*(1+FedEx_Markup),2)</f>
        <v>103.98</v>
      </c>
      <c r="C128" s="275">
        <f>ROUND(IF(MinBase3Day&gt;ROUND(((1-(ThreeDayDiscount_21_Up+FedExExrpessEarnedDiscount))*'3Day Base'!C125),2),ROUND(MinBase3Day*(1+ExpressFuelSurcharge),2),ROUND(((1-(ThreeDayDiscount_21_Up+FedExExrpessEarnedDiscount))*'3Day Base'!C125)*(1+ExpressFuelSurcharge),2))*(1+FedEx_Markup),2)</f>
        <v>133.78</v>
      </c>
      <c r="D128" s="275">
        <f>ROUND(IF(MinBase3Day&gt;ROUND(((1-(ThreeDayDiscount_21_Up+FedExExrpessEarnedDiscount))*'3Day Base'!D125),2),ROUND(MinBase3Day*(1+ExpressFuelSurcharge),2),ROUND(((1-(ThreeDayDiscount_21_Up+FedExExrpessEarnedDiscount))*'3Day Base'!D125)*(1+ExpressFuelSurcharge),2))*(1+FedEx_Markup),2)</f>
        <v>171.75</v>
      </c>
      <c r="E128" s="275">
        <f>ROUND(IF(MinBase3Day&gt;ROUND(((1-(ThreeDayDiscount_21_Up+FedExExrpessEarnedDiscount))*'3Day Base'!E125),2),ROUND(MinBase3Day*(1+ExpressFuelSurcharge),2),ROUND(((1-(ThreeDayDiscount_21_Up+FedExExrpessEarnedDiscount))*'3Day Base'!E125)*(1+ExpressFuelSurcharge),2))*(1+FedEx_Markup),2)</f>
        <v>237.18</v>
      </c>
      <c r="F128" s="275">
        <f>ROUND(IF(MinBase3Day&gt;ROUND(((1-(ThreeDayDiscount_21_Up+FedExExrpessEarnedDiscount))*'3Day Base'!F125),2),ROUND(MinBase3Day*(1+ExpressFuelSurcharge),2),ROUND(((1-(ThreeDayDiscount_21_Up+FedExExrpessEarnedDiscount))*'3Day Base'!F125)*(1+ExpressFuelSurcharge),2))*(1+FedEx_Markup),2)</f>
        <v>331.82</v>
      </c>
      <c r="G128" s="275">
        <f>ROUND(IF(MinBase3Day&gt;ROUND(((1-(ThreeDayDiscount_21_Up+FedExExrpessEarnedDiscount))*'3Day Base'!G125),2),ROUND(MinBase3Day*(1+ExpressFuelSurcharge),2),ROUND(((1-(ThreeDayDiscount_21_Up+FedExExrpessEarnedDiscount))*'3Day Base'!G125)*(1+ExpressFuelSurcharge),2))*(1+FedEx_Markup),2)</f>
        <v>373.3</v>
      </c>
      <c r="H128" s="275">
        <f>ROUND(IF(MinBase3Day&gt;ROUND(((1-(ThreeDayDiscount_21_Up+FedExExrpessEarnedDiscount))*'3Day Base'!H125),2),ROUND(MinBase3Day*(1+ExpressFuelSurcharge),2),ROUND(((1-(ThreeDayDiscount_21_Up+FedExExrpessEarnedDiscount))*'3Day Base'!H125)*(1+ExpressFuelSurcharge),2))*(1+FedEx_Markup),2)</f>
        <v>424.12</v>
      </c>
    </row>
    <row r="129" ht="12.75" customHeight="1">
      <c r="A129" s="274">
        <v>124.0</v>
      </c>
      <c r="B129" s="275">
        <f>ROUND(IF(MinBase3Day&gt;ROUND(((1-(ThreeDayDiscount_21_Up+FedExExrpessEarnedDiscount))*'3Day Base'!B126),2),ROUND(MinBase3Day*(1+ExpressFuelSurcharge),2),ROUND(((1-(ThreeDayDiscount_21_Up+FedExExrpessEarnedDiscount))*'3Day Base'!B126)*(1+ExpressFuelSurcharge),2))*(1+FedEx_Markup),2)</f>
        <v>104.83</v>
      </c>
      <c r="C129" s="275">
        <f>ROUND(IF(MinBase3Day&gt;ROUND(((1-(ThreeDayDiscount_21_Up+FedExExrpessEarnedDiscount))*'3Day Base'!C126),2),ROUND(MinBase3Day*(1+ExpressFuelSurcharge),2),ROUND(((1-(ThreeDayDiscount_21_Up+FedExExrpessEarnedDiscount))*'3Day Base'!C126)*(1+ExpressFuelSurcharge),2))*(1+FedEx_Markup),2)</f>
        <v>134.87</v>
      </c>
      <c r="D129" s="275">
        <f>ROUND(IF(MinBase3Day&gt;ROUND(((1-(ThreeDayDiscount_21_Up+FedExExrpessEarnedDiscount))*'3Day Base'!D126),2),ROUND(MinBase3Day*(1+ExpressFuelSurcharge),2),ROUND(((1-(ThreeDayDiscount_21_Up+FedExExrpessEarnedDiscount))*'3Day Base'!D126)*(1+ExpressFuelSurcharge),2))*(1+FedEx_Markup),2)</f>
        <v>173.14</v>
      </c>
      <c r="E129" s="275">
        <f>ROUND(IF(MinBase3Day&gt;ROUND(((1-(ThreeDayDiscount_21_Up+FedExExrpessEarnedDiscount))*'3Day Base'!E126),2),ROUND(MinBase3Day*(1+ExpressFuelSurcharge),2),ROUND(((1-(ThreeDayDiscount_21_Up+FedExExrpessEarnedDiscount))*'3Day Base'!E126)*(1+ExpressFuelSurcharge),2))*(1+FedEx_Markup),2)</f>
        <v>239.11</v>
      </c>
      <c r="F129" s="275">
        <f>ROUND(IF(MinBase3Day&gt;ROUND(((1-(ThreeDayDiscount_21_Up+FedExExrpessEarnedDiscount))*'3Day Base'!F126),2),ROUND(MinBase3Day*(1+ExpressFuelSurcharge),2),ROUND(((1-(ThreeDayDiscount_21_Up+FedExExrpessEarnedDiscount))*'3Day Base'!F126)*(1+ExpressFuelSurcharge),2))*(1+FedEx_Markup),2)</f>
        <v>334.51</v>
      </c>
      <c r="G129" s="275">
        <f>ROUND(IF(MinBase3Day&gt;ROUND(((1-(ThreeDayDiscount_21_Up+FedExExrpessEarnedDiscount))*'3Day Base'!G126),2),ROUND(MinBase3Day*(1+ExpressFuelSurcharge),2),ROUND(((1-(ThreeDayDiscount_21_Up+FedExExrpessEarnedDiscount))*'3Day Base'!G126)*(1+ExpressFuelSurcharge),2))*(1+FedEx_Markup),2)</f>
        <v>376.33</v>
      </c>
      <c r="H129" s="275">
        <f>ROUND(IF(MinBase3Day&gt;ROUND(((1-(ThreeDayDiscount_21_Up+FedExExrpessEarnedDiscount))*'3Day Base'!H126),2),ROUND(MinBase3Day*(1+ExpressFuelSurcharge),2),ROUND(((1-(ThreeDayDiscount_21_Up+FedExExrpessEarnedDiscount))*'3Day Base'!H126)*(1+ExpressFuelSurcharge),2))*(1+FedEx_Markup),2)</f>
        <v>427.57</v>
      </c>
    </row>
    <row r="130" ht="12.75" customHeight="1">
      <c r="A130" s="274">
        <v>125.0</v>
      </c>
      <c r="B130" s="275">
        <f>ROUND(IF(MinBase3Day&gt;ROUND(((1-(ThreeDayDiscount_21_Up+FedExExrpessEarnedDiscount))*'3Day Base'!B127),2),ROUND(MinBase3Day*(1+ExpressFuelSurcharge),2),ROUND(((1-(ThreeDayDiscount_21_Up+FedExExrpessEarnedDiscount))*'3Day Base'!B127)*(1+ExpressFuelSurcharge),2))*(1+FedEx_Markup),2)</f>
        <v>105.67</v>
      </c>
      <c r="C130" s="275">
        <f>ROUND(IF(MinBase3Day&gt;ROUND(((1-(ThreeDayDiscount_21_Up+FedExExrpessEarnedDiscount))*'3Day Base'!C127),2),ROUND(MinBase3Day*(1+ExpressFuelSurcharge),2),ROUND(((1-(ThreeDayDiscount_21_Up+FedExExrpessEarnedDiscount))*'3Day Base'!C127)*(1+ExpressFuelSurcharge),2))*(1+FedEx_Markup),2)</f>
        <v>135.95</v>
      </c>
      <c r="D130" s="275">
        <f>ROUND(IF(MinBase3Day&gt;ROUND(((1-(ThreeDayDiscount_21_Up+FedExExrpessEarnedDiscount))*'3Day Base'!D127),2),ROUND(MinBase3Day*(1+ExpressFuelSurcharge),2),ROUND(((1-(ThreeDayDiscount_21_Up+FedExExrpessEarnedDiscount))*'3Day Base'!D127)*(1+ExpressFuelSurcharge),2))*(1+FedEx_Markup),2)</f>
        <v>174.55</v>
      </c>
      <c r="E130" s="275">
        <f>ROUND(IF(MinBase3Day&gt;ROUND(((1-(ThreeDayDiscount_21_Up+FedExExrpessEarnedDiscount))*'3Day Base'!E127),2),ROUND(MinBase3Day*(1+ExpressFuelSurcharge),2),ROUND(((1-(ThreeDayDiscount_21_Up+FedExExrpessEarnedDiscount))*'3Day Base'!E127)*(1+ExpressFuelSurcharge),2))*(1+FedEx_Markup),2)</f>
        <v>241.04</v>
      </c>
      <c r="F130" s="275">
        <f>ROUND(IF(MinBase3Day&gt;ROUND(((1-(ThreeDayDiscount_21_Up+FedExExrpessEarnedDiscount))*'3Day Base'!F127),2),ROUND(MinBase3Day*(1+ExpressFuelSurcharge),2),ROUND(((1-(ThreeDayDiscount_21_Up+FedExExrpessEarnedDiscount))*'3Day Base'!F127)*(1+ExpressFuelSurcharge),2))*(1+FedEx_Markup),2)</f>
        <v>337.21</v>
      </c>
      <c r="G130" s="275">
        <f>ROUND(IF(MinBase3Day&gt;ROUND(((1-(ThreeDayDiscount_21_Up+FedExExrpessEarnedDiscount))*'3Day Base'!G127),2),ROUND(MinBase3Day*(1+ExpressFuelSurcharge),2),ROUND(((1-(ThreeDayDiscount_21_Up+FedExExrpessEarnedDiscount))*'3Day Base'!G127)*(1+ExpressFuelSurcharge),2))*(1+FedEx_Markup),2)</f>
        <v>379.36</v>
      </c>
      <c r="H130" s="275">
        <f>ROUND(IF(MinBase3Day&gt;ROUND(((1-(ThreeDayDiscount_21_Up+FedExExrpessEarnedDiscount))*'3Day Base'!H127),2),ROUND(MinBase3Day*(1+ExpressFuelSurcharge),2),ROUND(((1-(ThreeDayDiscount_21_Up+FedExExrpessEarnedDiscount))*'3Day Base'!H127)*(1+ExpressFuelSurcharge),2))*(1+FedEx_Markup),2)</f>
        <v>431.02</v>
      </c>
    </row>
    <row r="131" ht="12.75" customHeight="1">
      <c r="A131" s="274">
        <v>126.0</v>
      </c>
      <c r="B131" s="275">
        <f>ROUND(IF(MinBase3Day&gt;ROUND(((1-(ThreeDayDiscount_21_Up+FedExExrpessEarnedDiscount))*'3Day Base'!B128),2),ROUND(MinBase3Day*(1+ExpressFuelSurcharge),2),ROUND(((1-(ThreeDayDiscount_21_Up+FedExExrpessEarnedDiscount))*'3Day Base'!B128)*(1+ExpressFuelSurcharge),2))*(1+FedEx_Markup),2)</f>
        <v>106.52</v>
      </c>
      <c r="C131" s="275">
        <f>ROUND(IF(MinBase3Day&gt;ROUND(((1-(ThreeDayDiscount_21_Up+FedExExrpessEarnedDiscount))*'3Day Base'!C128),2),ROUND(MinBase3Day*(1+ExpressFuelSurcharge),2),ROUND(((1-(ThreeDayDiscount_21_Up+FedExExrpessEarnedDiscount))*'3Day Base'!C128)*(1+ExpressFuelSurcharge),2))*(1+FedEx_Markup),2)</f>
        <v>137.05</v>
      </c>
      <c r="D131" s="275">
        <f>ROUND(IF(MinBase3Day&gt;ROUND(((1-(ThreeDayDiscount_21_Up+FedExExrpessEarnedDiscount))*'3Day Base'!D128),2),ROUND(MinBase3Day*(1+ExpressFuelSurcharge),2),ROUND(((1-(ThreeDayDiscount_21_Up+FedExExrpessEarnedDiscount))*'3Day Base'!D128)*(1+ExpressFuelSurcharge),2))*(1+FedEx_Markup),2)</f>
        <v>175.94</v>
      </c>
      <c r="E131" s="275">
        <f>ROUND(IF(MinBase3Day&gt;ROUND(((1-(ThreeDayDiscount_21_Up+FedExExrpessEarnedDiscount))*'3Day Base'!E128),2),ROUND(MinBase3Day*(1+ExpressFuelSurcharge),2),ROUND(((1-(ThreeDayDiscount_21_Up+FedExExrpessEarnedDiscount))*'3Day Base'!E128)*(1+ExpressFuelSurcharge),2))*(1+FedEx_Markup),2)</f>
        <v>242.96</v>
      </c>
      <c r="F131" s="275">
        <f>ROUND(IF(MinBase3Day&gt;ROUND(((1-(ThreeDayDiscount_21_Up+FedExExrpessEarnedDiscount))*'3Day Base'!F128),2),ROUND(MinBase3Day*(1+ExpressFuelSurcharge),2),ROUND(((1-(ThreeDayDiscount_21_Up+FedExExrpessEarnedDiscount))*'3Day Base'!F128)*(1+ExpressFuelSurcharge),2))*(1+FedEx_Markup),2)</f>
        <v>339.92</v>
      </c>
      <c r="G131" s="275">
        <f>ROUND(IF(MinBase3Day&gt;ROUND(((1-(ThreeDayDiscount_21_Up+FedExExrpessEarnedDiscount))*'3Day Base'!G128),2),ROUND(MinBase3Day*(1+ExpressFuelSurcharge),2),ROUND(((1-(ThreeDayDiscount_21_Up+FedExExrpessEarnedDiscount))*'3Day Base'!G128)*(1+ExpressFuelSurcharge),2))*(1+FedEx_Markup),2)</f>
        <v>382.4</v>
      </c>
      <c r="H131" s="275">
        <f>ROUND(IF(MinBase3Day&gt;ROUND(((1-(ThreeDayDiscount_21_Up+FedExExrpessEarnedDiscount))*'3Day Base'!H128),2),ROUND(MinBase3Day*(1+ExpressFuelSurcharge),2),ROUND(((1-(ThreeDayDiscount_21_Up+FedExExrpessEarnedDiscount))*'3Day Base'!H128)*(1+ExpressFuelSurcharge),2))*(1+FedEx_Markup),2)</f>
        <v>434.47</v>
      </c>
    </row>
    <row r="132" ht="12.75" customHeight="1">
      <c r="A132" s="274">
        <v>127.0</v>
      </c>
      <c r="B132" s="275">
        <f>ROUND(IF(MinBase3Day&gt;ROUND(((1-(ThreeDayDiscount_21_Up+FedExExrpessEarnedDiscount))*'3Day Base'!B129),2),ROUND(MinBase3Day*(1+ExpressFuelSurcharge),2),ROUND(((1-(ThreeDayDiscount_21_Up+FedExExrpessEarnedDiscount))*'3Day Base'!B129)*(1+ExpressFuelSurcharge),2))*(1+FedEx_Markup),2)</f>
        <v>107.36</v>
      </c>
      <c r="C132" s="275">
        <f>ROUND(IF(MinBase3Day&gt;ROUND(((1-(ThreeDayDiscount_21_Up+FedExExrpessEarnedDiscount))*'3Day Base'!C129),2),ROUND(MinBase3Day*(1+ExpressFuelSurcharge),2),ROUND(((1-(ThreeDayDiscount_21_Up+FedExExrpessEarnedDiscount))*'3Day Base'!C129)*(1+ExpressFuelSurcharge),2))*(1+FedEx_Markup),2)</f>
        <v>138.13</v>
      </c>
      <c r="D132" s="275">
        <f>ROUND(IF(MinBase3Day&gt;ROUND(((1-(ThreeDayDiscount_21_Up+FedExExrpessEarnedDiscount))*'3Day Base'!D129),2),ROUND(MinBase3Day*(1+ExpressFuelSurcharge),2),ROUND(((1-(ThreeDayDiscount_21_Up+FedExExrpessEarnedDiscount))*'3Day Base'!D129)*(1+ExpressFuelSurcharge),2))*(1+FedEx_Markup),2)</f>
        <v>177.34</v>
      </c>
      <c r="E132" s="275">
        <f>ROUND(IF(MinBase3Day&gt;ROUND(((1-(ThreeDayDiscount_21_Up+FedExExrpessEarnedDiscount))*'3Day Base'!E129),2),ROUND(MinBase3Day*(1+ExpressFuelSurcharge),2),ROUND(((1-(ThreeDayDiscount_21_Up+FedExExrpessEarnedDiscount))*'3Day Base'!E129)*(1+ExpressFuelSurcharge),2))*(1+FedEx_Markup),2)</f>
        <v>244.89</v>
      </c>
      <c r="F132" s="275">
        <f>ROUND(IF(MinBase3Day&gt;ROUND(((1-(ThreeDayDiscount_21_Up+FedExExrpessEarnedDiscount))*'3Day Base'!F129),2),ROUND(MinBase3Day*(1+ExpressFuelSurcharge),2),ROUND(((1-(ThreeDayDiscount_21_Up+FedExExrpessEarnedDiscount))*'3Day Base'!F129)*(1+ExpressFuelSurcharge),2))*(1+FedEx_Markup),2)</f>
        <v>342.61</v>
      </c>
      <c r="G132" s="275">
        <f>ROUND(IF(MinBase3Day&gt;ROUND(((1-(ThreeDayDiscount_21_Up+FedExExrpessEarnedDiscount))*'3Day Base'!G129),2),ROUND(MinBase3Day*(1+ExpressFuelSurcharge),2),ROUND(((1-(ThreeDayDiscount_21_Up+FedExExrpessEarnedDiscount))*'3Day Base'!G129)*(1+ExpressFuelSurcharge),2))*(1+FedEx_Markup),2)</f>
        <v>385.43</v>
      </c>
      <c r="H132" s="275">
        <f>ROUND(IF(MinBase3Day&gt;ROUND(((1-(ThreeDayDiscount_21_Up+FedExExrpessEarnedDiscount))*'3Day Base'!H129),2),ROUND(MinBase3Day*(1+ExpressFuelSurcharge),2),ROUND(((1-(ThreeDayDiscount_21_Up+FedExExrpessEarnedDiscount))*'3Day Base'!H129)*(1+ExpressFuelSurcharge),2))*(1+FedEx_Markup),2)</f>
        <v>437.91</v>
      </c>
    </row>
    <row r="133" ht="12.75" customHeight="1">
      <c r="A133" s="274">
        <v>128.0</v>
      </c>
      <c r="B133" s="275">
        <f>ROUND(IF(MinBase3Day&gt;ROUND(((1-(ThreeDayDiscount_21_Up+FedExExrpessEarnedDiscount))*'3Day Base'!B130),2),ROUND(MinBase3Day*(1+ExpressFuelSurcharge),2),ROUND(((1-(ThreeDayDiscount_21_Up+FedExExrpessEarnedDiscount))*'3Day Base'!B130)*(1+ExpressFuelSurcharge),2))*(1+FedEx_Markup),2)</f>
        <v>108.22</v>
      </c>
      <c r="C133" s="275">
        <f>ROUND(IF(MinBase3Day&gt;ROUND(((1-(ThreeDayDiscount_21_Up+FedExExrpessEarnedDiscount))*'3Day Base'!C130),2),ROUND(MinBase3Day*(1+ExpressFuelSurcharge),2),ROUND(((1-(ThreeDayDiscount_21_Up+FedExExrpessEarnedDiscount))*'3Day Base'!C130)*(1+ExpressFuelSurcharge),2))*(1+FedEx_Markup),2)</f>
        <v>139.22</v>
      </c>
      <c r="D133" s="275">
        <f>ROUND(IF(MinBase3Day&gt;ROUND(((1-(ThreeDayDiscount_21_Up+FedExExrpessEarnedDiscount))*'3Day Base'!D130),2),ROUND(MinBase3Day*(1+ExpressFuelSurcharge),2),ROUND(((1-(ThreeDayDiscount_21_Up+FedExExrpessEarnedDiscount))*'3Day Base'!D130)*(1+ExpressFuelSurcharge),2))*(1+FedEx_Markup),2)</f>
        <v>178.73</v>
      </c>
      <c r="E133" s="275">
        <f>ROUND(IF(MinBase3Day&gt;ROUND(((1-(ThreeDayDiscount_21_Up+FedExExrpessEarnedDiscount))*'3Day Base'!E130),2),ROUND(MinBase3Day*(1+ExpressFuelSurcharge),2),ROUND(((1-(ThreeDayDiscount_21_Up+FedExExrpessEarnedDiscount))*'3Day Base'!E130)*(1+ExpressFuelSurcharge),2))*(1+FedEx_Markup),2)</f>
        <v>246.82</v>
      </c>
      <c r="F133" s="275">
        <f>ROUND(IF(MinBase3Day&gt;ROUND(((1-(ThreeDayDiscount_21_Up+FedExExrpessEarnedDiscount))*'3Day Base'!F130),2),ROUND(MinBase3Day*(1+ExpressFuelSurcharge),2),ROUND(((1-(ThreeDayDiscount_21_Up+FedExExrpessEarnedDiscount))*'3Day Base'!F130)*(1+ExpressFuelSurcharge),2))*(1+FedEx_Markup),2)</f>
        <v>345.31</v>
      </c>
      <c r="G133" s="275">
        <f>ROUND(IF(MinBase3Day&gt;ROUND(((1-(ThreeDayDiscount_21_Up+FedExExrpessEarnedDiscount))*'3Day Base'!G130),2),ROUND(MinBase3Day*(1+ExpressFuelSurcharge),2),ROUND(((1-(ThreeDayDiscount_21_Up+FedExExrpessEarnedDiscount))*'3Day Base'!G130)*(1+ExpressFuelSurcharge),2))*(1+FedEx_Markup),2)</f>
        <v>388.47</v>
      </c>
      <c r="H133" s="275">
        <f>ROUND(IF(MinBase3Day&gt;ROUND(((1-(ThreeDayDiscount_21_Up+FedExExrpessEarnedDiscount))*'3Day Base'!H130),2),ROUND(MinBase3Day*(1+ExpressFuelSurcharge),2),ROUND(((1-(ThreeDayDiscount_21_Up+FedExExrpessEarnedDiscount))*'3Day Base'!H130)*(1+ExpressFuelSurcharge),2))*(1+FedEx_Markup),2)</f>
        <v>441.36</v>
      </c>
    </row>
    <row r="134" ht="12.75" customHeight="1">
      <c r="A134" s="274">
        <v>129.0</v>
      </c>
      <c r="B134" s="275">
        <f>ROUND(IF(MinBase3Day&gt;ROUND(((1-(ThreeDayDiscount_21_Up+FedExExrpessEarnedDiscount))*'3Day Base'!B131),2),ROUND(MinBase3Day*(1+ExpressFuelSurcharge),2),ROUND(((1-(ThreeDayDiscount_21_Up+FedExExrpessEarnedDiscount))*'3Day Base'!B131)*(1+ExpressFuelSurcharge),2))*(1+FedEx_Markup),2)</f>
        <v>109.05</v>
      </c>
      <c r="C134" s="275">
        <f>ROUND(IF(MinBase3Day&gt;ROUND(((1-(ThreeDayDiscount_21_Up+FedExExrpessEarnedDiscount))*'3Day Base'!C131),2),ROUND(MinBase3Day*(1+ExpressFuelSurcharge),2),ROUND(((1-(ThreeDayDiscount_21_Up+FedExExrpessEarnedDiscount))*'3Day Base'!C131)*(1+ExpressFuelSurcharge),2))*(1+FedEx_Markup),2)</f>
        <v>140.3</v>
      </c>
      <c r="D134" s="275">
        <f>ROUND(IF(MinBase3Day&gt;ROUND(((1-(ThreeDayDiscount_21_Up+FedExExrpessEarnedDiscount))*'3Day Base'!D131),2),ROUND(MinBase3Day*(1+ExpressFuelSurcharge),2),ROUND(((1-(ThreeDayDiscount_21_Up+FedExExrpessEarnedDiscount))*'3Day Base'!D131)*(1+ExpressFuelSurcharge),2))*(1+FedEx_Markup),2)</f>
        <v>180.12</v>
      </c>
      <c r="E134" s="275">
        <f>ROUND(IF(MinBase3Day&gt;ROUND(((1-(ThreeDayDiscount_21_Up+FedExExrpessEarnedDiscount))*'3Day Base'!E131),2),ROUND(MinBase3Day*(1+ExpressFuelSurcharge),2),ROUND(((1-(ThreeDayDiscount_21_Up+FedExExrpessEarnedDiscount))*'3Day Base'!E131)*(1+ExpressFuelSurcharge),2))*(1+FedEx_Markup),2)</f>
        <v>248.75</v>
      </c>
      <c r="F134" s="275">
        <f>ROUND(IF(MinBase3Day&gt;ROUND(((1-(ThreeDayDiscount_21_Up+FedExExrpessEarnedDiscount))*'3Day Base'!F131),2),ROUND(MinBase3Day*(1+ExpressFuelSurcharge),2),ROUND(((1-(ThreeDayDiscount_21_Up+FedExExrpessEarnedDiscount))*'3Day Base'!F131)*(1+ExpressFuelSurcharge),2))*(1+FedEx_Markup),2)</f>
        <v>348</v>
      </c>
      <c r="G134" s="275">
        <f>ROUND(IF(MinBase3Day&gt;ROUND(((1-(ThreeDayDiscount_21_Up+FedExExrpessEarnedDiscount))*'3Day Base'!G131),2),ROUND(MinBase3Day*(1+ExpressFuelSurcharge),2),ROUND(((1-(ThreeDayDiscount_21_Up+FedExExrpessEarnedDiscount))*'3Day Base'!G131)*(1+ExpressFuelSurcharge),2))*(1+FedEx_Markup),2)</f>
        <v>391.51</v>
      </c>
      <c r="H134" s="275">
        <f>ROUND(IF(MinBase3Day&gt;ROUND(((1-(ThreeDayDiscount_21_Up+FedExExrpessEarnedDiscount))*'3Day Base'!H131),2),ROUND(MinBase3Day*(1+ExpressFuelSurcharge),2),ROUND(((1-(ThreeDayDiscount_21_Up+FedExExrpessEarnedDiscount))*'3Day Base'!H131)*(1+ExpressFuelSurcharge),2))*(1+FedEx_Markup),2)</f>
        <v>444.81</v>
      </c>
    </row>
    <row r="135" ht="12.75" customHeight="1">
      <c r="A135" s="274">
        <v>130.0</v>
      </c>
      <c r="B135" s="275">
        <f>ROUND(IF(MinBase3Day&gt;ROUND(((1-(ThreeDayDiscount_21_Up+FedExExrpessEarnedDiscount))*'3Day Base'!B132),2),ROUND(MinBase3Day*(1+ExpressFuelSurcharge),2),ROUND(((1-(ThreeDayDiscount_21_Up+FedExExrpessEarnedDiscount))*'3Day Base'!B132)*(1+ExpressFuelSurcharge),2))*(1+FedEx_Markup),2)</f>
        <v>109.91</v>
      </c>
      <c r="C135" s="275">
        <f>ROUND(IF(MinBase3Day&gt;ROUND(((1-(ThreeDayDiscount_21_Up+FedExExrpessEarnedDiscount))*'3Day Base'!C132),2),ROUND(MinBase3Day*(1+ExpressFuelSurcharge),2),ROUND(((1-(ThreeDayDiscount_21_Up+FedExExrpessEarnedDiscount))*'3Day Base'!C132)*(1+ExpressFuelSurcharge),2))*(1+FedEx_Markup),2)</f>
        <v>141.39</v>
      </c>
      <c r="D135" s="275">
        <f>ROUND(IF(MinBase3Day&gt;ROUND(((1-(ThreeDayDiscount_21_Up+FedExExrpessEarnedDiscount))*'3Day Base'!D132),2),ROUND(MinBase3Day*(1+ExpressFuelSurcharge),2),ROUND(((1-(ThreeDayDiscount_21_Up+FedExExrpessEarnedDiscount))*'3Day Base'!D132)*(1+ExpressFuelSurcharge),2))*(1+FedEx_Markup),2)</f>
        <v>181.53</v>
      </c>
      <c r="E135" s="275">
        <f>ROUND(IF(MinBase3Day&gt;ROUND(((1-(ThreeDayDiscount_21_Up+FedExExrpessEarnedDiscount))*'3Day Base'!E132),2),ROUND(MinBase3Day*(1+ExpressFuelSurcharge),2),ROUND(((1-(ThreeDayDiscount_21_Up+FedExExrpessEarnedDiscount))*'3Day Base'!E132)*(1+ExpressFuelSurcharge),2))*(1+FedEx_Markup),2)</f>
        <v>250.68</v>
      </c>
      <c r="F135" s="275">
        <f>ROUND(IF(MinBase3Day&gt;ROUND(((1-(ThreeDayDiscount_21_Up+FedExExrpessEarnedDiscount))*'3Day Base'!F132),2),ROUND(MinBase3Day*(1+ExpressFuelSurcharge),2),ROUND(((1-(ThreeDayDiscount_21_Up+FedExExrpessEarnedDiscount))*'3Day Base'!F132)*(1+ExpressFuelSurcharge),2))*(1+FedEx_Markup),2)</f>
        <v>350.7</v>
      </c>
      <c r="G135" s="275">
        <f>ROUND(IF(MinBase3Day&gt;ROUND(((1-(ThreeDayDiscount_21_Up+FedExExrpessEarnedDiscount))*'3Day Base'!G132),2),ROUND(MinBase3Day*(1+ExpressFuelSurcharge),2),ROUND(((1-(ThreeDayDiscount_21_Up+FedExExrpessEarnedDiscount))*'3Day Base'!G132)*(1+ExpressFuelSurcharge),2))*(1+FedEx_Markup),2)</f>
        <v>394.54</v>
      </c>
      <c r="H135" s="275">
        <f>ROUND(IF(MinBase3Day&gt;ROUND(((1-(ThreeDayDiscount_21_Up+FedExExrpessEarnedDiscount))*'3Day Base'!H132),2),ROUND(MinBase3Day*(1+ExpressFuelSurcharge),2),ROUND(((1-(ThreeDayDiscount_21_Up+FedExExrpessEarnedDiscount))*'3Day Base'!H132)*(1+ExpressFuelSurcharge),2))*(1+FedEx_Markup),2)</f>
        <v>448.26</v>
      </c>
    </row>
    <row r="136" ht="12.75" customHeight="1">
      <c r="A136" s="274">
        <v>131.0</v>
      </c>
      <c r="B136" s="275">
        <f>ROUND(IF(MinBase3Day&gt;ROUND(((1-(ThreeDayDiscount_21_Up+FedExExrpessEarnedDiscount))*'3Day Base'!B133),2),ROUND(MinBase3Day*(1+ExpressFuelSurcharge),2),ROUND(((1-(ThreeDayDiscount_21_Up+FedExExrpessEarnedDiscount))*'3Day Base'!B133)*(1+ExpressFuelSurcharge),2))*(1+FedEx_Markup),2)</f>
        <v>110.75</v>
      </c>
      <c r="C136" s="275">
        <f>ROUND(IF(MinBase3Day&gt;ROUND(((1-(ThreeDayDiscount_21_Up+FedExExrpessEarnedDiscount))*'3Day Base'!C133),2),ROUND(MinBase3Day*(1+ExpressFuelSurcharge),2),ROUND(((1-(ThreeDayDiscount_21_Up+FedExExrpessEarnedDiscount))*'3Day Base'!C133)*(1+ExpressFuelSurcharge),2))*(1+FedEx_Markup),2)</f>
        <v>142.49</v>
      </c>
      <c r="D136" s="275">
        <f>ROUND(IF(MinBase3Day&gt;ROUND(((1-(ThreeDayDiscount_21_Up+FedExExrpessEarnedDiscount))*'3Day Base'!D133),2),ROUND(MinBase3Day*(1+ExpressFuelSurcharge),2),ROUND(((1-(ThreeDayDiscount_21_Up+FedExExrpessEarnedDiscount))*'3Day Base'!D133)*(1+ExpressFuelSurcharge),2))*(1+FedEx_Markup),2)</f>
        <v>182.92</v>
      </c>
      <c r="E136" s="275">
        <f>ROUND(IF(MinBase3Day&gt;ROUND(((1-(ThreeDayDiscount_21_Up+FedExExrpessEarnedDiscount))*'3Day Base'!E133),2),ROUND(MinBase3Day*(1+ExpressFuelSurcharge),2),ROUND(((1-(ThreeDayDiscount_21_Up+FedExExrpessEarnedDiscount))*'3Day Base'!E133)*(1+ExpressFuelSurcharge),2))*(1+FedEx_Markup),2)</f>
        <v>252.61</v>
      </c>
      <c r="F136" s="275">
        <f>ROUND(IF(MinBase3Day&gt;ROUND(((1-(ThreeDayDiscount_21_Up+FedExExrpessEarnedDiscount))*'3Day Base'!F133),2),ROUND(MinBase3Day*(1+ExpressFuelSurcharge),2),ROUND(((1-(ThreeDayDiscount_21_Up+FedExExrpessEarnedDiscount))*'3Day Base'!F133)*(1+ExpressFuelSurcharge),2))*(1+FedEx_Markup),2)</f>
        <v>353.41</v>
      </c>
      <c r="G136" s="275">
        <f>ROUND(IF(MinBase3Day&gt;ROUND(((1-(ThreeDayDiscount_21_Up+FedExExrpessEarnedDiscount))*'3Day Base'!G133),2),ROUND(MinBase3Day*(1+ExpressFuelSurcharge),2),ROUND(((1-(ThreeDayDiscount_21_Up+FedExExrpessEarnedDiscount))*'3Day Base'!G133)*(1+ExpressFuelSurcharge),2))*(1+FedEx_Markup),2)</f>
        <v>397.58</v>
      </c>
      <c r="H136" s="275">
        <f>ROUND(IF(MinBase3Day&gt;ROUND(((1-(ThreeDayDiscount_21_Up+FedExExrpessEarnedDiscount))*'3Day Base'!H133),2),ROUND(MinBase3Day*(1+ExpressFuelSurcharge),2),ROUND(((1-(ThreeDayDiscount_21_Up+FedExExrpessEarnedDiscount))*'3Day Base'!H133)*(1+ExpressFuelSurcharge),2))*(1+FedEx_Markup),2)</f>
        <v>451.71</v>
      </c>
    </row>
    <row r="137" ht="12.75" customHeight="1">
      <c r="A137" s="274">
        <v>132.0</v>
      </c>
      <c r="B137" s="275">
        <f>ROUND(IF(MinBase3Day&gt;ROUND(((1-(ThreeDayDiscount_21_Up+FedExExrpessEarnedDiscount))*'3Day Base'!B134),2),ROUND(MinBase3Day*(1+ExpressFuelSurcharge),2),ROUND(((1-(ThreeDayDiscount_21_Up+FedExExrpessEarnedDiscount))*'3Day Base'!B134)*(1+ExpressFuelSurcharge),2))*(1+FedEx_Markup),2)</f>
        <v>111.6</v>
      </c>
      <c r="C137" s="275">
        <f>ROUND(IF(MinBase3Day&gt;ROUND(((1-(ThreeDayDiscount_21_Up+FedExExrpessEarnedDiscount))*'3Day Base'!C134),2),ROUND(MinBase3Day*(1+ExpressFuelSurcharge),2),ROUND(((1-(ThreeDayDiscount_21_Up+FedExExrpessEarnedDiscount))*'3Day Base'!C134)*(1+ExpressFuelSurcharge),2))*(1+FedEx_Markup),2)</f>
        <v>143.57</v>
      </c>
      <c r="D137" s="275">
        <f>ROUND(IF(MinBase3Day&gt;ROUND(((1-(ThreeDayDiscount_21_Up+FedExExrpessEarnedDiscount))*'3Day Base'!D134),2),ROUND(MinBase3Day*(1+ExpressFuelSurcharge),2),ROUND(((1-(ThreeDayDiscount_21_Up+FedExExrpessEarnedDiscount))*'3Day Base'!D134)*(1+ExpressFuelSurcharge),2))*(1+FedEx_Markup),2)</f>
        <v>184.32</v>
      </c>
      <c r="E137" s="275">
        <f>ROUND(IF(MinBase3Day&gt;ROUND(((1-(ThreeDayDiscount_21_Up+FedExExrpessEarnedDiscount))*'3Day Base'!E134),2),ROUND(MinBase3Day*(1+ExpressFuelSurcharge),2),ROUND(((1-(ThreeDayDiscount_21_Up+FedExExrpessEarnedDiscount))*'3Day Base'!E134)*(1+ExpressFuelSurcharge),2))*(1+FedEx_Markup),2)</f>
        <v>254.53</v>
      </c>
      <c r="F137" s="275">
        <f>ROUND(IF(MinBase3Day&gt;ROUND(((1-(ThreeDayDiscount_21_Up+FedExExrpessEarnedDiscount))*'3Day Base'!F134),2),ROUND(MinBase3Day*(1+ExpressFuelSurcharge),2),ROUND(((1-(ThreeDayDiscount_21_Up+FedExExrpessEarnedDiscount))*'3Day Base'!F134)*(1+ExpressFuelSurcharge),2))*(1+FedEx_Markup),2)</f>
        <v>356.1</v>
      </c>
      <c r="G137" s="275">
        <f>ROUND(IF(MinBase3Day&gt;ROUND(((1-(ThreeDayDiscount_21_Up+FedExExrpessEarnedDiscount))*'3Day Base'!G134),2),ROUND(MinBase3Day*(1+ExpressFuelSurcharge),2),ROUND(((1-(ThreeDayDiscount_21_Up+FedExExrpessEarnedDiscount))*'3Day Base'!G134)*(1+ExpressFuelSurcharge),2))*(1+FedEx_Markup),2)</f>
        <v>400.61</v>
      </c>
      <c r="H137" s="275">
        <f>ROUND(IF(MinBase3Day&gt;ROUND(((1-(ThreeDayDiscount_21_Up+FedExExrpessEarnedDiscount))*'3Day Base'!H134),2),ROUND(MinBase3Day*(1+ExpressFuelSurcharge),2),ROUND(((1-(ThreeDayDiscount_21_Up+FedExExrpessEarnedDiscount))*'3Day Base'!H134)*(1+ExpressFuelSurcharge),2))*(1+FedEx_Markup),2)</f>
        <v>455.16</v>
      </c>
    </row>
    <row r="138" ht="12.75" customHeight="1">
      <c r="A138" s="274">
        <v>133.0</v>
      </c>
      <c r="B138" s="275">
        <f>ROUND(IF(MinBase3Day&gt;ROUND(((1-(ThreeDayDiscount_21_Up+FedExExrpessEarnedDiscount))*'3Day Base'!B135),2),ROUND(MinBase3Day*(1+ExpressFuelSurcharge),2),ROUND(((1-(ThreeDayDiscount_21_Up+FedExExrpessEarnedDiscount))*'3Day Base'!B135)*(1+ExpressFuelSurcharge),2))*(1+FedEx_Markup),2)</f>
        <v>112.44</v>
      </c>
      <c r="C138" s="275">
        <f>ROUND(IF(MinBase3Day&gt;ROUND(((1-(ThreeDayDiscount_21_Up+FedExExrpessEarnedDiscount))*'3Day Base'!C135),2),ROUND(MinBase3Day*(1+ExpressFuelSurcharge),2),ROUND(((1-(ThreeDayDiscount_21_Up+FedExExrpessEarnedDiscount))*'3Day Base'!C135)*(1+ExpressFuelSurcharge),2))*(1+FedEx_Markup),2)</f>
        <v>144.66</v>
      </c>
      <c r="D138" s="275">
        <f>ROUND(IF(MinBase3Day&gt;ROUND(((1-(ThreeDayDiscount_21_Up+FedExExrpessEarnedDiscount))*'3Day Base'!D135),2),ROUND(MinBase3Day*(1+ExpressFuelSurcharge),2),ROUND(((1-(ThreeDayDiscount_21_Up+FedExExrpessEarnedDiscount))*'3Day Base'!D135)*(1+ExpressFuelSurcharge),2))*(1+FedEx_Markup),2)</f>
        <v>185.71</v>
      </c>
      <c r="E138" s="275">
        <f>ROUND(IF(MinBase3Day&gt;ROUND(((1-(ThreeDayDiscount_21_Up+FedExExrpessEarnedDiscount))*'3Day Base'!E135),2),ROUND(MinBase3Day*(1+ExpressFuelSurcharge),2),ROUND(((1-(ThreeDayDiscount_21_Up+FedExExrpessEarnedDiscount))*'3Day Base'!E135)*(1+ExpressFuelSurcharge),2))*(1+FedEx_Markup),2)</f>
        <v>256.46</v>
      </c>
      <c r="F138" s="275">
        <f>ROUND(IF(MinBase3Day&gt;ROUND(((1-(ThreeDayDiscount_21_Up+FedExExrpessEarnedDiscount))*'3Day Base'!F135),2),ROUND(MinBase3Day*(1+ExpressFuelSurcharge),2),ROUND(((1-(ThreeDayDiscount_21_Up+FedExExrpessEarnedDiscount))*'3Day Base'!F135)*(1+ExpressFuelSurcharge),2))*(1+FedEx_Markup),2)</f>
        <v>358.8</v>
      </c>
      <c r="G138" s="275">
        <f>ROUND(IF(MinBase3Day&gt;ROUND(((1-(ThreeDayDiscount_21_Up+FedExExrpessEarnedDiscount))*'3Day Base'!G135),2),ROUND(MinBase3Day*(1+ExpressFuelSurcharge),2),ROUND(((1-(ThreeDayDiscount_21_Up+FedExExrpessEarnedDiscount))*'3Day Base'!G135)*(1+ExpressFuelSurcharge),2))*(1+FedEx_Markup),2)</f>
        <v>403.65</v>
      </c>
      <c r="H138" s="275">
        <f>ROUND(IF(MinBase3Day&gt;ROUND(((1-(ThreeDayDiscount_21_Up+FedExExrpessEarnedDiscount))*'3Day Base'!H135),2),ROUND(MinBase3Day*(1+ExpressFuelSurcharge),2),ROUND(((1-(ThreeDayDiscount_21_Up+FedExExrpessEarnedDiscount))*'3Day Base'!H135)*(1+ExpressFuelSurcharge),2))*(1+FedEx_Markup),2)</f>
        <v>458.6</v>
      </c>
    </row>
    <row r="139" ht="12.75" customHeight="1">
      <c r="A139" s="274">
        <v>134.0</v>
      </c>
      <c r="B139" s="275">
        <f>ROUND(IF(MinBase3Day&gt;ROUND(((1-(ThreeDayDiscount_21_Up+FedExExrpessEarnedDiscount))*'3Day Base'!B136),2),ROUND(MinBase3Day*(1+ExpressFuelSurcharge),2),ROUND(((1-(ThreeDayDiscount_21_Up+FedExExrpessEarnedDiscount))*'3Day Base'!B136)*(1+ExpressFuelSurcharge),2))*(1+FedEx_Markup),2)</f>
        <v>113.29</v>
      </c>
      <c r="C139" s="275">
        <f>ROUND(IF(MinBase3Day&gt;ROUND(((1-(ThreeDayDiscount_21_Up+FedExExrpessEarnedDiscount))*'3Day Base'!C136),2),ROUND(MinBase3Day*(1+ExpressFuelSurcharge),2),ROUND(((1-(ThreeDayDiscount_21_Up+FedExExrpessEarnedDiscount))*'3Day Base'!C136)*(1+ExpressFuelSurcharge),2))*(1+FedEx_Markup),2)</f>
        <v>145.74</v>
      </c>
      <c r="D139" s="275">
        <f>ROUND(IF(MinBase3Day&gt;ROUND(((1-(ThreeDayDiscount_21_Up+FedExExrpessEarnedDiscount))*'3Day Base'!D136),2),ROUND(MinBase3Day*(1+ExpressFuelSurcharge),2),ROUND(((1-(ThreeDayDiscount_21_Up+FedExExrpessEarnedDiscount))*'3Day Base'!D136)*(1+ExpressFuelSurcharge),2))*(1+FedEx_Markup),2)</f>
        <v>187.12</v>
      </c>
      <c r="E139" s="275">
        <f>ROUND(IF(MinBase3Day&gt;ROUND(((1-(ThreeDayDiscount_21_Up+FedExExrpessEarnedDiscount))*'3Day Base'!E136),2),ROUND(MinBase3Day*(1+ExpressFuelSurcharge),2),ROUND(((1-(ThreeDayDiscount_21_Up+FedExExrpessEarnedDiscount))*'3Day Base'!E136)*(1+ExpressFuelSurcharge),2))*(1+FedEx_Markup),2)</f>
        <v>258.39</v>
      </c>
      <c r="F139" s="275">
        <f>ROUND(IF(MinBase3Day&gt;ROUND(((1-(ThreeDayDiscount_21_Up+FedExExrpessEarnedDiscount))*'3Day Base'!F136),2),ROUND(MinBase3Day*(1+ExpressFuelSurcharge),2),ROUND(((1-(ThreeDayDiscount_21_Up+FedExExrpessEarnedDiscount))*'3Day Base'!F136)*(1+ExpressFuelSurcharge),2))*(1+FedEx_Markup),2)</f>
        <v>361.49</v>
      </c>
      <c r="G139" s="275">
        <f>ROUND(IF(MinBase3Day&gt;ROUND(((1-(ThreeDayDiscount_21_Up+FedExExrpessEarnedDiscount))*'3Day Base'!G136),2),ROUND(MinBase3Day*(1+ExpressFuelSurcharge),2),ROUND(((1-(ThreeDayDiscount_21_Up+FedExExrpessEarnedDiscount))*'3Day Base'!G136)*(1+ExpressFuelSurcharge),2))*(1+FedEx_Markup),2)</f>
        <v>406.69</v>
      </c>
      <c r="H139" s="275">
        <f>ROUND(IF(MinBase3Day&gt;ROUND(((1-(ThreeDayDiscount_21_Up+FedExExrpessEarnedDiscount))*'3Day Base'!H136),2),ROUND(MinBase3Day*(1+ExpressFuelSurcharge),2),ROUND(((1-(ThreeDayDiscount_21_Up+FedExExrpessEarnedDiscount))*'3Day Base'!H136)*(1+ExpressFuelSurcharge),2))*(1+FedEx_Markup),2)</f>
        <v>462.05</v>
      </c>
    </row>
    <row r="140" ht="12.75" customHeight="1">
      <c r="A140" s="274">
        <v>135.0</v>
      </c>
      <c r="B140" s="275">
        <f>ROUND(IF(MinBase3Day&gt;ROUND(((1-(ThreeDayDiscount_21_Up+FedExExrpessEarnedDiscount))*'3Day Base'!B137),2),ROUND(MinBase3Day*(1+ExpressFuelSurcharge),2),ROUND(((1-(ThreeDayDiscount_21_Up+FedExExrpessEarnedDiscount))*'3Day Base'!B137)*(1+ExpressFuelSurcharge),2))*(1+FedEx_Markup),2)</f>
        <v>114.13</v>
      </c>
      <c r="C140" s="275">
        <f>ROUND(IF(MinBase3Day&gt;ROUND(((1-(ThreeDayDiscount_21_Up+FedExExrpessEarnedDiscount))*'3Day Base'!C137),2),ROUND(MinBase3Day*(1+ExpressFuelSurcharge),2),ROUND(((1-(ThreeDayDiscount_21_Up+FedExExrpessEarnedDiscount))*'3Day Base'!C137)*(1+ExpressFuelSurcharge),2))*(1+FedEx_Markup),2)</f>
        <v>146.83</v>
      </c>
      <c r="D140" s="275">
        <f>ROUND(IF(MinBase3Day&gt;ROUND(((1-(ThreeDayDiscount_21_Up+FedExExrpessEarnedDiscount))*'3Day Base'!D137),2),ROUND(MinBase3Day*(1+ExpressFuelSurcharge),2),ROUND(((1-(ThreeDayDiscount_21_Up+FedExExrpessEarnedDiscount))*'3Day Base'!D137)*(1+ExpressFuelSurcharge),2))*(1+FedEx_Markup),2)</f>
        <v>188.51</v>
      </c>
      <c r="E140" s="275">
        <f>ROUND(IF(MinBase3Day&gt;ROUND(((1-(ThreeDayDiscount_21_Up+FedExExrpessEarnedDiscount))*'3Day Base'!E137),2),ROUND(MinBase3Day*(1+ExpressFuelSurcharge),2),ROUND(((1-(ThreeDayDiscount_21_Up+FedExExrpessEarnedDiscount))*'3Day Base'!E137)*(1+ExpressFuelSurcharge),2))*(1+FedEx_Markup),2)</f>
        <v>260.33</v>
      </c>
      <c r="F140" s="275">
        <f>ROUND(IF(MinBase3Day&gt;ROUND(((1-(ThreeDayDiscount_21_Up+FedExExrpessEarnedDiscount))*'3Day Base'!F137),2),ROUND(MinBase3Day*(1+ExpressFuelSurcharge),2),ROUND(((1-(ThreeDayDiscount_21_Up+FedExExrpessEarnedDiscount))*'3Day Base'!F137)*(1+ExpressFuelSurcharge),2))*(1+FedEx_Markup),2)</f>
        <v>364.19</v>
      </c>
      <c r="G140" s="275">
        <f>ROUND(IF(MinBase3Day&gt;ROUND(((1-(ThreeDayDiscount_21_Up+FedExExrpessEarnedDiscount))*'3Day Base'!G137),2),ROUND(MinBase3Day*(1+ExpressFuelSurcharge),2),ROUND(((1-(ThreeDayDiscount_21_Up+FedExExrpessEarnedDiscount))*'3Day Base'!G137)*(1+ExpressFuelSurcharge),2))*(1+FedEx_Markup),2)</f>
        <v>409.71</v>
      </c>
      <c r="H140" s="275">
        <f>ROUND(IF(MinBase3Day&gt;ROUND(((1-(ThreeDayDiscount_21_Up+FedExExrpessEarnedDiscount))*'3Day Base'!H137),2),ROUND(MinBase3Day*(1+ExpressFuelSurcharge),2),ROUND(((1-(ThreeDayDiscount_21_Up+FedExExrpessEarnedDiscount))*'3Day Base'!H137)*(1+ExpressFuelSurcharge),2))*(1+FedEx_Markup),2)</f>
        <v>465.5</v>
      </c>
    </row>
    <row r="141" ht="12.75" customHeight="1">
      <c r="A141" s="274">
        <v>136.0</v>
      </c>
      <c r="B141" s="275">
        <f>ROUND(IF(MinBase3Day&gt;ROUND(((1-(ThreeDayDiscount_21_Up+FedExExrpessEarnedDiscount))*'3Day Base'!B138),2),ROUND(MinBase3Day*(1+ExpressFuelSurcharge),2),ROUND(((1-(ThreeDayDiscount_21_Up+FedExExrpessEarnedDiscount))*'3Day Base'!B138)*(1+ExpressFuelSurcharge),2))*(1+FedEx_Markup),2)</f>
        <v>114.98</v>
      </c>
      <c r="C141" s="275">
        <f>ROUND(IF(MinBase3Day&gt;ROUND(((1-(ThreeDayDiscount_21_Up+FedExExrpessEarnedDiscount))*'3Day Base'!C138),2),ROUND(MinBase3Day*(1+ExpressFuelSurcharge),2),ROUND(((1-(ThreeDayDiscount_21_Up+FedExExrpessEarnedDiscount))*'3Day Base'!C138)*(1+ExpressFuelSurcharge),2))*(1+FedEx_Markup),2)</f>
        <v>147.91</v>
      </c>
      <c r="D141" s="275">
        <f>ROUND(IF(MinBase3Day&gt;ROUND(((1-(ThreeDayDiscount_21_Up+FedExExrpessEarnedDiscount))*'3Day Base'!D138),2),ROUND(MinBase3Day*(1+ExpressFuelSurcharge),2),ROUND(((1-(ThreeDayDiscount_21_Up+FedExExrpessEarnedDiscount))*'3Day Base'!D138)*(1+ExpressFuelSurcharge),2))*(1+FedEx_Markup),2)</f>
        <v>189.9</v>
      </c>
      <c r="E141" s="275">
        <f>ROUND(IF(MinBase3Day&gt;ROUND(((1-(ThreeDayDiscount_21_Up+FedExExrpessEarnedDiscount))*'3Day Base'!E138),2),ROUND(MinBase3Day*(1+ExpressFuelSurcharge),2),ROUND(((1-(ThreeDayDiscount_21_Up+FedExExrpessEarnedDiscount))*'3Day Base'!E138)*(1+ExpressFuelSurcharge),2))*(1+FedEx_Markup),2)</f>
        <v>262.25</v>
      </c>
      <c r="F141" s="275">
        <f>ROUND(IF(MinBase3Day&gt;ROUND(((1-(ThreeDayDiscount_21_Up+FedExExrpessEarnedDiscount))*'3Day Base'!F138),2),ROUND(MinBase3Day*(1+ExpressFuelSurcharge),2),ROUND(((1-(ThreeDayDiscount_21_Up+FedExExrpessEarnedDiscount))*'3Day Base'!F138)*(1+ExpressFuelSurcharge),2))*(1+FedEx_Markup),2)</f>
        <v>366.88</v>
      </c>
      <c r="G141" s="275">
        <f>ROUND(IF(MinBase3Day&gt;ROUND(((1-(ThreeDayDiscount_21_Up+FedExExrpessEarnedDiscount))*'3Day Base'!G138),2),ROUND(MinBase3Day*(1+ExpressFuelSurcharge),2),ROUND(((1-(ThreeDayDiscount_21_Up+FedExExrpessEarnedDiscount))*'3Day Base'!G138)*(1+ExpressFuelSurcharge),2))*(1+FedEx_Markup),2)</f>
        <v>412.75</v>
      </c>
      <c r="H141" s="275">
        <f>ROUND(IF(MinBase3Day&gt;ROUND(((1-(ThreeDayDiscount_21_Up+FedExExrpessEarnedDiscount))*'3Day Base'!H138),2),ROUND(MinBase3Day*(1+ExpressFuelSurcharge),2),ROUND(((1-(ThreeDayDiscount_21_Up+FedExExrpessEarnedDiscount))*'3Day Base'!H138)*(1+ExpressFuelSurcharge),2))*(1+FedEx_Markup),2)</f>
        <v>468.95</v>
      </c>
    </row>
    <row r="142" ht="12.75" customHeight="1">
      <c r="A142" s="274">
        <v>137.0</v>
      </c>
      <c r="B142" s="275">
        <f>ROUND(IF(MinBase3Day&gt;ROUND(((1-(ThreeDayDiscount_21_Up+FedExExrpessEarnedDiscount))*'3Day Base'!B139),2),ROUND(MinBase3Day*(1+ExpressFuelSurcharge),2),ROUND(((1-(ThreeDayDiscount_21_Up+FedExExrpessEarnedDiscount))*'3Day Base'!B139)*(1+ExpressFuelSurcharge),2))*(1+FedEx_Markup),2)</f>
        <v>115.82</v>
      </c>
      <c r="C142" s="275">
        <f>ROUND(IF(MinBase3Day&gt;ROUND(((1-(ThreeDayDiscount_21_Up+FedExExrpessEarnedDiscount))*'3Day Base'!C139),2),ROUND(MinBase3Day*(1+ExpressFuelSurcharge),2),ROUND(((1-(ThreeDayDiscount_21_Up+FedExExrpessEarnedDiscount))*'3Day Base'!C139)*(1+ExpressFuelSurcharge),2))*(1+FedEx_Markup),2)</f>
        <v>149.01</v>
      </c>
      <c r="D142" s="275">
        <f>ROUND(IF(MinBase3Day&gt;ROUND(((1-(ThreeDayDiscount_21_Up+FedExExrpessEarnedDiscount))*'3Day Base'!D139),2),ROUND(MinBase3Day*(1+ExpressFuelSurcharge),2),ROUND(((1-(ThreeDayDiscount_21_Up+FedExExrpessEarnedDiscount))*'3Day Base'!D139)*(1+ExpressFuelSurcharge),2))*(1+FedEx_Markup),2)</f>
        <v>191.3</v>
      </c>
      <c r="E142" s="275">
        <f>ROUND(IF(MinBase3Day&gt;ROUND(((1-(ThreeDayDiscount_21_Up+FedExExrpessEarnedDiscount))*'3Day Base'!E139),2),ROUND(MinBase3Day*(1+ExpressFuelSurcharge),2),ROUND(((1-(ThreeDayDiscount_21_Up+FedExExrpessEarnedDiscount))*'3Day Base'!E139)*(1+ExpressFuelSurcharge),2))*(1+FedEx_Markup),2)</f>
        <v>264.18</v>
      </c>
      <c r="F142" s="275">
        <f>ROUND(IF(MinBase3Day&gt;ROUND(((1-(ThreeDayDiscount_21_Up+FedExExrpessEarnedDiscount))*'3Day Base'!F139),2),ROUND(MinBase3Day*(1+ExpressFuelSurcharge),2),ROUND(((1-(ThreeDayDiscount_21_Up+FedExExrpessEarnedDiscount))*'3Day Base'!F139)*(1+ExpressFuelSurcharge),2))*(1+FedEx_Markup),2)</f>
        <v>369.59</v>
      </c>
      <c r="G142" s="275">
        <f>ROUND(IF(MinBase3Day&gt;ROUND(((1-(ThreeDayDiscount_21_Up+FedExExrpessEarnedDiscount))*'3Day Base'!G139),2),ROUND(MinBase3Day*(1+ExpressFuelSurcharge),2),ROUND(((1-(ThreeDayDiscount_21_Up+FedExExrpessEarnedDiscount))*'3Day Base'!G139)*(1+ExpressFuelSurcharge),2))*(1+FedEx_Markup),2)</f>
        <v>415.78</v>
      </c>
      <c r="H142" s="275">
        <f>ROUND(IF(MinBase3Day&gt;ROUND(((1-(ThreeDayDiscount_21_Up+FedExExrpessEarnedDiscount))*'3Day Base'!H139),2),ROUND(MinBase3Day*(1+ExpressFuelSurcharge),2),ROUND(((1-(ThreeDayDiscount_21_Up+FedExExrpessEarnedDiscount))*'3Day Base'!H139)*(1+ExpressFuelSurcharge),2))*(1+FedEx_Markup),2)</f>
        <v>472.4</v>
      </c>
    </row>
    <row r="143" ht="12.75" customHeight="1">
      <c r="A143" s="274">
        <v>138.0</v>
      </c>
      <c r="B143" s="275">
        <f>ROUND(IF(MinBase3Day&gt;ROUND(((1-(ThreeDayDiscount_21_Up+FedExExrpessEarnedDiscount))*'3Day Base'!B140),2),ROUND(MinBase3Day*(1+ExpressFuelSurcharge),2),ROUND(((1-(ThreeDayDiscount_21_Up+FedExExrpessEarnedDiscount))*'3Day Base'!B140)*(1+ExpressFuelSurcharge),2))*(1+FedEx_Markup),2)</f>
        <v>116.67</v>
      </c>
      <c r="C143" s="275">
        <f>ROUND(IF(MinBase3Day&gt;ROUND(((1-(ThreeDayDiscount_21_Up+FedExExrpessEarnedDiscount))*'3Day Base'!C140),2),ROUND(MinBase3Day*(1+ExpressFuelSurcharge),2),ROUND(((1-(ThreeDayDiscount_21_Up+FedExExrpessEarnedDiscount))*'3Day Base'!C140)*(1+ExpressFuelSurcharge),2))*(1+FedEx_Markup),2)</f>
        <v>150.1</v>
      </c>
      <c r="D143" s="275">
        <f>ROUND(IF(MinBase3Day&gt;ROUND(((1-(ThreeDayDiscount_21_Up+FedExExrpessEarnedDiscount))*'3Day Base'!D140),2),ROUND(MinBase3Day*(1+ExpressFuelSurcharge),2),ROUND(((1-(ThreeDayDiscount_21_Up+FedExExrpessEarnedDiscount))*'3Day Base'!D140)*(1+ExpressFuelSurcharge),2))*(1+FedEx_Markup),2)</f>
        <v>192.69</v>
      </c>
      <c r="E143" s="275">
        <f>ROUND(IF(MinBase3Day&gt;ROUND(((1-(ThreeDayDiscount_21_Up+FedExExrpessEarnedDiscount))*'3Day Base'!E140),2),ROUND(MinBase3Day*(1+ExpressFuelSurcharge),2),ROUND(((1-(ThreeDayDiscount_21_Up+FedExExrpessEarnedDiscount))*'3Day Base'!E140)*(1+ExpressFuelSurcharge),2))*(1+FedEx_Markup),2)</f>
        <v>266.11</v>
      </c>
      <c r="F143" s="275">
        <f>ROUND(IF(MinBase3Day&gt;ROUND(((1-(ThreeDayDiscount_21_Up+FedExExrpessEarnedDiscount))*'3Day Base'!F140),2),ROUND(MinBase3Day*(1+ExpressFuelSurcharge),2),ROUND(((1-(ThreeDayDiscount_21_Up+FedExExrpessEarnedDiscount))*'3Day Base'!F140)*(1+ExpressFuelSurcharge),2))*(1+FedEx_Markup),2)</f>
        <v>372.29</v>
      </c>
      <c r="G143" s="275">
        <f>ROUND(IF(MinBase3Day&gt;ROUND(((1-(ThreeDayDiscount_21_Up+FedExExrpessEarnedDiscount))*'3Day Base'!G140),2),ROUND(MinBase3Day*(1+ExpressFuelSurcharge),2),ROUND(((1-(ThreeDayDiscount_21_Up+FedExExrpessEarnedDiscount))*'3Day Base'!G140)*(1+ExpressFuelSurcharge),2))*(1+FedEx_Markup),2)</f>
        <v>418.82</v>
      </c>
      <c r="H143" s="275">
        <f>ROUND(IF(MinBase3Day&gt;ROUND(((1-(ThreeDayDiscount_21_Up+FedExExrpessEarnedDiscount))*'3Day Base'!H140),2),ROUND(MinBase3Day*(1+ExpressFuelSurcharge),2),ROUND(((1-(ThreeDayDiscount_21_Up+FedExExrpessEarnedDiscount))*'3Day Base'!H140)*(1+ExpressFuelSurcharge),2))*(1+FedEx_Markup),2)</f>
        <v>475.85</v>
      </c>
    </row>
    <row r="144" ht="12.75" customHeight="1">
      <c r="A144" s="274">
        <v>139.0</v>
      </c>
      <c r="B144" s="275">
        <f>ROUND(IF(MinBase3Day&gt;ROUND(((1-(ThreeDayDiscount_21_Up+FedExExrpessEarnedDiscount))*'3Day Base'!B141),2),ROUND(MinBase3Day*(1+ExpressFuelSurcharge),2),ROUND(((1-(ThreeDayDiscount_21_Up+FedExExrpessEarnedDiscount))*'3Day Base'!B141)*(1+ExpressFuelSurcharge),2))*(1+FedEx_Markup),2)</f>
        <v>117.51</v>
      </c>
      <c r="C144" s="275">
        <f>ROUND(IF(MinBase3Day&gt;ROUND(((1-(ThreeDayDiscount_21_Up+FedExExrpessEarnedDiscount))*'3Day Base'!C141),2),ROUND(MinBase3Day*(1+ExpressFuelSurcharge),2),ROUND(((1-(ThreeDayDiscount_21_Up+FedExExrpessEarnedDiscount))*'3Day Base'!C141)*(1+ExpressFuelSurcharge),2))*(1+FedEx_Markup),2)</f>
        <v>151.18</v>
      </c>
      <c r="D144" s="275">
        <f>ROUND(IF(MinBase3Day&gt;ROUND(((1-(ThreeDayDiscount_21_Up+FedExExrpessEarnedDiscount))*'3Day Base'!D141),2),ROUND(MinBase3Day*(1+ExpressFuelSurcharge),2),ROUND(((1-(ThreeDayDiscount_21_Up+FedExExrpessEarnedDiscount))*'3Day Base'!D141)*(1+ExpressFuelSurcharge),2))*(1+FedEx_Markup),2)</f>
        <v>194.1</v>
      </c>
      <c r="E144" s="275">
        <f>ROUND(IF(MinBase3Day&gt;ROUND(((1-(ThreeDayDiscount_21_Up+FedExExrpessEarnedDiscount))*'3Day Base'!E141),2),ROUND(MinBase3Day*(1+ExpressFuelSurcharge),2),ROUND(((1-(ThreeDayDiscount_21_Up+FedExExrpessEarnedDiscount))*'3Day Base'!E141)*(1+ExpressFuelSurcharge),2))*(1+FedEx_Markup),2)</f>
        <v>268.03</v>
      </c>
      <c r="F144" s="275">
        <f>ROUND(IF(MinBase3Day&gt;ROUND(((1-(ThreeDayDiscount_21_Up+FedExExrpessEarnedDiscount))*'3Day Base'!F141),2),ROUND(MinBase3Day*(1+ExpressFuelSurcharge),2),ROUND(((1-(ThreeDayDiscount_21_Up+FedExExrpessEarnedDiscount))*'3Day Base'!F141)*(1+ExpressFuelSurcharge),2))*(1+FedEx_Markup),2)</f>
        <v>374.98</v>
      </c>
      <c r="G144" s="275">
        <f>ROUND(IF(MinBase3Day&gt;ROUND(((1-(ThreeDayDiscount_21_Up+FedExExrpessEarnedDiscount))*'3Day Base'!G141),2),ROUND(MinBase3Day*(1+ExpressFuelSurcharge),2),ROUND(((1-(ThreeDayDiscount_21_Up+FedExExrpessEarnedDiscount))*'3Day Base'!G141)*(1+ExpressFuelSurcharge),2))*(1+FedEx_Markup),2)</f>
        <v>421.85</v>
      </c>
      <c r="H144" s="275">
        <f>ROUND(IF(MinBase3Day&gt;ROUND(((1-(ThreeDayDiscount_21_Up+FedExExrpessEarnedDiscount))*'3Day Base'!H141),2),ROUND(MinBase3Day*(1+ExpressFuelSurcharge),2),ROUND(((1-(ThreeDayDiscount_21_Up+FedExExrpessEarnedDiscount))*'3Day Base'!H141)*(1+ExpressFuelSurcharge),2))*(1+FedEx_Markup),2)</f>
        <v>479.29</v>
      </c>
    </row>
    <row r="145" ht="12.75" customHeight="1">
      <c r="A145" s="274">
        <v>140.0</v>
      </c>
      <c r="B145" s="275">
        <f>ROUND(IF(MinBase3Day&gt;ROUND(((1-(ThreeDayDiscount_21_Up+FedExExrpessEarnedDiscount))*'3Day Base'!B142),2),ROUND(MinBase3Day*(1+ExpressFuelSurcharge),2),ROUND(((1-(ThreeDayDiscount_21_Up+FedExExrpessEarnedDiscount))*'3Day Base'!B142)*(1+ExpressFuelSurcharge),2))*(1+FedEx_Markup),2)</f>
        <v>118.36</v>
      </c>
      <c r="C145" s="275">
        <f>ROUND(IF(MinBase3Day&gt;ROUND(((1-(ThreeDayDiscount_21_Up+FedExExrpessEarnedDiscount))*'3Day Base'!C142),2),ROUND(MinBase3Day*(1+ExpressFuelSurcharge),2),ROUND(((1-(ThreeDayDiscount_21_Up+FedExExrpessEarnedDiscount))*'3Day Base'!C142)*(1+ExpressFuelSurcharge),2))*(1+FedEx_Markup),2)</f>
        <v>152.27</v>
      </c>
      <c r="D145" s="275">
        <f>ROUND(IF(MinBase3Day&gt;ROUND(((1-(ThreeDayDiscount_21_Up+FedExExrpessEarnedDiscount))*'3Day Base'!D142),2),ROUND(MinBase3Day*(1+ExpressFuelSurcharge),2),ROUND(((1-(ThreeDayDiscount_21_Up+FedExExrpessEarnedDiscount))*'3Day Base'!D142)*(1+ExpressFuelSurcharge),2))*(1+FedEx_Markup),2)</f>
        <v>195.49</v>
      </c>
      <c r="E145" s="275">
        <f>ROUND(IF(MinBase3Day&gt;ROUND(((1-(ThreeDayDiscount_21_Up+FedExExrpessEarnedDiscount))*'3Day Base'!E142),2),ROUND(MinBase3Day*(1+ExpressFuelSurcharge),2),ROUND(((1-(ThreeDayDiscount_21_Up+FedExExrpessEarnedDiscount))*'3Day Base'!E142)*(1+ExpressFuelSurcharge),2))*(1+FedEx_Markup),2)</f>
        <v>269.96</v>
      </c>
      <c r="F145" s="275">
        <f>ROUND(IF(MinBase3Day&gt;ROUND(((1-(ThreeDayDiscount_21_Up+FedExExrpessEarnedDiscount))*'3Day Base'!F142),2),ROUND(MinBase3Day*(1+ExpressFuelSurcharge),2),ROUND(((1-(ThreeDayDiscount_21_Up+FedExExrpessEarnedDiscount))*'3Day Base'!F142)*(1+ExpressFuelSurcharge),2))*(1+FedEx_Markup),2)</f>
        <v>377.68</v>
      </c>
      <c r="G145" s="275">
        <f>ROUND(IF(MinBase3Day&gt;ROUND(((1-(ThreeDayDiscount_21_Up+FedExExrpessEarnedDiscount))*'3Day Base'!G142),2),ROUND(MinBase3Day*(1+ExpressFuelSurcharge),2),ROUND(((1-(ThreeDayDiscount_21_Up+FedExExrpessEarnedDiscount))*'3Day Base'!G142)*(1+ExpressFuelSurcharge),2))*(1+FedEx_Markup),2)</f>
        <v>424.89</v>
      </c>
      <c r="H145" s="275">
        <f>ROUND(IF(MinBase3Day&gt;ROUND(((1-(ThreeDayDiscount_21_Up+FedExExrpessEarnedDiscount))*'3Day Base'!H142),2),ROUND(MinBase3Day*(1+ExpressFuelSurcharge),2),ROUND(((1-(ThreeDayDiscount_21_Up+FedExExrpessEarnedDiscount))*'3Day Base'!H142)*(1+ExpressFuelSurcharge),2))*(1+FedEx_Markup),2)</f>
        <v>482.74</v>
      </c>
    </row>
    <row r="146" ht="12.75" customHeight="1">
      <c r="A146" s="274">
        <v>141.0</v>
      </c>
      <c r="B146" s="275">
        <f>ROUND(IF(MinBase3Day&gt;ROUND(((1-(ThreeDayDiscount_21_Up+FedExExrpessEarnedDiscount))*'3Day Base'!B143),2),ROUND(MinBase3Day*(1+ExpressFuelSurcharge),2),ROUND(((1-(ThreeDayDiscount_21_Up+FedExExrpessEarnedDiscount))*'3Day Base'!B143)*(1+ExpressFuelSurcharge),2))*(1+FedEx_Markup),2)</f>
        <v>119.2</v>
      </c>
      <c r="C146" s="275">
        <f>ROUND(IF(MinBase3Day&gt;ROUND(((1-(ThreeDayDiscount_21_Up+FedExExrpessEarnedDiscount))*'3Day Base'!C143),2),ROUND(MinBase3Day*(1+ExpressFuelSurcharge),2),ROUND(((1-(ThreeDayDiscount_21_Up+FedExExrpessEarnedDiscount))*'3Day Base'!C143)*(1+ExpressFuelSurcharge),2))*(1+FedEx_Markup),2)</f>
        <v>153.35</v>
      </c>
      <c r="D146" s="275">
        <f>ROUND(IF(MinBase3Day&gt;ROUND(((1-(ThreeDayDiscount_21_Up+FedExExrpessEarnedDiscount))*'3Day Base'!D143),2),ROUND(MinBase3Day*(1+ExpressFuelSurcharge),2),ROUND(((1-(ThreeDayDiscount_21_Up+FedExExrpessEarnedDiscount))*'3Day Base'!D143)*(1+ExpressFuelSurcharge),2))*(1+FedEx_Markup),2)</f>
        <v>196.89</v>
      </c>
      <c r="E146" s="275">
        <f>ROUND(IF(MinBase3Day&gt;ROUND(((1-(ThreeDayDiscount_21_Up+FedExExrpessEarnedDiscount))*'3Day Base'!E143),2),ROUND(MinBase3Day*(1+ExpressFuelSurcharge),2),ROUND(((1-(ThreeDayDiscount_21_Up+FedExExrpessEarnedDiscount))*'3Day Base'!E143)*(1+ExpressFuelSurcharge),2))*(1+FedEx_Markup),2)</f>
        <v>271.89</v>
      </c>
      <c r="F146" s="275">
        <f>ROUND(IF(MinBase3Day&gt;ROUND(((1-(ThreeDayDiscount_21_Up+FedExExrpessEarnedDiscount))*'3Day Base'!F143),2),ROUND(MinBase3Day*(1+ExpressFuelSurcharge),2),ROUND(((1-(ThreeDayDiscount_21_Up+FedExExrpessEarnedDiscount))*'3Day Base'!F143)*(1+ExpressFuelSurcharge),2))*(1+FedEx_Markup),2)</f>
        <v>380.37</v>
      </c>
      <c r="G146" s="275">
        <f>ROUND(IF(MinBase3Day&gt;ROUND(((1-(ThreeDayDiscount_21_Up+FedExExrpessEarnedDiscount))*'3Day Base'!G143),2),ROUND(MinBase3Day*(1+ExpressFuelSurcharge),2),ROUND(((1-(ThreeDayDiscount_21_Up+FedExExrpessEarnedDiscount))*'3Day Base'!G143)*(1+ExpressFuelSurcharge),2))*(1+FedEx_Markup),2)</f>
        <v>427.93</v>
      </c>
      <c r="H146" s="275">
        <f>ROUND(IF(MinBase3Day&gt;ROUND(((1-(ThreeDayDiscount_21_Up+FedExExrpessEarnedDiscount))*'3Day Base'!H143),2),ROUND(MinBase3Day*(1+ExpressFuelSurcharge),2),ROUND(((1-(ThreeDayDiscount_21_Up+FedExExrpessEarnedDiscount))*'3Day Base'!H143)*(1+ExpressFuelSurcharge),2))*(1+FedEx_Markup),2)</f>
        <v>486.19</v>
      </c>
    </row>
    <row r="147" ht="12.75" customHeight="1">
      <c r="A147" s="274">
        <v>142.0</v>
      </c>
      <c r="B147" s="275">
        <f>ROUND(IF(MinBase3Day&gt;ROUND(((1-(ThreeDayDiscount_21_Up+FedExExrpessEarnedDiscount))*'3Day Base'!B144),2),ROUND(MinBase3Day*(1+ExpressFuelSurcharge),2),ROUND(((1-(ThreeDayDiscount_21_Up+FedExExrpessEarnedDiscount))*'3Day Base'!B144)*(1+ExpressFuelSurcharge),2))*(1+FedEx_Markup),2)</f>
        <v>120.05</v>
      </c>
      <c r="C147" s="275">
        <f>ROUND(IF(MinBase3Day&gt;ROUND(((1-(ThreeDayDiscount_21_Up+FedExExrpessEarnedDiscount))*'3Day Base'!C144),2),ROUND(MinBase3Day*(1+ExpressFuelSurcharge),2),ROUND(((1-(ThreeDayDiscount_21_Up+FedExExrpessEarnedDiscount))*'3Day Base'!C144)*(1+ExpressFuelSurcharge),2))*(1+FedEx_Markup),2)</f>
        <v>154.45</v>
      </c>
      <c r="D147" s="275">
        <f>ROUND(IF(MinBase3Day&gt;ROUND(((1-(ThreeDayDiscount_21_Up+FedExExrpessEarnedDiscount))*'3Day Base'!D144),2),ROUND(MinBase3Day*(1+ExpressFuelSurcharge),2),ROUND(((1-(ThreeDayDiscount_21_Up+FedExExrpessEarnedDiscount))*'3Day Base'!D144)*(1+ExpressFuelSurcharge),2))*(1+FedEx_Markup),2)</f>
        <v>198.28</v>
      </c>
      <c r="E147" s="275">
        <f>ROUND(IF(MinBase3Day&gt;ROUND(((1-(ThreeDayDiscount_21_Up+FedExExrpessEarnedDiscount))*'3Day Base'!E144),2),ROUND(MinBase3Day*(1+ExpressFuelSurcharge),2),ROUND(((1-(ThreeDayDiscount_21_Up+FedExExrpessEarnedDiscount))*'3Day Base'!E144)*(1+ExpressFuelSurcharge),2))*(1+FedEx_Markup),2)</f>
        <v>273.82</v>
      </c>
      <c r="F147" s="275">
        <f>ROUND(IF(MinBase3Day&gt;ROUND(((1-(ThreeDayDiscount_21_Up+FedExExrpessEarnedDiscount))*'3Day Base'!F144),2),ROUND(MinBase3Day*(1+ExpressFuelSurcharge),2),ROUND(((1-(ThreeDayDiscount_21_Up+FedExExrpessEarnedDiscount))*'3Day Base'!F144)*(1+ExpressFuelSurcharge),2))*(1+FedEx_Markup),2)</f>
        <v>383.08</v>
      </c>
      <c r="G147" s="275">
        <f>ROUND(IF(MinBase3Day&gt;ROUND(((1-(ThreeDayDiscount_21_Up+FedExExrpessEarnedDiscount))*'3Day Base'!G144),2),ROUND(MinBase3Day*(1+ExpressFuelSurcharge),2),ROUND(((1-(ThreeDayDiscount_21_Up+FedExExrpessEarnedDiscount))*'3Day Base'!G144)*(1+ExpressFuelSurcharge),2))*(1+FedEx_Markup),2)</f>
        <v>430.96</v>
      </c>
      <c r="H147" s="275">
        <f>ROUND(IF(MinBase3Day&gt;ROUND(((1-(ThreeDayDiscount_21_Up+FedExExrpessEarnedDiscount))*'3Day Base'!H144),2),ROUND(MinBase3Day*(1+ExpressFuelSurcharge),2),ROUND(((1-(ThreeDayDiscount_21_Up+FedExExrpessEarnedDiscount))*'3Day Base'!H144)*(1+ExpressFuelSurcharge),2))*(1+FedEx_Markup),2)</f>
        <v>489.64</v>
      </c>
    </row>
    <row r="148" ht="12.75" customHeight="1">
      <c r="A148" s="274">
        <v>143.0</v>
      </c>
      <c r="B148" s="275">
        <f>ROUND(IF(MinBase3Day&gt;ROUND(((1-(ThreeDayDiscount_21_Up+FedExExrpessEarnedDiscount))*'3Day Base'!B145),2),ROUND(MinBase3Day*(1+ExpressFuelSurcharge),2),ROUND(((1-(ThreeDayDiscount_21_Up+FedExExrpessEarnedDiscount))*'3Day Base'!B145)*(1+ExpressFuelSurcharge),2))*(1+FedEx_Markup),2)</f>
        <v>120.9</v>
      </c>
      <c r="C148" s="275">
        <f>ROUND(IF(MinBase3Day&gt;ROUND(((1-(ThreeDayDiscount_21_Up+FedExExrpessEarnedDiscount))*'3Day Base'!C145),2),ROUND(MinBase3Day*(1+ExpressFuelSurcharge),2),ROUND(((1-(ThreeDayDiscount_21_Up+FedExExrpessEarnedDiscount))*'3Day Base'!C145)*(1+ExpressFuelSurcharge),2))*(1+FedEx_Markup),2)</f>
        <v>155.54</v>
      </c>
      <c r="D148" s="275">
        <f>ROUND(IF(MinBase3Day&gt;ROUND(((1-(ThreeDayDiscount_21_Up+FedExExrpessEarnedDiscount))*'3Day Base'!D145),2),ROUND(MinBase3Day*(1+ExpressFuelSurcharge),2),ROUND(((1-(ThreeDayDiscount_21_Up+FedExExrpessEarnedDiscount))*'3Day Base'!D145)*(1+ExpressFuelSurcharge),2))*(1+FedEx_Markup),2)</f>
        <v>199.67</v>
      </c>
      <c r="E148" s="275">
        <f>ROUND(IF(MinBase3Day&gt;ROUND(((1-(ThreeDayDiscount_21_Up+FedExExrpessEarnedDiscount))*'3Day Base'!E145),2),ROUND(MinBase3Day*(1+ExpressFuelSurcharge),2),ROUND(((1-(ThreeDayDiscount_21_Up+FedExExrpessEarnedDiscount))*'3Day Base'!E145)*(1+ExpressFuelSurcharge),2))*(1+FedEx_Markup),2)</f>
        <v>275.75</v>
      </c>
      <c r="F148" s="275">
        <f>ROUND(IF(MinBase3Day&gt;ROUND(((1-(ThreeDayDiscount_21_Up+FedExExrpessEarnedDiscount))*'3Day Base'!F145),2),ROUND(MinBase3Day*(1+ExpressFuelSurcharge),2),ROUND(((1-(ThreeDayDiscount_21_Up+FedExExrpessEarnedDiscount))*'3Day Base'!F145)*(1+ExpressFuelSurcharge),2))*(1+FedEx_Markup),2)</f>
        <v>385.78</v>
      </c>
      <c r="G148" s="275">
        <f>ROUND(IF(MinBase3Day&gt;ROUND(((1-(ThreeDayDiscount_21_Up+FedExExrpessEarnedDiscount))*'3Day Base'!G145),2),ROUND(MinBase3Day*(1+ExpressFuelSurcharge),2),ROUND(((1-(ThreeDayDiscount_21_Up+FedExExrpessEarnedDiscount))*'3Day Base'!G145)*(1+ExpressFuelSurcharge),2))*(1+FedEx_Markup),2)</f>
        <v>434</v>
      </c>
      <c r="H148" s="275">
        <f>ROUND(IF(MinBase3Day&gt;ROUND(((1-(ThreeDayDiscount_21_Up+FedExExrpessEarnedDiscount))*'3Day Base'!H145),2),ROUND(MinBase3Day*(1+ExpressFuelSurcharge),2),ROUND(((1-(ThreeDayDiscount_21_Up+FedExExrpessEarnedDiscount))*'3Day Base'!H145)*(1+ExpressFuelSurcharge),2))*(1+FedEx_Markup),2)</f>
        <v>493.09</v>
      </c>
    </row>
    <row r="149" ht="12.75" customHeight="1">
      <c r="A149" s="274">
        <v>144.0</v>
      </c>
      <c r="B149" s="275">
        <f>ROUND(IF(MinBase3Day&gt;ROUND(((1-(ThreeDayDiscount_21_Up+FedExExrpessEarnedDiscount))*'3Day Base'!B146),2),ROUND(MinBase3Day*(1+ExpressFuelSurcharge),2),ROUND(((1-(ThreeDayDiscount_21_Up+FedExExrpessEarnedDiscount))*'3Day Base'!B146)*(1+ExpressFuelSurcharge),2))*(1+FedEx_Markup),2)</f>
        <v>121.74</v>
      </c>
      <c r="C149" s="275">
        <f>ROUND(IF(MinBase3Day&gt;ROUND(((1-(ThreeDayDiscount_21_Up+FedExExrpessEarnedDiscount))*'3Day Base'!C146),2),ROUND(MinBase3Day*(1+ExpressFuelSurcharge),2),ROUND(((1-(ThreeDayDiscount_21_Up+FedExExrpessEarnedDiscount))*'3Day Base'!C146)*(1+ExpressFuelSurcharge),2))*(1+FedEx_Markup),2)</f>
        <v>156.62</v>
      </c>
      <c r="D149" s="275">
        <f>ROUND(IF(MinBase3Day&gt;ROUND(((1-(ThreeDayDiscount_21_Up+FedExExrpessEarnedDiscount))*'3Day Base'!D146),2),ROUND(MinBase3Day*(1+ExpressFuelSurcharge),2),ROUND(((1-(ThreeDayDiscount_21_Up+FedExExrpessEarnedDiscount))*'3Day Base'!D146)*(1+ExpressFuelSurcharge),2))*(1+FedEx_Markup),2)</f>
        <v>201.08</v>
      </c>
      <c r="E149" s="275">
        <f>ROUND(IF(MinBase3Day&gt;ROUND(((1-(ThreeDayDiscount_21_Up+FedExExrpessEarnedDiscount))*'3Day Base'!E146),2),ROUND(MinBase3Day*(1+ExpressFuelSurcharge),2),ROUND(((1-(ThreeDayDiscount_21_Up+FedExExrpessEarnedDiscount))*'3Day Base'!E146)*(1+ExpressFuelSurcharge),2))*(1+FedEx_Markup),2)</f>
        <v>277.68</v>
      </c>
      <c r="F149" s="275">
        <f>ROUND(IF(MinBase3Day&gt;ROUND(((1-(ThreeDayDiscount_21_Up+FedExExrpessEarnedDiscount))*'3Day Base'!F146),2),ROUND(MinBase3Day*(1+ExpressFuelSurcharge),2),ROUND(((1-(ThreeDayDiscount_21_Up+FedExExrpessEarnedDiscount))*'3Day Base'!F146)*(1+ExpressFuelSurcharge),2))*(1+FedEx_Markup),2)</f>
        <v>388.47</v>
      </c>
      <c r="G149" s="275">
        <f>ROUND(IF(MinBase3Day&gt;ROUND(((1-(ThreeDayDiscount_21_Up+FedExExrpessEarnedDiscount))*'3Day Base'!G146),2),ROUND(MinBase3Day*(1+ExpressFuelSurcharge),2),ROUND(((1-(ThreeDayDiscount_21_Up+FedExExrpessEarnedDiscount))*'3Day Base'!G146)*(1+ExpressFuelSurcharge),2))*(1+FedEx_Markup),2)</f>
        <v>437.03</v>
      </c>
      <c r="H149" s="275">
        <f>ROUND(IF(MinBase3Day&gt;ROUND(((1-(ThreeDayDiscount_21_Up+FedExExrpessEarnedDiscount))*'3Day Base'!H146),2),ROUND(MinBase3Day*(1+ExpressFuelSurcharge),2),ROUND(((1-(ThreeDayDiscount_21_Up+FedExExrpessEarnedDiscount))*'3Day Base'!H146)*(1+ExpressFuelSurcharge),2))*(1+FedEx_Markup),2)</f>
        <v>496.54</v>
      </c>
    </row>
    <row r="150" ht="12.75" customHeight="1">
      <c r="A150" s="274">
        <v>145.0</v>
      </c>
      <c r="B150" s="275">
        <f>ROUND(IF(MinBase3Day&gt;ROUND(((1-(ThreeDayDiscount_21_Up+FedExExrpessEarnedDiscount))*'3Day Base'!B147),2),ROUND(MinBase3Day*(1+ExpressFuelSurcharge),2),ROUND(((1-(ThreeDayDiscount_21_Up+FedExExrpessEarnedDiscount))*'3Day Base'!B147)*(1+ExpressFuelSurcharge),2))*(1+FedEx_Markup),2)</f>
        <v>122.59</v>
      </c>
      <c r="C150" s="275">
        <f>ROUND(IF(MinBase3Day&gt;ROUND(((1-(ThreeDayDiscount_21_Up+FedExExrpessEarnedDiscount))*'3Day Base'!C147),2),ROUND(MinBase3Day*(1+ExpressFuelSurcharge),2),ROUND(((1-(ThreeDayDiscount_21_Up+FedExExrpessEarnedDiscount))*'3Day Base'!C147)*(1+ExpressFuelSurcharge),2))*(1+FedEx_Markup),2)</f>
        <v>157.71</v>
      </c>
      <c r="D150" s="275">
        <f>ROUND(IF(MinBase3Day&gt;ROUND(((1-(ThreeDayDiscount_21_Up+FedExExrpessEarnedDiscount))*'3Day Base'!D147),2),ROUND(MinBase3Day*(1+ExpressFuelSurcharge),2),ROUND(((1-(ThreeDayDiscount_21_Up+FedExExrpessEarnedDiscount))*'3Day Base'!D147)*(1+ExpressFuelSurcharge),2))*(1+FedEx_Markup),2)</f>
        <v>202.47</v>
      </c>
      <c r="E150" s="275">
        <f>ROUND(IF(MinBase3Day&gt;ROUND(((1-(ThreeDayDiscount_21_Up+FedExExrpessEarnedDiscount))*'3Day Base'!E147),2),ROUND(MinBase3Day*(1+ExpressFuelSurcharge),2),ROUND(((1-(ThreeDayDiscount_21_Up+FedExExrpessEarnedDiscount))*'3Day Base'!E147)*(1+ExpressFuelSurcharge),2))*(1+FedEx_Markup),2)</f>
        <v>279.6</v>
      </c>
      <c r="F150" s="275">
        <f>ROUND(IF(MinBase3Day&gt;ROUND(((1-(ThreeDayDiscount_21_Up+FedExExrpessEarnedDiscount))*'3Day Base'!F147),2),ROUND(MinBase3Day*(1+ExpressFuelSurcharge),2),ROUND(((1-(ThreeDayDiscount_21_Up+FedExExrpessEarnedDiscount))*'3Day Base'!F147)*(1+ExpressFuelSurcharge),2))*(1+FedEx_Markup),2)</f>
        <v>391.17</v>
      </c>
      <c r="G150" s="275">
        <f>ROUND(IF(MinBase3Day&gt;ROUND(((1-(ThreeDayDiscount_21_Up+FedExExrpessEarnedDiscount))*'3Day Base'!G147),2),ROUND(MinBase3Day*(1+ExpressFuelSurcharge),2),ROUND(((1-(ThreeDayDiscount_21_Up+FedExExrpessEarnedDiscount))*'3Day Base'!G147)*(1+ExpressFuelSurcharge),2))*(1+FedEx_Markup),2)</f>
        <v>440.07</v>
      </c>
      <c r="H150" s="275">
        <f>ROUND(IF(MinBase3Day&gt;ROUND(((1-(ThreeDayDiscount_21_Up+FedExExrpessEarnedDiscount))*'3Day Base'!H147),2),ROUND(MinBase3Day*(1+ExpressFuelSurcharge),2),ROUND(((1-(ThreeDayDiscount_21_Up+FedExExrpessEarnedDiscount))*'3Day Base'!H147)*(1+ExpressFuelSurcharge),2))*(1+FedEx_Markup),2)</f>
        <v>499.99</v>
      </c>
    </row>
    <row r="151" ht="12.75" customHeight="1">
      <c r="A151" s="274">
        <v>146.0</v>
      </c>
      <c r="B151" s="275">
        <f>ROUND(IF(MinBase3Day&gt;ROUND(((1-(ThreeDayDiscount_21_Up+FedExExrpessEarnedDiscount))*'3Day Base'!B148),2),ROUND(MinBase3Day*(1+ExpressFuelSurcharge),2),ROUND(((1-(ThreeDayDiscount_21_Up+FedExExrpessEarnedDiscount))*'3Day Base'!B148)*(1+ExpressFuelSurcharge),2))*(1+FedEx_Markup),2)</f>
        <v>123.43</v>
      </c>
      <c r="C151" s="275">
        <f>ROUND(IF(MinBase3Day&gt;ROUND(((1-(ThreeDayDiscount_21_Up+FedExExrpessEarnedDiscount))*'3Day Base'!C148),2),ROUND(MinBase3Day*(1+ExpressFuelSurcharge),2),ROUND(((1-(ThreeDayDiscount_21_Up+FedExExrpessEarnedDiscount))*'3Day Base'!C148)*(1+ExpressFuelSurcharge),2))*(1+FedEx_Markup),2)</f>
        <v>158.79</v>
      </c>
      <c r="D151" s="275">
        <f>ROUND(IF(MinBase3Day&gt;ROUND(((1-(ThreeDayDiscount_21_Up+FedExExrpessEarnedDiscount))*'3Day Base'!D148),2),ROUND(MinBase3Day*(1+ExpressFuelSurcharge),2),ROUND(((1-(ThreeDayDiscount_21_Up+FedExExrpessEarnedDiscount))*'3Day Base'!D148)*(1+ExpressFuelSurcharge),2))*(1+FedEx_Markup),2)</f>
        <v>203.87</v>
      </c>
      <c r="E151" s="275">
        <f>ROUND(IF(MinBase3Day&gt;ROUND(((1-(ThreeDayDiscount_21_Up+FedExExrpessEarnedDiscount))*'3Day Base'!E148),2),ROUND(MinBase3Day*(1+ExpressFuelSurcharge),2),ROUND(((1-(ThreeDayDiscount_21_Up+FedExExrpessEarnedDiscount))*'3Day Base'!E148)*(1+ExpressFuelSurcharge),2))*(1+FedEx_Markup),2)</f>
        <v>281.53</v>
      </c>
      <c r="F151" s="275">
        <f>ROUND(IF(MinBase3Day&gt;ROUND(((1-(ThreeDayDiscount_21_Up+FedExExrpessEarnedDiscount))*'3Day Base'!F148),2),ROUND(MinBase3Day*(1+ExpressFuelSurcharge),2),ROUND(((1-(ThreeDayDiscount_21_Up+FedExExrpessEarnedDiscount))*'3Day Base'!F148)*(1+ExpressFuelSurcharge),2))*(1+FedEx_Markup),2)</f>
        <v>393.86</v>
      </c>
      <c r="G151" s="275">
        <f>ROUND(IF(MinBase3Day&gt;ROUND(((1-(ThreeDayDiscount_21_Up+FedExExrpessEarnedDiscount))*'3Day Base'!G148),2),ROUND(MinBase3Day*(1+ExpressFuelSurcharge),2),ROUND(((1-(ThreeDayDiscount_21_Up+FedExExrpessEarnedDiscount))*'3Day Base'!G148)*(1+ExpressFuelSurcharge),2))*(1+FedEx_Markup),2)</f>
        <v>443.1</v>
      </c>
      <c r="H151" s="275">
        <f>ROUND(IF(MinBase3Day&gt;ROUND(((1-(ThreeDayDiscount_21_Up+FedExExrpessEarnedDiscount))*'3Day Base'!H148),2),ROUND(MinBase3Day*(1+ExpressFuelSurcharge),2),ROUND(((1-(ThreeDayDiscount_21_Up+FedExExrpessEarnedDiscount))*'3Day Base'!H148)*(1+ExpressFuelSurcharge),2))*(1+FedEx_Markup),2)</f>
        <v>503.42</v>
      </c>
    </row>
    <row r="152" ht="12.75" customHeight="1">
      <c r="A152" s="274">
        <v>147.0</v>
      </c>
      <c r="B152" s="275">
        <f>ROUND(IF(MinBase3Day&gt;ROUND(((1-(ThreeDayDiscount_21_Up+FedExExrpessEarnedDiscount))*'3Day Base'!B149),2),ROUND(MinBase3Day*(1+ExpressFuelSurcharge),2),ROUND(((1-(ThreeDayDiscount_21_Up+FedExExrpessEarnedDiscount))*'3Day Base'!B149)*(1+ExpressFuelSurcharge),2))*(1+FedEx_Markup),2)</f>
        <v>124.28</v>
      </c>
      <c r="C152" s="275">
        <f>ROUND(IF(MinBase3Day&gt;ROUND(((1-(ThreeDayDiscount_21_Up+FedExExrpessEarnedDiscount))*'3Day Base'!C149),2),ROUND(MinBase3Day*(1+ExpressFuelSurcharge),2),ROUND(((1-(ThreeDayDiscount_21_Up+FedExExrpessEarnedDiscount))*'3Day Base'!C149)*(1+ExpressFuelSurcharge),2))*(1+FedEx_Markup),2)</f>
        <v>159.88</v>
      </c>
      <c r="D152" s="275">
        <f>ROUND(IF(MinBase3Day&gt;ROUND(((1-(ThreeDayDiscount_21_Up+FedExExrpessEarnedDiscount))*'3Day Base'!D149),2),ROUND(MinBase3Day*(1+ExpressFuelSurcharge),2),ROUND(((1-(ThreeDayDiscount_21_Up+FedExExrpessEarnedDiscount))*'3Day Base'!D149)*(1+ExpressFuelSurcharge),2))*(1+FedEx_Markup),2)</f>
        <v>205.26</v>
      </c>
      <c r="E152" s="275">
        <f>ROUND(IF(MinBase3Day&gt;ROUND(((1-(ThreeDayDiscount_21_Up+FedExExrpessEarnedDiscount))*'3Day Base'!E149),2),ROUND(MinBase3Day*(1+ExpressFuelSurcharge),2),ROUND(((1-(ThreeDayDiscount_21_Up+FedExExrpessEarnedDiscount))*'3Day Base'!E149)*(1+ExpressFuelSurcharge),2))*(1+FedEx_Markup),2)</f>
        <v>283.46</v>
      </c>
      <c r="F152" s="275">
        <f>ROUND(IF(MinBase3Day&gt;ROUND(((1-(ThreeDayDiscount_21_Up+FedExExrpessEarnedDiscount))*'3Day Base'!F149),2),ROUND(MinBase3Day*(1+ExpressFuelSurcharge),2),ROUND(((1-(ThreeDayDiscount_21_Up+FedExExrpessEarnedDiscount))*'3Day Base'!F149)*(1+ExpressFuelSurcharge),2))*(1+FedEx_Markup),2)</f>
        <v>396.57</v>
      </c>
      <c r="G152" s="275">
        <f>ROUND(IF(MinBase3Day&gt;ROUND(((1-(ThreeDayDiscount_21_Up+FedExExrpessEarnedDiscount))*'3Day Base'!G149),2),ROUND(MinBase3Day*(1+ExpressFuelSurcharge),2),ROUND(((1-(ThreeDayDiscount_21_Up+FedExExrpessEarnedDiscount))*'3Day Base'!G149)*(1+ExpressFuelSurcharge),2))*(1+FedEx_Markup),2)</f>
        <v>446.13</v>
      </c>
      <c r="H152" s="275">
        <f>ROUND(IF(MinBase3Day&gt;ROUND(((1-(ThreeDayDiscount_21_Up+FedExExrpessEarnedDiscount))*'3Day Base'!H149),2),ROUND(MinBase3Day*(1+ExpressFuelSurcharge),2),ROUND(((1-(ThreeDayDiscount_21_Up+FedExExrpessEarnedDiscount))*'3Day Base'!H149)*(1+ExpressFuelSurcharge),2))*(1+FedEx_Markup),2)</f>
        <v>506.87</v>
      </c>
    </row>
    <row r="153" ht="12.75" customHeight="1">
      <c r="A153" s="274">
        <v>148.0</v>
      </c>
      <c r="B153" s="275">
        <f>ROUND(IF(MinBase3Day&gt;ROUND(((1-(ThreeDayDiscount_21_Up+FedExExrpessEarnedDiscount))*'3Day Base'!B150),2),ROUND(MinBase3Day*(1+ExpressFuelSurcharge),2),ROUND(((1-(ThreeDayDiscount_21_Up+FedExExrpessEarnedDiscount))*'3Day Base'!B150)*(1+ExpressFuelSurcharge),2))*(1+FedEx_Markup),2)</f>
        <v>125.12</v>
      </c>
      <c r="C153" s="275">
        <f>ROUND(IF(MinBase3Day&gt;ROUND(((1-(ThreeDayDiscount_21_Up+FedExExrpessEarnedDiscount))*'3Day Base'!C150),2),ROUND(MinBase3Day*(1+ExpressFuelSurcharge),2),ROUND(((1-(ThreeDayDiscount_21_Up+FedExExrpessEarnedDiscount))*'3Day Base'!C150)*(1+ExpressFuelSurcharge),2))*(1+FedEx_Markup),2)</f>
        <v>160.97</v>
      </c>
      <c r="D153" s="275">
        <f>ROUND(IF(MinBase3Day&gt;ROUND(((1-(ThreeDayDiscount_21_Up+FedExExrpessEarnedDiscount))*'3Day Base'!D150),2),ROUND(MinBase3Day*(1+ExpressFuelSurcharge),2),ROUND(((1-(ThreeDayDiscount_21_Up+FedExExrpessEarnedDiscount))*'3Day Base'!D150)*(1+ExpressFuelSurcharge),2))*(1+FedEx_Markup),2)</f>
        <v>206.66</v>
      </c>
      <c r="E153" s="275">
        <f>ROUND(IF(MinBase3Day&gt;ROUND(((1-(ThreeDayDiscount_21_Up+FedExExrpessEarnedDiscount))*'3Day Base'!E150),2),ROUND(MinBase3Day*(1+ExpressFuelSurcharge),2),ROUND(((1-(ThreeDayDiscount_21_Up+FedExExrpessEarnedDiscount))*'3Day Base'!E150)*(1+ExpressFuelSurcharge),2))*(1+FedEx_Markup),2)</f>
        <v>285.38</v>
      </c>
      <c r="F153" s="275">
        <f>ROUND(IF(MinBase3Day&gt;ROUND(((1-(ThreeDayDiscount_21_Up+FedExExrpessEarnedDiscount))*'3Day Base'!F150),2),ROUND(MinBase3Day*(1+ExpressFuelSurcharge),2),ROUND(((1-(ThreeDayDiscount_21_Up+FedExExrpessEarnedDiscount))*'3Day Base'!F150)*(1+ExpressFuelSurcharge),2))*(1+FedEx_Markup),2)</f>
        <v>399.26</v>
      </c>
      <c r="G153" s="275">
        <f>ROUND(IF(MinBase3Day&gt;ROUND(((1-(ThreeDayDiscount_21_Up+FedExExrpessEarnedDiscount))*'3Day Base'!G150),2),ROUND(MinBase3Day*(1+ExpressFuelSurcharge),2),ROUND(((1-(ThreeDayDiscount_21_Up+FedExExrpessEarnedDiscount))*'3Day Base'!G150)*(1+ExpressFuelSurcharge),2))*(1+FedEx_Markup),2)</f>
        <v>449.17</v>
      </c>
      <c r="H153" s="275">
        <f>ROUND(IF(MinBase3Day&gt;ROUND(((1-(ThreeDayDiscount_21_Up+FedExExrpessEarnedDiscount))*'3Day Base'!H150),2),ROUND(MinBase3Day*(1+ExpressFuelSurcharge),2),ROUND(((1-(ThreeDayDiscount_21_Up+FedExExrpessEarnedDiscount))*'3Day Base'!H150)*(1+ExpressFuelSurcharge),2))*(1+FedEx_Markup),2)</f>
        <v>510.32</v>
      </c>
    </row>
    <row r="154" ht="12.75" customHeight="1">
      <c r="A154" s="274">
        <v>149.0</v>
      </c>
      <c r="B154" s="275">
        <f>ROUND(IF(MinBase3Day&gt;ROUND(((1-(ThreeDayDiscount_21_Up+FedExExrpessEarnedDiscount))*'3Day Base'!B151),2),ROUND(MinBase3Day*(1+ExpressFuelSurcharge),2),ROUND(((1-(ThreeDayDiscount_21_Up+FedExExrpessEarnedDiscount))*'3Day Base'!B151)*(1+ExpressFuelSurcharge),2))*(1+FedEx_Markup),2)</f>
        <v>125.97</v>
      </c>
      <c r="C154" s="275">
        <f>ROUND(IF(MinBase3Day&gt;ROUND(((1-(ThreeDayDiscount_21_Up+FedExExrpessEarnedDiscount))*'3Day Base'!C151),2),ROUND(MinBase3Day*(1+ExpressFuelSurcharge),2),ROUND(((1-(ThreeDayDiscount_21_Up+FedExExrpessEarnedDiscount))*'3Day Base'!C151)*(1+ExpressFuelSurcharge),2))*(1+FedEx_Markup),2)</f>
        <v>162.06</v>
      </c>
      <c r="D154" s="275">
        <f>ROUND(IF(MinBase3Day&gt;ROUND(((1-(ThreeDayDiscount_21_Up+FedExExrpessEarnedDiscount))*'3Day Base'!D151),2),ROUND(MinBase3Day*(1+ExpressFuelSurcharge),2),ROUND(((1-(ThreeDayDiscount_21_Up+FedExExrpessEarnedDiscount))*'3Day Base'!D151)*(1+ExpressFuelSurcharge),2))*(1+FedEx_Markup),2)</f>
        <v>208.06</v>
      </c>
      <c r="E154" s="275">
        <f>ROUND(IF(MinBase3Day&gt;ROUND(((1-(ThreeDayDiscount_21_Up+FedExExrpessEarnedDiscount))*'3Day Base'!E151),2),ROUND(MinBase3Day*(1+ExpressFuelSurcharge),2),ROUND(((1-(ThreeDayDiscount_21_Up+FedExExrpessEarnedDiscount))*'3Day Base'!E151)*(1+ExpressFuelSurcharge),2))*(1+FedEx_Markup),2)</f>
        <v>287.32</v>
      </c>
      <c r="F154" s="275">
        <f>ROUND(IF(MinBase3Day&gt;ROUND(((1-(ThreeDayDiscount_21_Up+FedExExrpessEarnedDiscount))*'3Day Base'!F151),2),ROUND(MinBase3Day*(1+ExpressFuelSurcharge),2),ROUND(((1-(ThreeDayDiscount_21_Up+FedExExrpessEarnedDiscount))*'3Day Base'!F151)*(1+ExpressFuelSurcharge),2))*(1+FedEx_Markup),2)</f>
        <v>401.96</v>
      </c>
      <c r="G154" s="275">
        <f>ROUND(IF(MinBase3Day&gt;ROUND(((1-(ThreeDayDiscount_21_Up+FedExExrpessEarnedDiscount))*'3Day Base'!G151),2),ROUND(MinBase3Day*(1+ExpressFuelSurcharge),2),ROUND(((1-(ThreeDayDiscount_21_Up+FedExExrpessEarnedDiscount))*'3Day Base'!G151)*(1+ExpressFuelSurcharge),2))*(1+FedEx_Markup),2)</f>
        <v>452.2</v>
      </c>
      <c r="H154" s="275">
        <f>ROUND(IF(MinBase3Day&gt;ROUND(((1-(ThreeDayDiscount_21_Up+FedExExrpessEarnedDiscount))*'3Day Base'!H151),2),ROUND(MinBase3Day*(1+ExpressFuelSurcharge),2),ROUND(((1-(ThreeDayDiscount_21_Up+FedExExrpessEarnedDiscount))*'3Day Base'!H151)*(1+ExpressFuelSurcharge),2))*(1+FedEx_Markup),2)</f>
        <v>513.77</v>
      </c>
    </row>
    <row r="155" ht="12.75" customHeight="1">
      <c r="A155" s="274">
        <v>150.0</v>
      </c>
      <c r="B155" s="275">
        <f>ROUND(IF(MinBase3Day&gt;ROUND(((1-(ThreeDayDiscount_21_Up+FedExExrpessEarnedDiscount))*'3Day Base'!B152),2),ROUND(MinBase3Day*(1+ExpressFuelSurcharge),2),ROUND(((1-(ThreeDayDiscount_21_Up+FedExExrpessEarnedDiscount))*'3Day Base'!B152)*(1+ExpressFuelSurcharge),2))*(1+FedEx_Markup),2)</f>
        <v>126.81</v>
      </c>
      <c r="C155" s="275">
        <f>ROUND(IF(MinBase3Day&gt;ROUND(((1-(ThreeDayDiscount_21_Up+FedExExrpessEarnedDiscount))*'3Day Base'!C152),2),ROUND(MinBase3Day*(1+ExpressFuelSurcharge),2),ROUND(((1-(ThreeDayDiscount_21_Up+FedExExrpessEarnedDiscount))*'3Day Base'!C152)*(1+ExpressFuelSurcharge),2))*(1+FedEx_Markup),2)</f>
        <v>163.15</v>
      </c>
      <c r="D155" s="275">
        <f>ROUND(IF(MinBase3Day&gt;ROUND(((1-(ThreeDayDiscount_21_Up+FedExExrpessEarnedDiscount))*'3Day Base'!D152),2),ROUND(MinBase3Day*(1+ExpressFuelSurcharge),2),ROUND(((1-(ThreeDayDiscount_21_Up+FedExExrpessEarnedDiscount))*'3Day Base'!D152)*(1+ExpressFuelSurcharge),2))*(1+FedEx_Markup),2)</f>
        <v>209.45</v>
      </c>
      <c r="E155" s="275">
        <f>ROUND(IF(MinBase3Day&gt;ROUND(((1-(ThreeDayDiscount_21_Up+FedExExrpessEarnedDiscount))*'3Day Base'!E152),2),ROUND(MinBase3Day*(1+ExpressFuelSurcharge),2),ROUND(((1-(ThreeDayDiscount_21_Up+FedExExrpessEarnedDiscount))*'3Day Base'!E152)*(1+ExpressFuelSurcharge),2))*(1+FedEx_Markup),2)</f>
        <v>289.25</v>
      </c>
      <c r="F155" s="275">
        <f>ROUND(IF(MinBase3Day&gt;ROUND(((1-(ThreeDayDiscount_21_Up+FedExExrpessEarnedDiscount))*'3Day Base'!F152),2),ROUND(MinBase3Day*(1+ExpressFuelSurcharge),2),ROUND(((1-(ThreeDayDiscount_21_Up+FedExExrpessEarnedDiscount))*'3Day Base'!F152)*(1+ExpressFuelSurcharge),2))*(1+FedEx_Markup),2)</f>
        <v>404.66</v>
      </c>
      <c r="G155" s="275">
        <f>ROUND(IF(MinBase3Day&gt;ROUND(((1-(ThreeDayDiscount_21_Up+FedExExrpessEarnedDiscount))*'3Day Base'!G152),2),ROUND(MinBase3Day*(1+ExpressFuelSurcharge),2),ROUND(((1-(ThreeDayDiscount_21_Up+FedExExrpessEarnedDiscount))*'3Day Base'!G152)*(1+ExpressFuelSurcharge),2))*(1+FedEx_Markup),2)</f>
        <v>455.24</v>
      </c>
      <c r="H155" s="275">
        <f>ROUND(IF(MinBase3Day&gt;ROUND(((1-(ThreeDayDiscount_21_Up+FedExExrpessEarnedDiscount))*'3Day Base'!H152),2),ROUND(MinBase3Day*(1+ExpressFuelSurcharge),2),ROUND(((1-(ThreeDayDiscount_21_Up+FedExExrpessEarnedDiscount))*'3Day Base'!H152)*(1+ExpressFuelSurcharge),2))*(1+FedEx_Markup),2)</f>
        <v>517.22</v>
      </c>
    </row>
    <row r="156" ht="12.75" customHeight="1">
      <c r="A156" s="293" t="s">
        <v>131</v>
      </c>
    </row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6:H155">
    <cfRule type="expression" dxfId="0" priority="1">
      <formula>MOD(ROW(),2)=0</formula>
    </cfRule>
  </conditionalFormatting>
  <printOptions/>
  <pageMargins bottom="0.57" footer="0.0" header="0.0" left="0.75" right="0.75" top="0.51"/>
  <pageSetup scale="92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F7F7F"/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6" width="8.63"/>
    <col customWidth="1" min="7" max="7" width="9.13"/>
    <col customWidth="1" min="8" max="8" width="10.25"/>
    <col customWidth="1" min="9" max="12" width="8.63"/>
    <col customWidth="1" min="13" max="13" width="10.63"/>
    <col customWidth="1" min="14" max="15" width="8.63"/>
    <col customWidth="1" min="16" max="16" width="10.38"/>
    <col customWidth="1" min="17" max="26" width="8.63"/>
  </cols>
  <sheetData>
    <row r="1" ht="12.75" customHeight="1">
      <c r="A1" s="138"/>
      <c r="B1" s="288" t="s">
        <v>121</v>
      </c>
      <c r="C1" s="284"/>
      <c r="D1" s="284"/>
      <c r="E1" s="289">
        <f>ExpressIntResFeeWithFS</f>
        <v>7.84</v>
      </c>
      <c r="F1" s="138"/>
      <c r="G1" s="264" t="s">
        <v>113</v>
      </c>
      <c r="H1" s="265"/>
      <c r="I1" s="265"/>
      <c r="J1" s="265"/>
      <c r="K1" s="265"/>
      <c r="L1" s="265"/>
      <c r="M1" s="265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ht="12.75" customHeight="1">
      <c r="A2" s="138"/>
      <c r="B2" s="270" t="s">
        <v>115</v>
      </c>
      <c r="C2" s="270"/>
      <c r="D2" s="270"/>
      <c r="E2" s="270"/>
      <c r="F2" s="138"/>
      <c r="G2" s="264" t="s">
        <v>132</v>
      </c>
      <c r="H2" s="265"/>
      <c r="I2" s="265"/>
      <c r="J2" s="266"/>
      <c r="K2" s="266"/>
      <c r="L2" s="265"/>
      <c r="M2" s="265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ht="12.75" customHeight="1">
      <c r="A3" s="138"/>
      <c r="B3" s="270" t="s">
        <v>133</v>
      </c>
      <c r="C3" s="270"/>
      <c r="D3" s="270"/>
      <c r="E3" s="270"/>
      <c r="F3" s="138"/>
      <c r="G3" s="138"/>
      <c r="H3" s="138"/>
      <c r="I3" s="138"/>
      <c r="J3" s="270"/>
      <c r="K3" s="270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</row>
    <row r="4" ht="12.75" customHeight="1">
      <c r="A4" s="290"/>
      <c r="B4" s="291" t="s">
        <v>16</v>
      </c>
      <c r="C4" s="291" t="s">
        <v>16</v>
      </c>
      <c r="D4" s="291" t="s">
        <v>34</v>
      </c>
      <c r="E4" s="291" t="s">
        <v>35</v>
      </c>
      <c r="F4" s="291" t="s">
        <v>36</v>
      </c>
      <c r="G4" s="291" t="s">
        <v>37</v>
      </c>
      <c r="H4" s="291" t="s">
        <v>38</v>
      </c>
      <c r="I4" s="291" t="s">
        <v>39</v>
      </c>
      <c r="J4" s="291" t="s">
        <v>40</v>
      </c>
      <c r="K4" s="291" t="s">
        <v>41</v>
      </c>
      <c r="L4" s="291" t="s">
        <v>42</v>
      </c>
      <c r="M4" s="291" t="s">
        <v>43</v>
      </c>
      <c r="N4" s="291" t="s">
        <v>44</v>
      </c>
      <c r="O4" s="291" t="s">
        <v>45</v>
      </c>
      <c r="P4" s="291" t="s">
        <v>46</v>
      </c>
      <c r="Q4" s="291" t="s">
        <v>47</v>
      </c>
      <c r="R4" s="138"/>
      <c r="S4" s="138"/>
      <c r="T4" s="138"/>
      <c r="U4" s="138"/>
      <c r="V4" s="138"/>
      <c r="W4" s="138"/>
      <c r="X4" s="138"/>
      <c r="Y4" s="138"/>
      <c r="Z4" s="138"/>
    </row>
    <row r="5" ht="12.75" customHeight="1">
      <c r="A5" s="271" t="s">
        <v>1</v>
      </c>
      <c r="B5" s="272" t="s">
        <v>48</v>
      </c>
      <c r="C5" s="272" t="s">
        <v>49</v>
      </c>
      <c r="D5" s="272" t="s">
        <v>50</v>
      </c>
      <c r="E5" s="272" t="s">
        <v>51</v>
      </c>
      <c r="F5" s="272" t="s">
        <v>52</v>
      </c>
      <c r="G5" s="272" t="s">
        <v>53</v>
      </c>
      <c r="H5" s="272" t="s">
        <v>54</v>
      </c>
      <c r="I5" s="272" t="s">
        <v>55</v>
      </c>
      <c r="J5" s="272" t="s">
        <v>56</v>
      </c>
      <c r="K5" s="272" t="s">
        <v>57</v>
      </c>
      <c r="L5" s="272" t="s">
        <v>58</v>
      </c>
      <c r="M5" s="272" t="s">
        <v>59</v>
      </c>
      <c r="N5" s="272" t="s">
        <v>60</v>
      </c>
      <c r="O5" s="272" t="s">
        <v>61</v>
      </c>
      <c r="P5" s="272" t="s">
        <v>62</v>
      </c>
      <c r="Q5" s="272" t="s">
        <v>12</v>
      </c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274" t="s">
        <v>130</v>
      </c>
      <c r="B6" s="283">
        <f>IF('Intl Priority'!$B$105&gt;ROUND(((1-IntPriorityDiscount-IntPriorityIncentive)*'Intl Priority'!B3),2),ROUND('Intl Priority'!$B$105*(1+International_Fuel_Surcharge),2),ROUND(((1-IntPriorityDiscount-IntPriorityIncentive)*'Intl Priority'!B3)*(1+International_Fuel_Surcharge),2))</f>
        <v>27.26</v>
      </c>
      <c r="C6" s="283">
        <f>IF('Intl Priority'!$C$105&gt;ROUND(((1-IntPriorityDiscount-IntPriorityIncentive)*'Intl Priority'!C3),2),ROUND('Intl Priority'!$C$105*(1+International_Fuel_Surcharge),2),ROUND(((1-IntPriorityDiscount-IntPriorityIncentive)*'Intl Priority'!C3)*(1+International_Fuel_Surcharge),2))</f>
        <v>30.03</v>
      </c>
      <c r="D6" s="283">
        <f>IF('Intl Priority'!$D$105&gt;ROUND(((1-IntPriorityDiscount-IntPriorityIncentive)*'Intl Priority'!D3),2),ROUND('Intl Priority'!$D$105*(1+International_Fuel_Surcharge),2),ROUND(((1-IntPriorityDiscount-IntPriorityIncentive)*'Intl Priority'!D3)*(1+International_Fuel_Surcharge),2))</f>
        <v>24.88</v>
      </c>
      <c r="E6" s="283">
        <f>IF('Intl Priority'!$E$105&gt;ROUND(((1-IntPriorityDiscount-IntPriorityIncentive)*'Intl Priority'!E3),2),ROUND('Intl Priority'!$E$105*(1+International_Fuel_Surcharge),2),ROUND(((1-IntPriorityDiscount-IntPriorityIncentive)*'Intl Priority'!E3)*(1+International_Fuel_Surcharge),2))</f>
        <v>33.79</v>
      </c>
      <c r="F6" s="283">
        <f>IF('Intl Priority'!$F$105&gt;ROUND(((1-IntPriorityDiscount-IntPriorityIncentive)*'Intl Priority'!F3),2),ROUND('Intl Priority'!$F$105*(1+International_Fuel_Surcharge),2),ROUND(((1-IntPriorityDiscount-IntPriorityIncentive)*'Intl Priority'!F3)*(1+International_Fuel_Surcharge),2))</f>
        <v>51.46</v>
      </c>
      <c r="G6" s="283">
        <f>IF('Intl Priority'!$G$105&gt;ROUND(((1-IntPriorityDiscount-IntPriorityIncentive)*'Intl Priority'!G3),2),ROUND('Intl Priority'!$G$105*(1+International_Fuel_Surcharge),2),ROUND(((1-IntPriorityDiscount-IntPriorityIncentive)*'Intl Priority'!G3)*(1+International_Fuel_Surcharge),2))</f>
        <v>31.72</v>
      </c>
      <c r="H6" s="283">
        <f>IF('Intl Priority'!$H$105&gt;ROUND(((1-IntPriorityDiscount-IntPriorityIncentive)*'Intl Priority'!H3),2),ROUND('Intl Priority'!$H$105*(1+International_Fuel_Surcharge),2),ROUND(((1-IntPriorityDiscount-IntPriorityIncentive)*'Intl Priority'!H3)*(1+International_Fuel_Surcharge),2))</f>
        <v>30.63</v>
      </c>
      <c r="I6" s="283">
        <f>IF('Intl Priority'!$I$105&gt;ROUND(((1-IntPriorityDiscount-IntPriorityIncentive)*'Intl Priority'!I3),2),ROUND('Intl Priority'!$I$105*(1+International_Fuel_Surcharge),2),ROUND(((1-IntPriorityDiscount-IntPriorityIncentive)*'Intl Priority'!I3)*(1+International_Fuel_Surcharge),2))</f>
        <v>37.19</v>
      </c>
      <c r="J6" s="283">
        <f>IF('Intl Priority'!$J$105&gt;ROUND(((1-IntPriorityDiscount-IntPriorityIncentive)*'Intl Priority'!J3),2),ROUND('Intl Priority'!$J$105*(1+International_Fuel_Surcharge),2),ROUND(((1-IntPriorityDiscount-IntPriorityIncentive)*'Intl Priority'!J3)*(1+International_Fuel_Surcharge),2))</f>
        <v>31.25</v>
      </c>
      <c r="K6" s="283">
        <f>IF('Intl Priority'!$K$105&gt;ROUND(((1-IntPriorityDiscount-IntPriorityIncentive)*'Intl Priority'!K3),2),ROUND('Intl Priority'!$K$105*(1+International_Fuel_Surcharge),2),ROUND(((1-IntPriorityDiscount-IntPriorityIncentive)*'Intl Priority'!K3)*(1+International_Fuel_Surcharge),2))</f>
        <v>36.63</v>
      </c>
      <c r="L6" s="283">
        <f>IF('Intl Priority'!$L$105&gt;ROUND(((1-IntPriorityDiscount-IntPriorityIncentive)*'Intl Priority'!L3),2),ROUND('Intl Priority'!$L$105*(1+International_Fuel_Surcharge),2),ROUND(((1-IntPriorityDiscount-IntPriorityIncentive)*'Intl Priority'!L3)*(1+International_Fuel_Surcharge),2))</f>
        <v>35.95</v>
      </c>
      <c r="M6" s="283">
        <f>IF('Intl Priority'!$M$105&gt;ROUND(((1-IntPriorityDiscount-IntPriorityIncentive)*'Intl Priority'!M3),2),ROUND('Intl Priority'!$M$105*(1+International_Fuel_Surcharge),2),ROUND(((1-IntPriorityDiscount-IntPriorityIncentive)*'Intl Priority'!M3)*(1+International_Fuel_Surcharge),2))</f>
        <v>42.04</v>
      </c>
      <c r="N6" s="283">
        <f>IF('Intl Priority'!$N$105&gt;ROUND(((1-IntPriorityDiscount-IntPriorityIncentive)*'Intl Priority'!N3),2),ROUND('Intl Priority'!$N$105*(1+International_Fuel_Surcharge),2),ROUND(((1-IntPriorityDiscount-IntPriorityIncentive)*'Intl Priority'!N3)*(1+International_Fuel_Surcharge),2))</f>
        <v>54.46</v>
      </c>
      <c r="O6" s="283">
        <f>IF('Intl Priority'!$O$105&gt;ROUND(((1-IntPriorityDiscount-IntPriorityIncentive)*'Intl Priority'!O3),2),ROUND('Intl Priority'!$O$105*(1+International_Fuel_Surcharge),2),ROUND(((1-IntPriorityDiscount-IntPriorityIncentive)*'Intl Priority'!O3)*(1+International_Fuel_Surcharge),2))</f>
        <v>34.94</v>
      </c>
      <c r="P6" s="283">
        <f>IF('Intl Priority'!$P$105&gt;ROUND(((1-IntPriorityDiscount-IntPriorityIncentive)*'Intl Priority'!P3),2),ROUND('Intl Priority'!$P$105*(1+International_Fuel_Surcharge),2),ROUND(((1-IntPriorityDiscount-IntPriorityIncentive)*'Intl Priority'!P3)*(1+International_Fuel_Surcharge),2))</f>
        <v>38.99</v>
      </c>
      <c r="Q6" s="283">
        <f>IF('Intl Priority'!$Q$105&gt;ROUND(((1-PuertoRicoDiscount)*'Intl Priority'!Q3),2),ROUND('Intl Priority'!$Q$105*(1+International_Fuel_Surcharge),2),ROUND(((1-PuertoRicoDiscount)*'Intl Priority'!Q3)*(1+International_Fuel_Surcharge),2))</f>
        <v>56.73</v>
      </c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274">
        <v>2.0</v>
      </c>
      <c r="B7" s="283">
        <f>IF('Intl Priority'!$B$105&gt;ROUND(((1-IntPriorityDiscount-IntPriorityIncentive)*'Intl Priority'!B4),2),ROUND('Intl Priority'!$B$105*(1+International_Fuel_Surcharge),2),ROUND(((1-IntPriorityDiscount-IntPriorityIncentive)*'Intl Priority'!B4)*(1+International_Fuel_Surcharge),2))</f>
        <v>27.26</v>
      </c>
      <c r="C7" s="283">
        <f>IF('Intl Priority'!$C$105&gt;ROUND(((1-IntPriorityDiscount-IntPriorityIncentive)*'Intl Priority'!C4),2),ROUND('Intl Priority'!$C$105*(1+International_Fuel_Surcharge),2),ROUND(((1-IntPriorityDiscount-IntPriorityIncentive)*'Intl Priority'!C4)*(1+International_Fuel_Surcharge),2))</f>
        <v>30.03</v>
      </c>
      <c r="D7" s="283">
        <f>IF('Intl Priority'!$D$105&gt;ROUND(((1-IntPriorityDiscount-IntPriorityIncentive)*'Intl Priority'!D4),2),ROUND('Intl Priority'!$D$105*(1+International_Fuel_Surcharge),2),ROUND(((1-IntPriorityDiscount-IntPriorityIncentive)*'Intl Priority'!D4)*(1+International_Fuel_Surcharge),2))</f>
        <v>24.88</v>
      </c>
      <c r="E7" s="283">
        <f>IF('Intl Priority'!$E$105&gt;ROUND(((1-IntPriorityDiscount-IntPriorityIncentive)*'Intl Priority'!E4),2),ROUND('Intl Priority'!$E$105*(1+International_Fuel_Surcharge),2),ROUND(((1-IntPriorityDiscount-IntPriorityIncentive)*'Intl Priority'!E4)*(1+International_Fuel_Surcharge),2))</f>
        <v>33.79</v>
      </c>
      <c r="F7" s="283">
        <f>IF('Intl Priority'!$F$105&gt;ROUND(((1-IntPriorityDiscount-IntPriorityIncentive)*'Intl Priority'!F4),2),ROUND('Intl Priority'!$F$105*(1+International_Fuel_Surcharge),2),ROUND(((1-IntPriorityDiscount-IntPriorityIncentive)*'Intl Priority'!F4)*(1+International_Fuel_Surcharge),2))</f>
        <v>51.46</v>
      </c>
      <c r="G7" s="283">
        <f>IF('Intl Priority'!$G$105&gt;ROUND(((1-IntPriorityDiscount-IntPriorityIncentive)*'Intl Priority'!G4),2),ROUND('Intl Priority'!$G$105*(1+International_Fuel_Surcharge),2),ROUND(((1-IntPriorityDiscount-IntPriorityIncentive)*'Intl Priority'!G4)*(1+International_Fuel_Surcharge),2))</f>
        <v>31.72</v>
      </c>
      <c r="H7" s="283">
        <f>IF('Intl Priority'!$H$105&gt;ROUND(((1-IntPriorityDiscount-IntPriorityIncentive)*'Intl Priority'!H4),2),ROUND('Intl Priority'!$H$105*(1+International_Fuel_Surcharge),2),ROUND(((1-IntPriorityDiscount-IntPriorityIncentive)*'Intl Priority'!H4)*(1+International_Fuel_Surcharge),2))</f>
        <v>30.63</v>
      </c>
      <c r="I7" s="283">
        <f>IF('Intl Priority'!$I$105&gt;ROUND(((1-IntPriorityDiscount-IntPriorityIncentive)*'Intl Priority'!I4),2),ROUND('Intl Priority'!$I$105*(1+International_Fuel_Surcharge),2),ROUND(((1-IntPriorityDiscount-IntPriorityIncentive)*'Intl Priority'!I4)*(1+International_Fuel_Surcharge),2))</f>
        <v>37.19</v>
      </c>
      <c r="J7" s="283">
        <f>IF('Intl Priority'!$J$105&gt;ROUND(((1-IntPriorityDiscount-IntPriorityIncentive)*'Intl Priority'!J4),2),ROUND('Intl Priority'!$J$105*(1+International_Fuel_Surcharge),2),ROUND(((1-IntPriorityDiscount-IntPriorityIncentive)*'Intl Priority'!J4)*(1+International_Fuel_Surcharge),2))</f>
        <v>31.25</v>
      </c>
      <c r="K7" s="283">
        <f>IF('Intl Priority'!$K$105&gt;ROUND(((1-IntPriorityDiscount-IntPriorityIncentive)*'Intl Priority'!K4),2),ROUND('Intl Priority'!$K$105*(1+International_Fuel_Surcharge),2),ROUND(((1-IntPriorityDiscount-IntPriorityIncentive)*'Intl Priority'!K4)*(1+International_Fuel_Surcharge),2))</f>
        <v>36.63</v>
      </c>
      <c r="L7" s="283">
        <f>IF('Intl Priority'!$L$105&gt;ROUND(((1-IntPriorityDiscount-IntPriorityIncentive)*'Intl Priority'!L4),2),ROUND('Intl Priority'!$L$105*(1+International_Fuel_Surcharge),2),ROUND(((1-IntPriorityDiscount-IntPriorityIncentive)*'Intl Priority'!L4)*(1+International_Fuel_Surcharge),2))</f>
        <v>35.95</v>
      </c>
      <c r="M7" s="283">
        <f>IF('Intl Priority'!$M$105&gt;ROUND(((1-IntPriorityDiscount-IntPriorityIncentive)*'Intl Priority'!M4),2),ROUND('Intl Priority'!$M$105*(1+International_Fuel_Surcharge),2),ROUND(((1-IntPriorityDiscount-IntPriorityIncentive)*'Intl Priority'!M4)*(1+International_Fuel_Surcharge),2))</f>
        <v>42.04</v>
      </c>
      <c r="N7" s="283">
        <f>IF('Intl Priority'!$N$105&gt;ROUND(((1-IntPriorityDiscount-IntPriorityIncentive)*'Intl Priority'!N4),2),ROUND('Intl Priority'!$N$105*(1+International_Fuel_Surcharge),2),ROUND(((1-IntPriorityDiscount-IntPriorityIncentive)*'Intl Priority'!N4)*(1+International_Fuel_Surcharge),2))</f>
        <v>54.46</v>
      </c>
      <c r="O7" s="283">
        <f>IF('Intl Priority'!$O$105&gt;ROUND(((1-IntPriorityDiscount-IntPriorityIncentive)*'Intl Priority'!O4),2),ROUND('Intl Priority'!$O$105*(1+International_Fuel_Surcharge),2),ROUND(((1-IntPriorityDiscount-IntPriorityIncentive)*'Intl Priority'!O4)*(1+International_Fuel_Surcharge),2))</f>
        <v>34.94</v>
      </c>
      <c r="P7" s="283">
        <f>IF('Intl Priority'!$P$105&gt;ROUND(((1-IntPriorityDiscount-IntPriorityIncentive)*'Intl Priority'!P4),2),ROUND('Intl Priority'!$P$105*(1+International_Fuel_Surcharge),2),ROUND(((1-IntPriorityDiscount-IntPriorityIncentive)*'Intl Priority'!P4)*(1+International_Fuel_Surcharge),2))</f>
        <v>38.99</v>
      </c>
      <c r="Q7" s="283">
        <f>IF('Intl Priority'!$Q$105&gt;ROUND(((1-PuertoRicoDiscount)*'Intl Priority'!Q4),2),ROUND('Intl Priority'!$Q$105*(1+International_Fuel_Surcharge),2),ROUND(((1-PuertoRicoDiscount)*'Intl Priority'!Q4)*(1+International_Fuel_Surcharge),2))</f>
        <v>61.93</v>
      </c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274">
        <v>3.0</v>
      </c>
      <c r="B8" s="283">
        <f>IF('Intl Priority'!$B$105&gt;ROUND(((1-IntPriorityDiscount-IntPriorityIncentive)*'Intl Priority'!B5),2),ROUND('Intl Priority'!$B$105*(1+International_Fuel_Surcharge),2),ROUND(((1-IntPriorityDiscount-IntPriorityIncentive)*'Intl Priority'!B5)*(1+International_Fuel_Surcharge),2))</f>
        <v>27.26</v>
      </c>
      <c r="C8" s="283">
        <f>IF('Intl Priority'!$C$105&gt;ROUND(((1-IntPriorityDiscount-IntPriorityIncentive)*'Intl Priority'!C5),2),ROUND('Intl Priority'!$C$105*(1+International_Fuel_Surcharge),2),ROUND(((1-IntPriorityDiscount-IntPriorityIncentive)*'Intl Priority'!C5)*(1+International_Fuel_Surcharge),2))</f>
        <v>30.03</v>
      </c>
      <c r="D8" s="283">
        <f>IF('Intl Priority'!$D$105&gt;ROUND(((1-IntPriorityDiscount-IntPriorityIncentive)*'Intl Priority'!D5),2),ROUND('Intl Priority'!$D$105*(1+International_Fuel_Surcharge),2),ROUND(((1-IntPriorityDiscount-IntPriorityIncentive)*'Intl Priority'!D5)*(1+International_Fuel_Surcharge),2))</f>
        <v>25.85</v>
      </c>
      <c r="E8" s="283">
        <f>IF('Intl Priority'!$E$105&gt;ROUND(((1-IntPriorityDiscount-IntPriorityIncentive)*'Intl Priority'!E5),2),ROUND('Intl Priority'!$E$105*(1+International_Fuel_Surcharge),2),ROUND(((1-IntPriorityDiscount-IntPriorityIncentive)*'Intl Priority'!E5)*(1+International_Fuel_Surcharge),2))</f>
        <v>33.79</v>
      </c>
      <c r="F8" s="283">
        <f>IF('Intl Priority'!$F$105&gt;ROUND(((1-IntPriorityDiscount-IntPriorityIncentive)*'Intl Priority'!F5),2),ROUND('Intl Priority'!$F$105*(1+International_Fuel_Surcharge),2),ROUND(((1-IntPriorityDiscount-IntPriorityIncentive)*'Intl Priority'!F5)*(1+International_Fuel_Surcharge),2))</f>
        <v>52.02</v>
      </c>
      <c r="G8" s="283">
        <f>IF('Intl Priority'!$G$105&gt;ROUND(((1-IntPriorityDiscount-IntPriorityIncentive)*'Intl Priority'!G5),2),ROUND('Intl Priority'!$G$105*(1+International_Fuel_Surcharge),2),ROUND(((1-IntPriorityDiscount-IntPriorityIncentive)*'Intl Priority'!G5)*(1+International_Fuel_Surcharge),2))</f>
        <v>31.94</v>
      </c>
      <c r="H8" s="283">
        <f>IF('Intl Priority'!$H$105&gt;ROUND(((1-IntPriorityDiscount-IntPriorityIncentive)*'Intl Priority'!H5),2),ROUND('Intl Priority'!$H$105*(1+International_Fuel_Surcharge),2),ROUND(((1-IntPriorityDiscount-IntPriorityIncentive)*'Intl Priority'!H5)*(1+International_Fuel_Surcharge),2))</f>
        <v>30.63</v>
      </c>
      <c r="I8" s="283">
        <f>IF('Intl Priority'!$I$105&gt;ROUND(((1-IntPriorityDiscount-IntPriorityIncentive)*'Intl Priority'!I5),2),ROUND('Intl Priority'!$I$105*(1+International_Fuel_Surcharge),2),ROUND(((1-IntPriorityDiscount-IntPriorityIncentive)*'Intl Priority'!I5)*(1+International_Fuel_Surcharge),2))</f>
        <v>37.19</v>
      </c>
      <c r="J8" s="283">
        <f>IF('Intl Priority'!$J$105&gt;ROUND(((1-IntPriorityDiscount-IntPriorityIncentive)*'Intl Priority'!J5),2),ROUND('Intl Priority'!$J$105*(1+International_Fuel_Surcharge),2),ROUND(((1-IntPriorityDiscount-IntPriorityIncentive)*'Intl Priority'!J5)*(1+International_Fuel_Surcharge),2))</f>
        <v>31.25</v>
      </c>
      <c r="K8" s="283">
        <f>IF('Intl Priority'!$K$105&gt;ROUND(((1-IntPriorityDiscount-IntPriorityIncentive)*'Intl Priority'!K5),2),ROUND('Intl Priority'!$K$105*(1+International_Fuel_Surcharge),2),ROUND(((1-IntPriorityDiscount-IntPriorityIncentive)*'Intl Priority'!K5)*(1+International_Fuel_Surcharge),2))</f>
        <v>38.47</v>
      </c>
      <c r="L8" s="283">
        <f>IF('Intl Priority'!$L$105&gt;ROUND(((1-IntPriorityDiscount-IntPriorityIncentive)*'Intl Priority'!L5),2),ROUND('Intl Priority'!$L$105*(1+International_Fuel_Surcharge),2),ROUND(((1-IntPriorityDiscount-IntPriorityIncentive)*'Intl Priority'!L5)*(1+International_Fuel_Surcharge),2))</f>
        <v>36.17</v>
      </c>
      <c r="M8" s="283">
        <f>IF('Intl Priority'!$M$105&gt;ROUND(((1-IntPriorityDiscount-IntPriorityIncentive)*'Intl Priority'!M5),2),ROUND('Intl Priority'!$M$105*(1+International_Fuel_Surcharge),2),ROUND(((1-IntPriorityDiscount-IntPriorityIncentive)*'Intl Priority'!M5)*(1+International_Fuel_Surcharge),2))</f>
        <v>44.77</v>
      </c>
      <c r="N8" s="283">
        <f>IF('Intl Priority'!$N$105&gt;ROUND(((1-IntPriorityDiscount-IntPriorityIncentive)*'Intl Priority'!N5),2),ROUND('Intl Priority'!$N$105*(1+International_Fuel_Surcharge),2),ROUND(((1-IntPriorityDiscount-IntPriorityIncentive)*'Intl Priority'!N5)*(1+International_Fuel_Surcharge),2))</f>
        <v>54.46</v>
      </c>
      <c r="O8" s="283">
        <f>IF('Intl Priority'!$O$105&gt;ROUND(((1-IntPriorityDiscount-IntPriorityIncentive)*'Intl Priority'!O5),2),ROUND('Intl Priority'!$O$105*(1+International_Fuel_Surcharge),2),ROUND(((1-IntPriorityDiscount-IntPriorityIncentive)*'Intl Priority'!O5)*(1+International_Fuel_Surcharge),2))</f>
        <v>34.94</v>
      </c>
      <c r="P8" s="283">
        <f>IF('Intl Priority'!$P$105&gt;ROUND(((1-IntPriorityDiscount-IntPriorityIncentive)*'Intl Priority'!P5),2),ROUND('Intl Priority'!$P$105*(1+International_Fuel_Surcharge),2),ROUND(((1-IntPriorityDiscount-IntPriorityIncentive)*'Intl Priority'!P5)*(1+International_Fuel_Surcharge),2))</f>
        <v>38.99</v>
      </c>
      <c r="Q8" s="283">
        <f>IF('Intl Priority'!$Q$105&gt;ROUND(((1-PuertoRicoDiscount)*'Intl Priority'!Q5),2),ROUND('Intl Priority'!$Q$105*(1+International_Fuel_Surcharge),2),ROUND(((1-PuertoRicoDiscount)*'Intl Priority'!Q5)*(1+International_Fuel_Surcharge),2))</f>
        <v>69.03</v>
      </c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74">
        <v>4.0</v>
      </c>
      <c r="B9" s="283">
        <f>IF('Intl Priority'!$B$105&gt;ROUND(((1-IntPriorityDiscount-IntPriorityIncentive)*'Intl Priority'!B6),2),ROUND('Intl Priority'!$B$105*(1+International_Fuel_Surcharge),2),ROUND(((1-IntPriorityDiscount-IntPriorityIncentive)*'Intl Priority'!B6)*(1+International_Fuel_Surcharge),2))</f>
        <v>27.62</v>
      </c>
      <c r="C9" s="283">
        <f>IF('Intl Priority'!$C$105&gt;ROUND(((1-IntPriorityDiscount-IntPriorityIncentive)*'Intl Priority'!C6),2),ROUND('Intl Priority'!$C$105*(1+International_Fuel_Surcharge),2),ROUND(((1-IntPriorityDiscount-IntPriorityIncentive)*'Intl Priority'!C6)*(1+International_Fuel_Surcharge),2))</f>
        <v>30.03</v>
      </c>
      <c r="D9" s="283">
        <f>IF('Intl Priority'!$D$105&gt;ROUND(((1-IntPriorityDiscount-IntPriorityIncentive)*'Intl Priority'!D6),2),ROUND('Intl Priority'!$D$105*(1+International_Fuel_Surcharge),2),ROUND(((1-IntPriorityDiscount-IntPriorityIncentive)*'Intl Priority'!D6)*(1+International_Fuel_Surcharge),2))</f>
        <v>28.97</v>
      </c>
      <c r="E9" s="283">
        <f>IF('Intl Priority'!$E$105&gt;ROUND(((1-IntPriorityDiscount-IntPriorityIncentive)*'Intl Priority'!E6),2),ROUND('Intl Priority'!$E$105*(1+International_Fuel_Surcharge),2),ROUND(((1-IntPriorityDiscount-IntPriorityIncentive)*'Intl Priority'!E6)*(1+International_Fuel_Surcharge),2))</f>
        <v>36.31</v>
      </c>
      <c r="F9" s="283">
        <f>IF('Intl Priority'!$F$105&gt;ROUND(((1-IntPriorityDiscount-IntPriorityIncentive)*'Intl Priority'!F6),2),ROUND('Intl Priority'!$F$105*(1+International_Fuel_Surcharge),2),ROUND(((1-IntPriorityDiscount-IntPriorityIncentive)*'Intl Priority'!F6)*(1+International_Fuel_Surcharge),2))</f>
        <v>58</v>
      </c>
      <c r="G9" s="283">
        <f>IF('Intl Priority'!$G$105&gt;ROUND(((1-IntPriorityDiscount-IntPriorityIncentive)*'Intl Priority'!G6),2),ROUND('Intl Priority'!$G$105*(1+International_Fuel_Surcharge),2),ROUND(((1-IntPriorityDiscount-IntPriorityIncentive)*'Intl Priority'!G6)*(1+International_Fuel_Surcharge),2))</f>
        <v>37.09</v>
      </c>
      <c r="H9" s="283">
        <f>IF('Intl Priority'!$H$105&gt;ROUND(((1-IntPriorityDiscount-IntPriorityIncentive)*'Intl Priority'!H6),2),ROUND('Intl Priority'!$H$105*(1+International_Fuel_Surcharge),2),ROUND(((1-IntPriorityDiscount-IntPriorityIncentive)*'Intl Priority'!H6)*(1+International_Fuel_Surcharge),2))</f>
        <v>35.38</v>
      </c>
      <c r="I9" s="283">
        <f>IF('Intl Priority'!$I$105&gt;ROUND(((1-IntPriorityDiscount-IntPriorityIncentive)*'Intl Priority'!I6),2),ROUND('Intl Priority'!$I$105*(1+International_Fuel_Surcharge),2),ROUND(((1-IntPriorityDiscount-IntPriorityIncentive)*'Intl Priority'!I6)*(1+International_Fuel_Surcharge),2))</f>
        <v>39.56</v>
      </c>
      <c r="J9" s="283">
        <f>IF('Intl Priority'!$J$105&gt;ROUND(((1-IntPriorityDiscount-IntPriorityIncentive)*'Intl Priority'!J6),2),ROUND('Intl Priority'!$J$105*(1+International_Fuel_Surcharge),2),ROUND(((1-IntPriorityDiscount-IntPriorityIncentive)*'Intl Priority'!J6)*(1+International_Fuel_Surcharge),2))</f>
        <v>31.25</v>
      </c>
      <c r="K9" s="283">
        <f>IF('Intl Priority'!$K$105&gt;ROUND(((1-IntPriorityDiscount-IntPriorityIncentive)*'Intl Priority'!K6),2),ROUND('Intl Priority'!$K$105*(1+International_Fuel_Surcharge),2),ROUND(((1-IntPriorityDiscount-IntPriorityIncentive)*'Intl Priority'!K6)*(1+International_Fuel_Surcharge),2))</f>
        <v>44.95</v>
      </c>
      <c r="L9" s="283">
        <f>IF('Intl Priority'!$L$105&gt;ROUND(((1-IntPriorityDiscount-IntPriorityIncentive)*'Intl Priority'!L6),2),ROUND('Intl Priority'!$L$105*(1+International_Fuel_Surcharge),2),ROUND(((1-IntPriorityDiscount-IntPriorityIncentive)*'Intl Priority'!L6)*(1+International_Fuel_Surcharge),2))</f>
        <v>41.77</v>
      </c>
      <c r="M9" s="283">
        <f>IF('Intl Priority'!$M$105&gt;ROUND(((1-IntPriorityDiscount-IntPriorityIncentive)*'Intl Priority'!M6),2),ROUND('Intl Priority'!$M$105*(1+International_Fuel_Surcharge),2),ROUND(((1-IntPriorityDiscount-IntPriorityIncentive)*'Intl Priority'!M6)*(1+International_Fuel_Surcharge),2))</f>
        <v>54.39</v>
      </c>
      <c r="N9" s="283">
        <f>IF('Intl Priority'!$N$105&gt;ROUND(((1-IntPriorityDiscount-IntPriorityIncentive)*'Intl Priority'!N6),2),ROUND('Intl Priority'!$N$105*(1+International_Fuel_Surcharge),2),ROUND(((1-IntPriorityDiscount-IntPriorityIncentive)*'Intl Priority'!N6)*(1+International_Fuel_Surcharge),2))</f>
        <v>58.91</v>
      </c>
      <c r="O9" s="283">
        <f>IF('Intl Priority'!$O$105&gt;ROUND(((1-IntPriorityDiscount-IntPriorityIncentive)*'Intl Priority'!O6),2),ROUND('Intl Priority'!$O$105*(1+International_Fuel_Surcharge),2),ROUND(((1-IntPriorityDiscount-IntPriorityIncentive)*'Intl Priority'!O6)*(1+International_Fuel_Surcharge),2))</f>
        <v>38.14</v>
      </c>
      <c r="P9" s="283">
        <f>IF('Intl Priority'!$P$105&gt;ROUND(((1-IntPriorityDiscount-IntPriorityIncentive)*'Intl Priority'!P6),2),ROUND('Intl Priority'!$P$105*(1+International_Fuel_Surcharge),2),ROUND(((1-IntPriorityDiscount-IntPriorityIncentive)*'Intl Priority'!P6)*(1+International_Fuel_Surcharge),2))</f>
        <v>39.54</v>
      </c>
      <c r="Q9" s="283">
        <f>IF('Intl Priority'!$Q$105&gt;ROUND(((1-PuertoRicoDiscount)*'Intl Priority'!Q6),2),ROUND('Intl Priority'!$Q$105*(1+International_Fuel_Surcharge),2),ROUND(((1-PuertoRicoDiscount)*'Intl Priority'!Q6)*(1+International_Fuel_Surcharge),2))</f>
        <v>75.38</v>
      </c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274">
        <v>5.0</v>
      </c>
      <c r="B10" s="283">
        <f>IF('Intl Priority'!$B$105&gt;ROUND(((1-IntPriorityDiscount-IntPriorityIncentive)*'Intl Priority'!B7),2),ROUND('Intl Priority'!$B$105*(1+International_Fuel_Surcharge),2),ROUND(((1-IntPriorityDiscount-IntPriorityIncentive)*'Intl Priority'!B7)*(1+International_Fuel_Surcharge),2))</f>
        <v>28.66</v>
      </c>
      <c r="C10" s="283">
        <f>IF('Intl Priority'!$C$105&gt;ROUND(((1-IntPriorityDiscount-IntPriorityIncentive)*'Intl Priority'!C7),2),ROUND('Intl Priority'!$C$105*(1+International_Fuel_Surcharge),2),ROUND(((1-IntPriorityDiscount-IntPriorityIncentive)*'Intl Priority'!C7)*(1+International_Fuel_Surcharge),2))</f>
        <v>35.63</v>
      </c>
      <c r="D10" s="283">
        <f>IF('Intl Priority'!$D$105&gt;ROUND(((1-IntPriorityDiscount-IntPriorityIncentive)*'Intl Priority'!D7),2),ROUND('Intl Priority'!$D$105*(1+International_Fuel_Surcharge),2),ROUND(((1-IntPriorityDiscount-IntPriorityIncentive)*'Intl Priority'!D7)*(1+International_Fuel_Surcharge),2))</f>
        <v>33</v>
      </c>
      <c r="E10" s="283">
        <f>IF('Intl Priority'!$E$105&gt;ROUND(((1-IntPriorityDiscount-IntPriorityIncentive)*'Intl Priority'!E7),2),ROUND('Intl Priority'!$E$105*(1+International_Fuel_Surcharge),2),ROUND(((1-IntPriorityDiscount-IntPriorityIncentive)*'Intl Priority'!E7)*(1+International_Fuel_Surcharge),2))</f>
        <v>42.22</v>
      </c>
      <c r="F10" s="283">
        <f>IF('Intl Priority'!$F$105&gt;ROUND(((1-IntPriorityDiscount-IntPriorityIncentive)*'Intl Priority'!F7),2),ROUND('Intl Priority'!$F$105*(1+International_Fuel_Surcharge),2),ROUND(((1-IntPriorityDiscount-IntPriorityIncentive)*'Intl Priority'!F7)*(1+International_Fuel_Surcharge),2))</f>
        <v>67.07</v>
      </c>
      <c r="G10" s="283">
        <f>IF('Intl Priority'!$G$105&gt;ROUND(((1-IntPriorityDiscount-IntPriorityIncentive)*'Intl Priority'!G7),2),ROUND('Intl Priority'!$G$105*(1+International_Fuel_Surcharge),2),ROUND(((1-IntPriorityDiscount-IntPriorityIncentive)*'Intl Priority'!G7)*(1+International_Fuel_Surcharge),2))</f>
        <v>42.03</v>
      </c>
      <c r="H10" s="283">
        <f>IF('Intl Priority'!$H$105&gt;ROUND(((1-IntPriorityDiscount-IntPriorityIncentive)*'Intl Priority'!H7),2),ROUND('Intl Priority'!$H$105*(1+International_Fuel_Surcharge),2),ROUND(((1-IntPriorityDiscount-IntPriorityIncentive)*'Intl Priority'!H7)*(1+International_Fuel_Surcharge),2))</f>
        <v>45.45</v>
      </c>
      <c r="I10" s="283">
        <f>IF('Intl Priority'!$I$105&gt;ROUND(((1-IntPriorityDiscount-IntPriorityIncentive)*'Intl Priority'!I7),2),ROUND('Intl Priority'!$I$105*(1+International_Fuel_Surcharge),2),ROUND(((1-IntPriorityDiscount-IntPriorityIncentive)*'Intl Priority'!I7)*(1+International_Fuel_Surcharge),2))</f>
        <v>44.03</v>
      </c>
      <c r="J10" s="283">
        <f>IF('Intl Priority'!$J$105&gt;ROUND(((1-IntPriorityDiscount-IntPriorityIncentive)*'Intl Priority'!J7),2),ROUND('Intl Priority'!$J$105*(1+International_Fuel_Surcharge),2),ROUND(((1-IntPriorityDiscount-IntPriorityIncentive)*'Intl Priority'!J7)*(1+International_Fuel_Surcharge),2))</f>
        <v>32.39</v>
      </c>
      <c r="K10" s="283">
        <f>IF('Intl Priority'!$K$105&gt;ROUND(((1-IntPriorityDiscount-IntPriorityIncentive)*'Intl Priority'!K7),2),ROUND('Intl Priority'!$K$105*(1+International_Fuel_Surcharge),2),ROUND(((1-IntPriorityDiscount-IntPriorityIncentive)*'Intl Priority'!K7)*(1+International_Fuel_Surcharge),2))</f>
        <v>50.69</v>
      </c>
      <c r="L10" s="283">
        <f>IF('Intl Priority'!$L$105&gt;ROUND(((1-IntPriorityDiscount-IntPriorityIncentive)*'Intl Priority'!L7),2),ROUND('Intl Priority'!$L$105*(1+International_Fuel_Surcharge),2),ROUND(((1-IntPriorityDiscount-IntPriorityIncentive)*'Intl Priority'!L7)*(1+International_Fuel_Surcharge),2))</f>
        <v>49.65</v>
      </c>
      <c r="M10" s="283">
        <f>IF('Intl Priority'!$M$105&gt;ROUND(((1-IntPriorityDiscount-IntPriorityIncentive)*'Intl Priority'!M7),2),ROUND('Intl Priority'!$M$105*(1+International_Fuel_Surcharge),2),ROUND(((1-IntPriorityDiscount-IntPriorityIncentive)*'Intl Priority'!M7)*(1+International_Fuel_Surcharge),2))</f>
        <v>57.93</v>
      </c>
      <c r="N10" s="283">
        <f>IF('Intl Priority'!$N$105&gt;ROUND(((1-IntPriorityDiscount-IntPriorityIncentive)*'Intl Priority'!N7),2),ROUND('Intl Priority'!$N$105*(1+International_Fuel_Surcharge),2),ROUND(((1-IntPriorityDiscount-IntPriorityIncentive)*'Intl Priority'!N7)*(1+International_Fuel_Surcharge),2))</f>
        <v>64.72</v>
      </c>
      <c r="O10" s="283">
        <f>IF('Intl Priority'!$O$105&gt;ROUND(((1-IntPriorityDiscount-IntPriorityIncentive)*'Intl Priority'!O7),2),ROUND('Intl Priority'!$O$105*(1+International_Fuel_Surcharge),2),ROUND(((1-IntPriorityDiscount-IntPriorityIncentive)*'Intl Priority'!O7)*(1+International_Fuel_Surcharge),2))</f>
        <v>46.23</v>
      </c>
      <c r="P10" s="283">
        <f>IF('Intl Priority'!$P$105&gt;ROUND(((1-IntPriorityDiscount-IntPriorityIncentive)*'Intl Priority'!P7),2),ROUND('Intl Priority'!$P$105*(1+International_Fuel_Surcharge),2),ROUND(((1-IntPriorityDiscount-IntPriorityIncentive)*'Intl Priority'!P7)*(1+International_Fuel_Surcharge),2))</f>
        <v>48.81</v>
      </c>
      <c r="Q10" s="283">
        <f>IF('Intl Priority'!$Q$105&gt;ROUND(((1-PuertoRicoDiscount)*'Intl Priority'!Q7),2),ROUND('Intl Priority'!$Q$105*(1+International_Fuel_Surcharge),2),ROUND(((1-PuertoRicoDiscount)*'Intl Priority'!Q7)*(1+International_Fuel_Surcharge),2))</f>
        <v>81.67</v>
      </c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274">
        <v>6.0</v>
      </c>
      <c r="B11" s="283">
        <f>IF('Intl Priority'!$B$105&gt;ROUND(((1-IntPriorityDiscount-IntPriorityIncentive)*'Intl Priority'!B8),2),ROUND('Intl Priority'!$B$105*(1+International_Fuel_Surcharge),2),ROUND(((1-IntPriorityDiscount-IntPriorityIncentive)*'Intl Priority'!B8)*(1+International_Fuel_Surcharge),2))</f>
        <v>31.74</v>
      </c>
      <c r="C11" s="283">
        <f>IF('Intl Priority'!$C$105&gt;ROUND(((1-IntPriorityDiscount-IntPriorityIncentive)*'Intl Priority'!C8),2),ROUND('Intl Priority'!$C$105*(1+International_Fuel_Surcharge),2),ROUND(((1-IntPriorityDiscount-IntPriorityIncentive)*'Intl Priority'!C8)*(1+International_Fuel_Surcharge),2))</f>
        <v>37.32</v>
      </c>
      <c r="D11" s="283">
        <f>IF('Intl Priority'!$D$105&gt;ROUND(((1-IntPriorityDiscount-IntPriorityIncentive)*'Intl Priority'!D8),2),ROUND('Intl Priority'!$D$105*(1+International_Fuel_Surcharge),2),ROUND(((1-IntPriorityDiscount-IntPriorityIncentive)*'Intl Priority'!D8)*(1+International_Fuel_Surcharge),2))</f>
        <v>37.32</v>
      </c>
      <c r="E11" s="283">
        <f>IF('Intl Priority'!$E$105&gt;ROUND(((1-IntPriorityDiscount-IntPriorityIncentive)*'Intl Priority'!E8),2),ROUND('Intl Priority'!$E$105*(1+International_Fuel_Surcharge),2),ROUND(((1-IntPriorityDiscount-IntPriorityIncentive)*'Intl Priority'!E8)*(1+International_Fuel_Surcharge),2))</f>
        <v>44.86</v>
      </c>
      <c r="F11" s="283">
        <f>IF('Intl Priority'!$F$105&gt;ROUND(((1-IntPriorityDiscount-IntPriorityIncentive)*'Intl Priority'!F8),2),ROUND('Intl Priority'!$F$105*(1+International_Fuel_Surcharge),2),ROUND(((1-IntPriorityDiscount-IntPriorityIncentive)*'Intl Priority'!F8)*(1+International_Fuel_Surcharge),2))</f>
        <v>68.52</v>
      </c>
      <c r="G11" s="283">
        <f>IF('Intl Priority'!$G$105&gt;ROUND(((1-IntPriorityDiscount-IntPriorityIncentive)*'Intl Priority'!G8),2),ROUND('Intl Priority'!$G$105*(1+International_Fuel_Surcharge),2),ROUND(((1-IntPriorityDiscount-IntPriorityIncentive)*'Intl Priority'!G8)*(1+International_Fuel_Surcharge),2))</f>
        <v>47.66</v>
      </c>
      <c r="H11" s="283">
        <f>IF('Intl Priority'!$H$105&gt;ROUND(((1-IntPriorityDiscount-IntPriorityIncentive)*'Intl Priority'!H8),2),ROUND('Intl Priority'!$H$105*(1+International_Fuel_Surcharge),2),ROUND(((1-IntPriorityDiscount-IntPriorityIncentive)*'Intl Priority'!H8)*(1+International_Fuel_Surcharge),2))</f>
        <v>48.43</v>
      </c>
      <c r="I11" s="283">
        <f>IF('Intl Priority'!$I$105&gt;ROUND(((1-IntPriorityDiscount-IntPriorityIncentive)*'Intl Priority'!I8),2),ROUND('Intl Priority'!$I$105*(1+International_Fuel_Surcharge),2),ROUND(((1-IntPriorityDiscount-IntPriorityIncentive)*'Intl Priority'!I8)*(1+International_Fuel_Surcharge),2))</f>
        <v>46.76</v>
      </c>
      <c r="J11" s="283">
        <f>IF('Intl Priority'!$J$105&gt;ROUND(((1-IntPriorityDiscount-IntPriorityIncentive)*'Intl Priority'!J8),2),ROUND('Intl Priority'!$J$105*(1+International_Fuel_Surcharge),2),ROUND(((1-IntPriorityDiscount-IntPriorityIncentive)*'Intl Priority'!J8)*(1+International_Fuel_Surcharge),2))</f>
        <v>37.59</v>
      </c>
      <c r="K11" s="283">
        <f>IF('Intl Priority'!$K$105&gt;ROUND(((1-IntPriorityDiscount-IntPriorityIncentive)*'Intl Priority'!K8),2),ROUND('Intl Priority'!$K$105*(1+International_Fuel_Surcharge),2),ROUND(((1-IntPriorityDiscount-IntPriorityIncentive)*'Intl Priority'!K8)*(1+International_Fuel_Surcharge),2))</f>
        <v>55.53</v>
      </c>
      <c r="L11" s="283">
        <f>IF('Intl Priority'!$L$105&gt;ROUND(((1-IntPriorityDiscount-IntPriorityIncentive)*'Intl Priority'!L8),2),ROUND('Intl Priority'!$L$105*(1+International_Fuel_Surcharge),2),ROUND(((1-IntPriorityDiscount-IntPriorityIncentive)*'Intl Priority'!L8)*(1+International_Fuel_Surcharge),2))</f>
        <v>52.34</v>
      </c>
      <c r="M11" s="283">
        <f>IF('Intl Priority'!$M$105&gt;ROUND(((1-IntPriorityDiscount-IntPriorityIncentive)*'Intl Priority'!M8),2),ROUND('Intl Priority'!$M$105*(1+International_Fuel_Surcharge),2),ROUND(((1-IntPriorityDiscount-IntPriorityIncentive)*'Intl Priority'!M8)*(1+International_Fuel_Surcharge),2))</f>
        <v>65.52</v>
      </c>
      <c r="N11" s="283">
        <f>IF('Intl Priority'!$N$105&gt;ROUND(((1-IntPriorityDiscount-IntPriorityIncentive)*'Intl Priority'!N8),2),ROUND('Intl Priority'!$N$105*(1+International_Fuel_Surcharge),2),ROUND(((1-IntPriorityDiscount-IntPriorityIncentive)*'Intl Priority'!N8)*(1+International_Fuel_Surcharge),2))</f>
        <v>73.61</v>
      </c>
      <c r="O11" s="283">
        <f>IF('Intl Priority'!$O$105&gt;ROUND(((1-IntPriorityDiscount-IntPriorityIncentive)*'Intl Priority'!O8),2),ROUND('Intl Priority'!$O$105*(1+International_Fuel_Surcharge),2),ROUND(((1-IntPriorityDiscount-IntPriorityIncentive)*'Intl Priority'!O8)*(1+International_Fuel_Surcharge),2))</f>
        <v>50.59</v>
      </c>
      <c r="P11" s="283">
        <f>IF('Intl Priority'!$P$105&gt;ROUND(((1-IntPriorityDiscount-IntPriorityIncentive)*'Intl Priority'!P8),2),ROUND('Intl Priority'!$P$105*(1+International_Fuel_Surcharge),2),ROUND(((1-IntPriorityDiscount-IntPriorityIncentive)*'Intl Priority'!P8)*(1+International_Fuel_Surcharge),2))</f>
        <v>53.6</v>
      </c>
      <c r="Q11" s="283">
        <f>IF('Intl Priority'!$Q$105&gt;ROUND(((1-PuertoRicoDiscount)*'Intl Priority'!Q8),2),ROUND('Intl Priority'!$Q$105*(1+International_Fuel_Surcharge),2),ROUND(((1-PuertoRicoDiscount)*'Intl Priority'!Q8)*(1+International_Fuel_Surcharge),2))</f>
        <v>87.52</v>
      </c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74">
        <v>7.0</v>
      </c>
      <c r="B12" s="283">
        <f>IF('Intl Priority'!$B$105&gt;ROUND(((1-IntPriorityDiscount-IntPriorityIncentive)*'Intl Priority'!B9),2),ROUND('Intl Priority'!$B$105*(1+International_Fuel_Surcharge),2),ROUND(((1-IntPriorityDiscount-IntPriorityIncentive)*'Intl Priority'!B9)*(1+International_Fuel_Surcharge),2))</f>
        <v>32.4</v>
      </c>
      <c r="C12" s="283">
        <f>IF('Intl Priority'!$C$105&gt;ROUND(((1-IntPriorityDiscount-IntPriorityIncentive)*'Intl Priority'!C9),2),ROUND('Intl Priority'!$C$105*(1+International_Fuel_Surcharge),2),ROUND(((1-IntPriorityDiscount-IntPriorityIncentive)*'Intl Priority'!C9)*(1+International_Fuel_Surcharge),2))</f>
        <v>38.22</v>
      </c>
      <c r="D12" s="283">
        <f>IF('Intl Priority'!$D$105&gt;ROUND(((1-IntPriorityDiscount-IntPriorityIncentive)*'Intl Priority'!D9),2),ROUND('Intl Priority'!$D$105*(1+International_Fuel_Surcharge),2),ROUND(((1-IntPriorityDiscount-IntPriorityIncentive)*'Intl Priority'!D9)*(1+International_Fuel_Surcharge),2))</f>
        <v>39.76</v>
      </c>
      <c r="E12" s="283">
        <f>IF('Intl Priority'!$E$105&gt;ROUND(((1-IntPriorityDiscount-IntPriorityIncentive)*'Intl Priority'!E9),2),ROUND('Intl Priority'!$E$105*(1+International_Fuel_Surcharge),2),ROUND(((1-IntPriorityDiscount-IntPriorityIncentive)*'Intl Priority'!E9)*(1+International_Fuel_Surcharge),2))</f>
        <v>47.46</v>
      </c>
      <c r="F12" s="283">
        <f>IF('Intl Priority'!$F$105&gt;ROUND(((1-IntPriorityDiscount-IntPriorityIncentive)*'Intl Priority'!F9),2),ROUND('Intl Priority'!$F$105*(1+International_Fuel_Surcharge),2),ROUND(((1-IntPriorityDiscount-IntPriorityIncentive)*'Intl Priority'!F9)*(1+International_Fuel_Surcharge),2))</f>
        <v>73.69</v>
      </c>
      <c r="G12" s="283">
        <f>IF('Intl Priority'!$G$105&gt;ROUND(((1-IntPriorityDiscount-IntPriorityIncentive)*'Intl Priority'!G9),2),ROUND('Intl Priority'!$G$105*(1+International_Fuel_Surcharge),2),ROUND(((1-IntPriorityDiscount-IntPriorityIncentive)*'Intl Priority'!G9)*(1+International_Fuel_Surcharge),2))</f>
        <v>48.23</v>
      </c>
      <c r="H12" s="283">
        <f>IF('Intl Priority'!$H$105&gt;ROUND(((1-IntPriorityDiscount-IntPriorityIncentive)*'Intl Priority'!H9),2),ROUND('Intl Priority'!$H$105*(1+International_Fuel_Surcharge),2),ROUND(((1-IntPriorityDiscount-IntPriorityIncentive)*'Intl Priority'!H9)*(1+International_Fuel_Surcharge),2))</f>
        <v>50.65</v>
      </c>
      <c r="I12" s="283">
        <f>IF('Intl Priority'!$I$105&gt;ROUND(((1-IntPriorityDiscount-IntPriorityIncentive)*'Intl Priority'!I9),2),ROUND('Intl Priority'!$I$105*(1+International_Fuel_Surcharge),2),ROUND(((1-IntPriorityDiscount-IntPriorityIncentive)*'Intl Priority'!I9)*(1+International_Fuel_Surcharge),2))</f>
        <v>50.97</v>
      </c>
      <c r="J12" s="283">
        <f>IF('Intl Priority'!$J$105&gt;ROUND(((1-IntPriorityDiscount-IntPriorityIncentive)*'Intl Priority'!J9),2),ROUND('Intl Priority'!$J$105*(1+International_Fuel_Surcharge),2),ROUND(((1-IntPriorityDiscount-IntPriorityIncentive)*'Intl Priority'!J9)*(1+International_Fuel_Surcharge),2))</f>
        <v>39.67</v>
      </c>
      <c r="K12" s="283">
        <f>IF('Intl Priority'!$K$105&gt;ROUND(((1-IntPriorityDiscount-IntPriorityIncentive)*'Intl Priority'!K9),2),ROUND('Intl Priority'!$K$105*(1+International_Fuel_Surcharge),2),ROUND(((1-IntPriorityDiscount-IntPriorityIncentive)*'Intl Priority'!K9)*(1+International_Fuel_Surcharge),2))</f>
        <v>60.44</v>
      </c>
      <c r="L12" s="283">
        <f>IF('Intl Priority'!$L$105&gt;ROUND(((1-IntPriorityDiscount-IntPriorityIncentive)*'Intl Priority'!L9),2),ROUND('Intl Priority'!$L$105*(1+International_Fuel_Surcharge),2),ROUND(((1-IntPriorityDiscount-IntPriorityIncentive)*'Intl Priority'!L9)*(1+International_Fuel_Surcharge),2))</f>
        <v>56.97</v>
      </c>
      <c r="M12" s="283">
        <f>IF('Intl Priority'!$M$105&gt;ROUND(((1-IntPriorityDiscount-IntPriorityIncentive)*'Intl Priority'!M9),2),ROUND('Intl Priority'!$M$105*(1+International_Fuel_Surcharge),2),ROUND(((1-IntPriorityDiscount-IntPriorityIncentive)*'Intl Priority'!M9)*(1+International_Fuel_Surcharge),2))</f>
        <v>72.78</v>
      </c>
      <c r="N12" s="283">
        <f>IF('Intl Priority'!$N$105&gt;ROUND(((1-IntPriorityDiscount-IntPriorityIncentive)*'Intl Priority'!N9),2),ROUND('Intl Priority'!$N$105*(1+International_Fuel_Surcharge),2),ROUND(((1-IntPriorityDiscount-IntPriorityIncentive)*'Intl Priority'!N9)*(1+International_Fuel_Surcharge),2))</f>
        <v>77.09</v>
      </c>
      <c r="O12" s="283">
        <f>IF('Intl Priority'!$O$105&gt;ROUND(((1-IntPriorityDiscount-IntPriorityIncentive)*'Intl Priority'!O9),2),ROUND('Intl Priority'!$O$105*(1+International_Fuel_Surcharge),2),ROUND(((1-IntPriorityDiscount-IntPriorityIncentive)*'Intl Priority'!O9)*(1+International_Fuel_Surcharge),2))</f>
        <v>54.65</v>
      </c>
      <c r="P12" s="283">
        <f>IF('Intl Priority'!$P$105&gt;ROUND(((1-IntPriorityDiscount-IntPriorityIncentive)*'Intl Priority'!P9),2),ROUND('Intl Priority'!$P$105*(1+International_Fuel_Surcharge),2),ROUND(((1-IntPriorityDiscount-IntPriorityIncentive)*'Intl Priority'!P9)*(1+International_Fuel_Surcharge),2))</f>
        <v>58.34</v>
      </c>
      <c r="Q12" s="283">
        <f>IF('Intl Priority'!$Q$105&gt;ROUND(((1-PuertoRicoDiscount)*'Intl Priority'!Q9),2),ROUND('Intl Priority'!$Q$105*(1+International_Fuel_Surcharge),2),ROUND(((1-PuertoRicoDiscount)*'Intl Priority'!Q9)*(1+International_Fuel_Surcharge),2))</f>
        <v>93.81</v>
      </c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274">
        <v>8.0</v>
      </c>
      <c r="B13" s="283">
        <f>IF('Intl Priority'!$B$105&gt;ROUND(((1-IntPriorityDiscount-IntPriorityIncentive)*'Intl Priority'!B10),2),ROUND('Intl Priority'!$B$105*(1+International_Fuel_Surcharge),2),ROUND(((1-IntPriorityDiscount-IntPriorityIncentive)*'Intl Priority'!B10)*(1+International_Fuel_Surcharge),2))</f>
        <v>32.62</v>
      </c>
      <c r="C13" s="283">
        <f>IF('Intl Priority'!$C$105&gt;ROUND(((1-IntPriorityDiscount-IntPriorityIncentive)*'Intl Priority'!C10),2),ROUND('Intl Priority'!$C$105*(1+International_Fuel_Surcharge),2),ROUND(((1-IntPriorityDiscount-IntPriorityIncentive)*'Intl Priority'!C10)*(1+International_Fuel_Surcharge),2))</f>
        <v>38.31</v>
      </c>
      <c r="D13" s="283">
        <f>IF('Intl Priority'!$D$105&gt;ROUND(((1-IntPriorityDiscount-IntPriorityIncentive)*'Intl Priority'!D10),2),ROUND('Intl Priority'!$D$105*(1+International_Fuel_Surcharge),2),ROUND(((1-IntPriorityDiscount-IntPriorityIncentive)*'Intl Priority'!D10)*(1+International_Fuel_Surcharge),2))</f>
        <v>41.23</v>
      </c>
      <c r="E13" s="283">
        <f>IF('Intl Priority'!$E$105&gt;ROUND(((1-IntPriorityDiscount-IntPriorityIncentive)*'Intl Priority'!E10),2),ROUND('Intl Priority'!$E$105*(1+International_Fuel_Surcharge),2),ROUND(((1-IntPriorityDiscount-IntPriorityIncentive)*'Intl Priority'!E10)*(1+International_Fuel_Surcharge),2))</f>
        <v>49.3</v>
      </c>
      <c r="F13" s="283">
        <f>IF('Intl Priority'!$F$105&gt;ROUND(((1-IntPriorityDiscount-IntPriorityIncentive)*'Intl Priority'!F10),2),ROUND('Intl Priority'!$F$105*(1+International_Fuel_Surcharge),2),ROUND(((1-IntPriorityDiscount-IntPriorityIncentive)*'Intl Priority'!F10)*(1+International_Fuel_Surcharge),2))</f>
        <v>76.27</v>
      </c>
      <c r="G13" s="283">
        <f>IF('Intl Priority'!$G$105&gt;ROUND(((1-IntPriorityDiscount-IntPriorityIncentive)*'Intl Priority'!G10),2),ROUND('Intl Priority'!$G$105*(1+International_Fuel_Surcharge),2),ROUND(((1-IntPriorityDiscount-IntPriorityIncentive)*'Intl Priority'!G10)*(1+International_Fuel_Surcharge),2))</f>
        <v>49.59</v>
      </c>
      <c r="H13" s="283">
        <f>IF('Intl Priority'!$H$105&gt;ROUND(((1-IntPriorityDiscount-IntPriorityIncentive)*'Intl Priority'!H10),2),ROUND('Intl Priority'!$H$105*(1+International_Fuel_Surcharge),2),ROUND(((1-IntPriorityDiscount-IntPriorityIncentive)*'Intl Priority'!H10)*(1+International_Fuel_Surcharge),2))</f>
        <v>50.87</v>
      </c>
      <c r="I13" s="283">
        <f>IF('Intl Priority'!$I$105&gt;ROUND(((1-IntPriorityDiscount-IntPriorityIncentive)*'Intl Priority'!I10),2),ROUND('Intl Priority'!$I$105*(1+International_Fuel_Surcharge),2),ROUND(((1-IntPriorityDiscount-IntPriorityIncentive)*'Intl Priority'!I10)*(1+International_Fuel_Surcharge),2))</f>
        <v>54.53</v>
      </c>
      <c r="J13" s="283">
        <f>IF('Intl Priority'!$J$105&gt;ROUND(((1-IntPriorityDiscount-IntPriorityIncentive)*'Intl Priority'!J10),2),ROUND('Intl Priority'!$J$105*(1+International_Fuel_Surcharge),2),ROUND(((1-IntPriorityDiscount-IntPriorityIncentive)*'Intl Priority'!J10)*(1+International_Fuel_Surcharge),2))</f>
        <v>39.88</v>
      </c>
      <c r="K13" s="283">
        <f>IF('Intl Priority'!$K$105&gt;ROUND(((1-IntPriorityDiscount-IntPriorityIncentive)*'Intl Priority'!K10),2),ROUND('Intl Priority'!$K$105*(1+International_Fuel_Surcharge),2),ROUND(((1-IntPriorityDiscount-IntPriorityIncentive)*'Intl Priority'!K10)*(1+International_Fuel_Surcharge),2))</f>
        <v>65.09</v>
      </c>
      <c r="L13" s="283">
        <f>IF('Intl Priority'!$L$105&gt;ROUND(((1-IntPriorityDiscount-IntPriorityIncentive)*'Intl Priority'!L10),2),ROUND('Intl Priority'!$L$105*(1+International_Fuel_Surcharge),2),ROUND(((1-IntPriorityDiscount-IntPriorityIncentive)*'Intl Priority'!L10)*(1+International_Fuel_Surcharge),2))</f>
        <v>58.22</v>
      </c>
      <c r="M13" s="283">
        <f>IF('Intl Priority'!$M$105&gt;ROUND(((1-IntPriorityDiscount-IntPriorityIncentive)*'Intl Priority'!M10),2),ROUND('Intl Priority'!$M$105*(1+International_Fuel_Surcharge),2),ROUND(((1-IntPriorityDiscount-IntPriorityIncentive)*'Intl Priority'!M10)*(1+International_Fuel_Surcharge),2))</f>
        <v>86.61</v>
      </c>
      <c r="N13" s="283">
        <f>IF('Intl Priority'!$N$105&gt;ROUND(((1-IntPriorityDiscount-IntPriorityIncentive)*'Intl Priority'!N10),2),ROUND('Intl Priority'!$N$105*(1+International_Fuel_Surcharge),2),ROUND(((1-IntPriorityDiscount-IntPriorityIncentive)*'Intl Priority'!N10)*(1+International_Fuel_Surcharge),2))</f>
        <v>82.27</v>
      </c>
      <c r="O13" s="283">
        <f>IF('Intl Priority'!$O$105&gt;ROUND(((1-IntPriorityDiscount-IntPriorityIncentive)*'Intl Priority'!O10),2),ROUND('Intl Priority'!$O$105*(1+International_Fuel_Surcharge),2),ROUND(((1-IntPriorityDiscount-IntPriorityIncentive)*'Intl Priority'!O10)*(1+International_Fuel_Surcharge),2))</f>
        <v>57.15</v>
      </c>
      <c r="P13" s="283">
        <f>IF('Intl Priority'!$P$105&gt;ROUND(((1-IntPriorityDiscount-IntPriorityIncentive)*'Intl Priority'!P10),2),ROUND('Intl Priority'!$P$105*(1+International_Fuel_Surcharge),2),ROUND(((1-IntPriorityDiscount-IntPriorityIncentive)*'Intl Priority'!P10)*(1+International_Fuel_Surcharge),2))</f>
        <v>60.8</v>
      </c>
      <c r="Q13" s="283">
        <f>IF('Intl Priority'!$Q$105&gt;ROUND(((1-PuertoRicoDiscount)*'Intl Priority'!Q10),2),ROUND('Intl Priority'!$Q$105*(1+International_Fuel_Surcharge),2),ROUND(((1-PuertoRicoDiscount)*'Intl Priority'!Q10)*(1+International_Fuel_Surcharge),2))</f>
        <v>98.92</v>
      </c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274">
        <v>9.0</v>
      </c>
      <c r="B14" s="283">
        <f>IF('Intl Priority'!$B$105&gt;ROUND(((1-IntPriorityDiscount-IntPriorityIncentive)*'Intl Priority'!B11),2),ROUND('Intl Priority'!$B$105*(1+International_Fuel_Surcharge),2),ROUND(((1-IntPriorityDiscount-IntPriorityIncentive)*'Intl Priority'!B11)*(1+International_Fuel_Surcharge),2))</f>
        <v>32.68</v>
      </c>
      <c r="C14" s="283">
        <f>IF('Intl Priority'!$C$105&gt;ROUND(((1-IntPriorityDiscount-IntPriorityIncentive)*'Intl Priority'!C11),2),ROUND('Intl Priority'!$C$105*(1+International_Fuel_Surcharge),2),ROUND(((1-IntPriorityDiscount-IntPriorityIncentive)*'Intl Priority'!C11)*(1+International_Fuel_Surcharge),2))</f>
        <v>38.39</v>
      </c>
      <c r="D14" s="283">
        <f>IF('Intl Priority'!$D$105&gt;ROUND(((1-IntPriorityDiscount-IntPriorityIncentive)*'Intl Priority'!D11),2),ROUND('Intl Priority'!$D$105*(1+International_Fuel_Surcharge),2),ROUND(((1-IntPriorityDiscount-IntPriorityIncentive)*'Intl Priority'!D11)*(1+International_Fuel_Surcharge),2))</f>
        <v>41.38</v>
      </c>
      <c r="E14" s="283">
        <f>IF('Intl Priority'!$E$105&gt;ROUND(((1-IntPriorityDiscount-IntPriorityIncentive)*'Intl Priority'!E11),2),ROUND('Intl Priority'!$E$105*(1+International_Fuel_Surcharge),2),ROUND(((1-IntPriorityDiscount-IntPriorityIncentive)*'Intl Priority'!E11)*(1+International_Fuel_Surcharge),2))</f>
        <v>49.73</v>
      </c>
      <c r="F14" s="283">
        <f>IF('Intl Priority'!$F$105&gt;ROUND(((1-IntPriorityDiscount-IntPriorityIncentive)*'Intl Priority'!F11),2),ROUND('Intl Priority'!$F$105*(1+International_Fuel_Surcharge),2),ROUND(((1-IntPriorityDiscount-IntPriorityIncentive)*'Intl Priority'!F11)*(1+International_Fuel_Surcharge),2))</f>
        <v>76.57</v>
      </c>
      <c r="G14" s="283">
        <f>IF('Intl Priority'!$G$105&gt;ROUND(((1-IntPriorityDiscount-IntPriorityIncentive)*'Intl Priority'!G11),2),ROUND('Intl Priority'!$G$105*(1+International_Fuel_Surcharge),2),ROUND(((1-IntPriorityDiscount-IntPriorityIncentive)*'Intl Priority'!G11)*(1+International_Fuel_Surcharge),2))</f>
        <v>49.73</v>
      </c>
      <c r="H14" s="283">
        <f>IF('Intl Priority'!$H$105&gt;ROUND(((1-IntPriorityDiscount-IntPriorityIncentive)*'Intl Priority'!H11),2),ROUND('Intl Priority'!$H$105*(1+International_Fuel_Surcharge),2),ROUND(((1-IntPriorityDiscount-IntPriorityIncentive)*'Intl Priority'!H11)*(1+International_Fuel_Surcharge),2))</f>
        <v>50.98</v>
      </c>
      <c r="I14" s="283">
        <f>IF('Intl Priority'!$I$105&gt;ROUND(((1-IntPriorityDiscount-IntPriorityIncentive)*'Intl Priority'!I11),2),ROUND('Intl Priority'!$I$105*(1+International_Fuel_Surcharge),2),ROUND(((1-IntPriorityDiscount-IntPriorityIncentive)*'Intl Priority'!I11)*(1+International_Fuel_Surcharge),2))</f>
        <v>54.89</v>
      </c>
      <c r="J14" s="283">
        <f>IF('Intl Priority'!$J$105&gt;ROUND(((1-IntPriorityDiscount-IntPriorityIncentive)*'Intl Priority'!J11),2),ROUND('Intl Priority'!$J$105*(1+International_Fuel_Surcharge),2),ROUND(((1-IntPriorityDiscount-IntPriorityIncentive)*'Intl Priority'!J11)*(1+International_Fuel_Surcharge),2))</f>
        <v>40.08</v>
      </c>
      <c r="K14" s="283">
        <f>IF('Intl Priority'!$K$105&gt;ROUND(((1-IntPriorityDiscount-IntPriorityIncentive)*'Intl Priority'!K11),2),ROUND('Intl Priority'!$K$105*(1+International_Fuel_Surcharge),2),ROUND(((1-IntPriorityDiscount-IntPriorityIncentive)*'Intl Priority'!K11)*(1+International_Fuel_Surcharge),2))</f>
        <v>65.89</v>
      </c>
      <c r="L14" s="283">
        <f>IF('Intl Priority'!$L$105&gt;ROUND(((1-IntPriorityDiscount-IntPriorityIncentive)*'Intl Priority'!L11),2),ROUND('Intl Priority'!$L$105*(1+International_Fuel_Surcharge),2),ROUND(((1-IntPriorityDiscount-IntPriorityIncentive)*'Intl Priority'!L11)*(1+International_Fuel_Surcharge),2))</f>
        <v>58.35</v>
      </c>
      <c r="M14" s="283">
        <f>IF('Intl Priority'!$M$105&gt;ROUND(((1-IntPriorityDiscount-IntPriorityIncentive)*'Intl Priority'!M11),2),ROUND('Intl Priority'!$M$105*(1+International_Fuel_Surcharge),2),ROUND(((1-IntPriorityDiscount-IntPriorityIncentive)*'Intl Priority'!M11)*(1+International_Fuel_Surcharge),2))</f>
        <v>88.13</v>
      </c>
      <c r="N14" s="283">
        <f>IF('Intl Priority'!$N$105&gt;ROUND(((1-IntPriorityDiscount-IntPriorityIncentive)*'Intl Priority'!N11),2),ROUND('Intl Priority'!$N$105*(1+International_Fuel_Surcharge),2),ROUND(((1-IntPriorityDiscount-IntPriorityIncentive)*'Intl Priority'!N11)*(1+International_Fuel_Surcharge),2))</f>
        <v>82.79</v>
      </c>
      <c r="O14" s="283">
        <f>IF('Intl Priority'!$O$105&gt;ROUND(((1-IntPriorityDiscount-IntPriorityIncentive)*'Intl Priority'!O11),2),ROUND('Intl Priority'!$O$105*(1+International_Fuel_Surcharge),2),ROUND(((1-IntPriorityDiscount-IntPriorityIncentive)*'Intl Priority'!O11)*(1+International_Fuel_Surcharge),2))</f>
        <v>57.4</v>
      </c>
      <c r="P14" s="283">
        <f>IF('Intl Priority'!$P$105&gt;ROUND(((1-IntPriorityDiscount-IntPriorityIncentive)*'Intl Priority'!P11),2),ROUND('Intl Priority'!$P$105*(1+International_Fuel_Surcharge),2),ROUND(((1-IntPriorityDiscount-IntPriorityIncentive)*'Intl Priority'!P11)*(1+International_Fuel_Surcharge),2))</f>
        <v>61.07</v>
      </c>
      <c r="Q14" s="283">
        <f>IF('Intl Priority'!$Q$105&gt;ROUND(((1-PuertoRicoDiscount)*'Intl Priority'!Q11),2),ROUND('Intl Priority'!$Q$105*(1+International_Fuel_Surcharge),2),ROUND(((1-PuertoRicoDiscount)*'Intl Priority'!Q11)*(1+International_Fuel_Surcharge),2))</f>
        <v>105.27</v>
      </c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274">
        <v>10.0</v>
      </c>
      <c r="B15" s="283">
        <f>IF('Intl Priority'!$B$105&gt;ROUND(((1-IntPriorityDiscount-IntPriorityIncentive)*'Intl Priority'!B12),2),ROUND('Intl Priority'!$B$105*(1+International_Fuel_Surcharge),2),ROUND(((1-IntPriorityDiscount-IntPriorityIncentive)*'Intl Priority'!B12)*(1+International_Fuel_Surcharge),2))</f>
        <v>32.75</v>
      </c>
      <c r="C15" s="283">
        <f>IF('Intl Priority'!$C$105&gt;ROUND(((1-IntPriorityDiscount-IntPriorityIncentive)*'Intl Priority'!C12),2),ROUND('Intl Priority'!$C$105*(1+International_Fuel_Surcharge),2),ROUND(((1-IntPriorityDiscount-IntPriorityIncentive)*'Intl Priority'!C12)*(1+International_Fuel_Surcharge),2))</f>
        <v>39.16</v>
      </c>
      <c r="D15" s="283">
        <f>IF('Intl Priority'!$D$105&gt;ROUND(((1-IntPriorityDiscount-IntPriorityIncentive)*'Intl Priority'!D12),2),ROUND('Intl Priority'!$D$105*(1+International_Fuel_Surcharge),2),ROUND(((1-IntPriorityDiscount-IntPriorityIncentive)*'Intl Priority'!D12)*(1+International_Fuel_Surcharge),2))</f>
        <v>41.46</v>
      </c>
      <c r="E15" s="283">
        <f>IF('Intl Priority'!$E$105&gt;ROUND(((1-IntPriorityDiscount-IntPriorityIncentive)*'Intl Priority'!E12),2),ROUND('Intl Priority'!$E$105*(1+International_Fuel_Surcharge),2),ROUND(((1-IntPriorityDiscount-IntPriorityIncentive)*'Intl Priority'!E12)*(1+International_Fuel_Surcharge),2))</f>
        <v>49.85</v>
      </c>
      <c r="F15" s="283">
        <f>IF('Intl Priority'!$F$105&gt;ROUND(((1-IntPriorityDiscount-IntPriorityIncentive)*'Intl Priority'!F12),2),ROUND('Intl Priority'!$F$105*(1+International_Fuel_Surcharge),2),ROUND(((1-IntPriorityDiscount-IntPriorityIncentive)*'Intl Priority'!F12)*(1+International_Fuel_Surcharge),2))</f>
        <v>76.72</v>
      </c>
      <c r="G15" s="283">
        <f>IF('Intl Priority'!$G$105&gt;ROUND(((1-IntPriorityDiscount-IntPriorityIncentive)*'Intl Priority'!G12),2),ROUND('Intl Priority'!$G$105*(1+International_Fuel_Surcharge),2),ROUND(((1-IntPriorityDiscount-IntPriorityIncentive)*'Intl Priority'!G12)*(1+International_Fuel_Surcharge),2))</f>
        <v>49.83</v>
      </c>
      <c r="H15" s="283">
        <f>IF('Intl Priority'!$H$105&gt;ROUND(((1-IntPriorityDiscount-IntPriorityIncentive)*'Intl Priority'!H12),2),ROUND('Intl Priority'!$H$105*(1+International_Fuel_Surcharge),2),ROUND(((1-IntPriorityDiscount-IntPriorityIncentive)*'Intl Priority'!H12)*(1+International_Fuel_Surcharge),2))</f>
        <v>51.08</v>
      </c>
      <c r="I15" s="283">
        <f>IF('Intl Priority'!$I$105&gt;ROUND(((1-IntPriorityDiscount-IntPriorityIncentive)*'Intl Priority'!I12),2),ROUND('Intl Priority'!$I$105*(1+International_Fuel_Surcharge),2),ROUND(((1-IntPriorityDiscount-IntPriorityIncentive)*'Intl Priority'!I12)*(1+International_Fuel_Surcharge),2))</f>
        <v>55.21</v>
      </c>
      <c r="J15" s="283">
        <f>IF('Intl Priority'!$J$105&gt;ROUND(((1-IntPriorityDiscount-IntPriorityIncentive)*'Intl Priority'!J12),2),ROUND('Intl Priority'!$J$105*(1+International_Fuel_Surcharge),2),ROUND(((1-IntPriorityDiscount-IntPriorityIncentive)*'Intl Priority'!J12)*(1+International_Fuel_Surcharge),2))</f>
        <v>40.22</v>
      </c>
      <c r="K15" s="283">
        <f>IF('Intl Priority'!$K$105&gt;ROUND(((1-IntPriorityDiscount-IntPriorityIncentive)*'Intl Priority'!K12),2),ROUND('Intl Priority'!$K$105*(1+International_Fuel_Surcharge),2),ROUND(((1-IntPriorityDiscount-IntPriorityIncentive)*'Intl Priority'!K12)*(1+International_Fuel_Surcharge),2))</f>
        <v>66.03</v>
      </c>
      <c r="L15" s="283">
        <f>IF('Intl Priority'!$L$105&gt;ROUND(((1-IntPriorityDiscount-IntPriorityIncentive)*'Intl Priority'!L12),2),ROUND('Intl Priority'!$L$105*(1+International_Fuel_Surcharge),2),ROUND(((1-IntPriorityDiscount-IntPriorityIncentive)*'Intl Priority'!L12)*(1+International_Fuel_Surcharge),2))</f>
        <v>58.46</v>
      </c>
      <c r="M15" s="283">
        <f>IF('Intl Priority'!$M$105&gt;ROUND(((1-IntPriorityDiscount-IntPriorityIncentive)*'Intl Priority'!M12),2),ROUND('Intl Priority'!$M$105*(1+International_Fuel_Surcharge),2),ROUND(((1-IntPriorityDiscount-IntPriorityIncentive)*'Intl Priority'!M12)*(1+International_Fuel_Surcharge),2))</f>
        <v>88.57</v>
      </c>
      <c r="N15" s="283">
        <f>IF('Intl Priority'!$N$105&gt;ROUND(((1-IntPriorityDiscount-IntPriorityIncentive)*'Intl Priority'!N12),2),ROUND('Intl Priority'!$N$105*(1+International_Fuel_Surcharge),2),ROUND(((1-IntPriorityDiscount-IntPriorityIncentive)*'Intl Priority'!N12)*(1+International_Fuel_Surcharge),2))</f>
        <v>82.96</v>
      </c>
      <c r="O15" s="283">
        <f>IF('Intl Priority'!$O$105&gt;ROUND(((1-IntPriorityDiscount-IntPriorityIncentive)*'Intl Priority'!O12),2),ROUND('Intl Priority'!$O$105*(1+International_Fuel_Surcharge),2),ROUND(((1-IntPriorityDiscount-IntPriorityIncentive)*'Intl Priority'!O12)*(1+International_Fuel_Surcharge),2))</f>
        <v>57.52</v>
      </c>
      <c r="P15" s="283">
        <f>IF('Intl Priority'!$P$105&gt;ROUND(((1-IntPriorityDiscount-IntPriorityIncentive)*'Intl Priority'!P12),2),ROUND('Intl Priority'!$P$105*(1+International_Fuel_Surcharge),2),ROUND(((1-IntPriorityDiscount-IntPriorityIncentive)*'Intl Priority'!P12)*(1+International_Fuel_Surcharge),2))</f>
        <v>61.19</v>
      </c>
      <c r="Q15" s="283">
        <f>IF('Intl Priority'!$Q$105&gt;ROUND(((1-PuertoRicoDiscount)*'Intl Priority'!Q12),2),ROUND('Intl Priority'!$Q$105*(1+International_Fuel_Surcharge),2),ROUND(((1-PuertoRicoDiscount)*'Intl Priority'!Q12)*(1+International_Fuel_Surcharge),2))</f>
        <v>112.05</v>
      </c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274">
        <v>11.0</v>
      </c>
      <c r="B16" s="283">
        <f>IF('Intl Priority'!$B$105&gt;ROUND(((1-IntPriorityDiscount-IntPriorityIncentive)*'Intl Priority'!B13),2),ROUND('Intl Priority'!$B$105*(1+International_Fuel_Surcharge),2),ROUND(((1-IntPriorityDiscount-IntPriorityIncentive)*'Intl Priority'!B13)*(1+International_Fuel_Surcharge),2))</f>
        <v>32.96</v>
      </c>
      <c r="C16" s="283">
        <f>IF('Intl Priority'!$C$105&gt;ROUND(((1-IntPriorityDiscount-IntPriorityIncentive)*'Intl Priority'!C13),2),ROUND('Intl Priority'!$C$105*(1+International_Fuel_Surcharge),2),ROUND(((1-IntPriorityDiscount-IntPriorityIncentive)*'Intl Priority'!C13)*(1+International_Fuel_Surcharge),2))</f>
        <v>39.65</v>
      </c>
      <c r="D16" s="283">
        <f>IF('Intl Priority'!$D$105&gt;ROUND(((1-IntPriorityDiscount-IntPriorityIncentive)*'Intl Priority'!D13),2),ROUND('Intl Priority'!$D$105*(1+International_Fuel_Surcharge),2),ROUND(((1-IntPriorityDiscount-IntPriorityIncentive)*'Intl Priority'!D13)*(1+International_Fuel_Surcharge),2))</f>
        <v>41.54</v>
      </c>
      <c r="E16" s="283">
        <f>IF('Intl Priority'!$E$105&gt;ROUND(((1-IntPriorityDiscount-IntPriorityIncentive)*'Intl Priority'!E13),2),ROUND('Intl Priority'!$E$105*(1+International_Fuel_Surcharge),2),ROUND(((1-IntPriorityDiscount-IntPriorityIncentive)*'Intl Priority'!E13)*(1+International_Fuel_Surcharge),2))</f>
        <v>50.26</v>
      </c>
      <c r="F16" s="283">
        <f>IF('Intl Priority'!$F$105&gt;ROUND(((1-IntPriorityDiscount-IntPriorityIncentive)*'Intl Priority'!F13),2),ROUND('Intl Priority'!$F$105*(1+International_Fuel_Surcharge),2),ROUND(((1-IntPriorityDiscount-IntPriorityIncentive)*'Intl Priority'!F13)*(1+International_Fuel_Surcharge),2))</f>
        <v>76.88</v>
      </c>
      <c r="G16" s="283">
        <f>IF('Intl Priority'!$G$105&gt;ROUND(((1-IntPriorityDiscount-IntPriorityIncentive)*'Intl Priority'!G13),2),ROUND('Intl Priority'!$G$105*(1+International_Fuel_Surcharge),2),ROUND(((1-IntPriorityDiscount-IntPriorityIncentive)*'Intl Priority'!G13)*(1+International_Fuel_Surcharge),2))</f>
        <v>50.59</v>
      </c>
      <c r="H16" s="283">
        <f>IF('Intl Priority'!$H$105&gt;ROUND(((1-IntPriorityDiscount-IntPriorityIncentive)*'Intl Priority'!H13),2),ROUND('Intl Priority'!$H$105*(1+International_Fuel_Surcharge),2),ROUND(((1-IntPriorityDiscount-IntPriorityIncentive)*'Intl Priority'!H13)*(1+International_Fuel_Surcharge),2))</f>
        <v>51.37</v>
      </c>
      <c r="I16" s="283">
        <f>IF('Intl Priority'!$I$105&gt;ROUND(((1-IntPriorityDiscount-IntPriorityIncentive)*'Intl Priority'!I13),2),ROUND('Intl Priority'!$I$105*(1+International_Fuel_Surcharge),2),ROUND(((1-IntPriorityDiscount-IntPriorityIncentive)*'Intl Priority'!I13)*(1+International_Fuel_Surcharge),2))</f>
        <v>55.32</v>
      </c>
      <c r="J16" s="283">
        <f>IF('Intl Priority'!$J$105&gt;ROUND(((1-IntPriorityDiscount-IntPriorityIncentive)*'Intl Priority'!J13),2),ROUND('Intl Priority'!$J$105*(1+International_Fuel_Surcharge),2),ROUND(((1-IntPriorityDiscount-IntPriorityIncentive)*'Intl Priority'!J13)*(1+International_Fuel_Surcharge),2))</f>
        <v>42.89</v>
      </c>
      <c r="K16" s="283">
        <f>IF('Intl Priority'!$K$105&gt;ROUND(((1-IntPriorityDiscount-IntPriorityIncentive)*'Intl Priority'!K13),2),ROUND('Intl Priority'!$K$105*(1+International_Fuel_Surcharge),2),ROUND(((1-IntPriorityDiscount-IntPriorityIncentive)*'Intl Priority'!K13)*(1+International_Fuel_Surcharge),2))</f>
        <v>67.41</v>
      </c>
      <c r="L16" s="283">
        <f>IF('Intl Priority'!$L$105&gt;ROUND(((1-IntPriorityDiscount-IntPriorityIncentive)*'Intl Priority'!L13),2),ROUND('Intl Priority'!$L$105*(1+International_Fuel_Surcharge),2),ROUND(((1-IntPriorityDiscount-IntPriorityIncentive)*'Intl Priority'!L13)*(1+International_Fuel_Surcharge),2))</f>
        <v>59.09</v>
      </c>
      <c r="M16" s="283">
        <f>IF('Intl Priority'!$M$105&gt;ROUND(((1-IntPriorityDiscount-IntPriorityIncentive)*'Intl Priority'!M13),2),ROUND('Intl Priority'!$M$105*(1+International_Fuel_Surcharge),2),ROUND(((1-IntPriorityDiscount-IntPriorityIncentive)*'Intl Priority'!M13)*(1+International_Fuel_Surcharge),2))</f>
        <v>90.43</v>
      </c>
      <c r="N16" s="283">
        <f>IF('Intl Priority'!$N$105&gt;ROUND(((1-IntPriorityDiscount-IntPriorityIncentive)*'Intl Priority'!N13),2),ROUND('Intl Priority'!$N$105*(1+International_Fuel_Surcharge),2),ROUND(((1-IntPriorityDiscount-IntPriorityIncentive)*'Intl Priority'!N13)*(1+International_Fuel_Surcharge),2))</f>
        <v>83.13</v>
      </c>
      <c r="O16" s="283">
        <f>IF('Intl Priority'!$O$105&gt;ROUND(((1-IntPriorityDiscount-IntPriorityIncentive)*'Intl Priority'!O13),2),ROUND('Intl Priority'!$O$105*(1+International_Fuel_Surcharge),2),ROUND(((1-IntPriorityDiscount-IntPriorityIncentive)*'Intl Priority'!O13)*(1+International_Fuel_Surcharge),2))</f>
        <v>57.63</v>
      </c>
      <c r="P16" s="283">
        <f>IF('Intl Priority'!$P$105&gt;ROUND(((1-IntPriorityDiscount-IntPriorityIncentive)*'Intl Priority'!P13),2),ROUND('Intl Priority'!$P$105*(1+International_Fuel_Surcharge),2),ROUND(((1-IntPriorityDiscount-IntPriorityIncentive)*'Intl Priority'!P13)*(1+International_Fuel_Surcharge),2))</f>
        <v>61.34</v>
      </c>
      <c r="Q16" s="283">
        <f>IF('Intl Priority'!$Q$105&gt;ROUND(((1-PuertoRicoDiscount)*'Intl Priority'!Q13),2),ROUND('Intl Priority'!$Q$105*(1+International_Fuel_Surcharge),2),ROUND(((1-PuertoRicoDiscount)*'Intl Priority'!Q13)*(1+International_Fuel_Surcharge),2))</f>
        <v>118.38</v>
      </c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274">
        <v>12.0</v>
      </c>
      <c r="B17" s="283">
        <f>IF('Intl Priority'!$B$105&gt;ROUND(((1-IntPriorityDiscount-IntPriorityIncentive)*'Intl Priority'!B14),2),ROUND('Intl Priority'!$B$105*(1+International_Fuel_Surcharge),2),ROUND(((1-IntPriorityDiscount-IntPriorityIncentive)*'Intl Priority'!B14)*(1+International_Fuel_Surcharge),2))</f>
        <v>33.31</v>
      </c>
      <c r="C17" s="283">
        <f>IF('Intl Priority'!$C$105&gt;ROUND(((1-IntPriorityDiscount-IntPriorityIncentive)*'Intl Priority'!C14),2),ROUND('Intl Priority'!$C$105*(1+International_Fuel_Surcharge),2),ROUND(((1-IntPriorityDiscount-IntPriorityIncentive)*'Intl Priority'!C14)*(1+International_Fuel_Surcharge),2))</f>
        <v>40.58</v>
      </c>
      <c r="D17" s="283">
        <f>IF('Intl Priority'!$D$105&gt;ROUND(((1-IntPriorityDiscount-IntPriorityIncentive)*'Intl Priority'!D14),2),ROUND('Intl Priority'!$D$105*(1+International_Fuel_Surcharge),2),ROUND(((1-IntPriorityDiscount-IntPriorityIncentive)*'Intl Priority'!D14)*(1+International_Fuel_Surcharge),2))</f>
        <v>42.12</v>
      </c>
      <c r="E17" s="283">
        <f>IF('Intl Priority'!$E$105&gt;ROUND(((1-IntPriorityDiscount-IntPriorityIncentive)*'Intl Priority'!E14),2),ROUND('Intl Priority'!$E$105*(1+International_Fuel_Surcharge),2),ROUND(((1-IntPriorityDiscount-IntPriorityIncentive)*'Intl Priority'!E14)*(1+International_Fuel_Surcharge),2))</f>
        <v>50.79</v>
      </c>
      <c r="F17" s="283">
        <f>IF('Intl Priority'!$F$105&gt;ROUND(((1-IntPriorityDiscount-IntPriorityIncentive)*'Intl Priority'!F14),2),ROUND('Intl Priority'!$F$105*(1+International_Fuel_Surcharge),2),ROUND(((1-IntPriorityDiscount-IntPriorityIncentive)*'Intl Priority'!F14)*(1+International_Fuel_Surcharge),2))</f>
        <v>77.91</v>
      </c>
      <c r="G17" s="283">
        <f>IF('Intl Priority'!$G$105&gt;ROUND(((1-IntPriorityDiscount-IntPriorityIncentive)*'Intl Priority'!G14),2),ROUND('Intl Priority'!$G$105*(1+International_Fuel_Surcharge),2),ROUND(((1-IntPriorityDiscount-IntPriorityIncentive)*'Intl Priority'!G14)*(1+International_Fuel_Surcharge),2))</f>
        <v>51.38</v>
      </c>
      <c r="H17" s="283">
        <f>IF('Intl Priority'!$H$105&gt;ROUND(((1-IntPriorityDiscount-IntPriorityIncentive)*'Intl Priority'!H14),2),ROUND('Intl Priority'!$H$105*(1+International_Fuel_Surcharge),2),ROUND(((1-IntPriorityDiscount-IntPriorityIncentive)*'Intl Priority'!H14)*(1+International_Fuel_Surcharge),2))</f>
        <v>52.01</v>
      </c>
      <c r="I17" s="283">
        <f>IF('Intl Priority'!$I$105&gt;ROUND(((1-IntPriorityDiscount-IntPriorityIncentive)*'Intl Priority'!I14),2),ROUND('Intl Priority'!$I$105*(1+International_Fuel_Surcharge),2),ROUND(((1-IntPriorityDiscount-IntPriorityIncentive)*'Intl Priority'!I14)*(1+International_Fuel_Surcharge),2))</f>
        <v>55.9</v>
      </c>
      <c r="J17" s="283">
        <f>IF('Intl Priority'!$J$105&gt;ROUND(((1-IntPriorityDiscount-IntPriorityIncentive)*'Intl Priority'!J14),2),ROUND('Intl Priority'!$J$105*(1+International_Fuel_Surcharge),2),ROUND(((1-IntPriorityDiscount-IntPriorityIncentive)*'Intl Priority'!J14)*(1+International_Fuel_Surcharge),2))</f>
        <v>43.16</v>
      </c>
      <c r="K17" s="283">
        <f>IF('Intl Priority'!$K$105&gt;ROUND(((1-IntPriorityDiscount-IntPriorityIncentive)*'Intl Priority'!K14),2),ROUND('Intl Priority'!$K$105*(1+International_Fuel_Surcharge),2),ROUND(((1-IntPriorityDiscount-IntPriorityIncentive)*'Intl Priority'!K14)*(1+International_Fuel_Surcharge),2))</f>
        <v>68.37</v>
      </c>
      <c r="L17" s="283">
        <f>IF('Intl Priority'!$L$105&gt;ROUND(((1-IntPriorityDiscount-IntPriorityIncentive)*'Intl Priority'!L14),2),ROUND('Intl Priority'!$L$105*(1+International_Fuel_Surcharge),2),ROUND(((1-IntPriorityDiscount-IntPriorityIncentive)*'Intl Priority'!L14)*(1+International_Fuel_Surcharge),2))</f>
        <v>59.92</v>
      </c>
      <c r="M17" s="283">
        <f>IF('Intl Priority'!$M$105&gt;ROUND(((1-IntPriorityDiscount-IntPriorityIncentive)*'Intl Priority'!M14),2),ROUND('Intl Priority'!$M$105*(1+International_Fuel_Surcharge),2),ROUND(((1-IntPriorityDiscount-IntPriorityIncentive)*'Intl Priority'!M14)*(1+International_Fuel_Surcharge),2))</f>
        <v>91.41</v>
      </c>
      <c r="N17" s="283">
        <f>IF('Intl Priority'!$N$105&gt;ROUND(((1-IntPriorityDiscount-IntPriorityIncentive)*'Intl Priority'!N14),2),ROUND('Intl Priority'!$N$105*(1+International_Fuel_Surcharge),2),ROUND(((1-IntPriorityDiscount-IntPriorityIncentive)*'Intl Priority'!N14)*(1+International_Fuel_Surcharge),2))</f>
        <v>84.41</v>
      </c>
      <c r="O17" s="283">
        <f>IF('Intl Priority'!$O$105&gt;ROUND(((1-IntPriorityDiscount-IntPriorityIncentive)*'Intl Priority'!O14),2),ROUND('Intl Priority'!$O$105*(1+International_Fuel_Surcharge),2),ROUND(((1-IntPriorityDiscount-IntPriorityIncentive)*'Intl Priority'!O14)*(1+International_Fuel_Surcharge),2))</f>
        <v>58.47</v>
      </c>
      <c r="P17" s="283">
        <f>IF('Intl Priority'!$P$105&gt;ROUND(((1-IntPriorityDiscount-IntPriorityIncentive)*'Intl Priority'!P14),2),ROUND('Intl Priority'!$P$105*(1+International_Fuel_Surcharge),2),ROUND(((1-IntPriorityDiscount-IntPriorityIncentive)*'Intl Priority'!P14)*(1+International_Fuel_Surcharge),2))</f>
        <v>61.84</v>
      </c>
      <c r="Q17" s="283">
        <f>IF('Intl Priority'!$Q$105&gt;ROUND(((1-PuertoRicoDiscount)*'Intl Priority'!Q14),2),ROUND('Intl Priority'!$Q$105*(1+International_Fuel_Surcharge),2),ROUND(((1-PuertoRicoDiscount)*'Intl Priority'!Q14)*(1+International_Fuel_Surcharge),2))</f>
        <v>124.14</v>
      </c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274">
        <v>13.0</v>
      </c>
      <c r="B18" s="283">
        <f>IF('Intl Priority'!$B$105&gt;ROUND(((1-IntPriorityDiscount-IntPriorityIncentive)*'Intl Priority'!B15),2),ROUND('Intl Priority'!$B$105*(1+International_Fuel_Surcharge),2),ROUND(((1-IntPriorityDiscount-IntPriorityIncentive)*'Intl Priority'!B15)*(1+International_Fuel_Surcharge),2))</f>
        <v>40.25</v>
      </c>
      <c r="C18" s="283">
        <f>IF('Intl Priority'!$C$105&gt;ROUND(((1-IntPriorityDiscount-IntPriorityIncentive)*'Intl Priority'!C15),2),ROUND('Intl Priority'!$C$105*(1+International_Fuel_Surcharge),2),ROUND(((1-IntPriorityDiscount-IntPriorityIncentive)*'Intl Priority'!C15)*(1+International_Fuel_Surcharge),2))</f>
        <v>51.17</v>
      </c>
      <c r="D18" s="283">
        <f>IF('Intl Priority'!$D$105&gt;ROUND(((1-IntPriorityDiscount-IntPriorityIncentive)*'Intl Priority'!D15),2),ROUND('Intl Priority'!$D$105*(1+International_Fuel_Surcharge),2),ROUND(((1-IntPriorityDiscount-IntPriorityIncentive)*'Intl Priority'!D15)*(1+International_Fuel_Surcharge),2))</f>
        <v>53.59</v>
      </c>
      <c r="E18" s="283">
        <f>IF('Intl Priority'!$E$105&gt;ROUND(((1-IntPriorityDiscount-IntPriorityIncentive)*'Intl Priority'!E15),2),ROUND('Intl Priority'!$E$105*(1+International_Fuel_Surcharge),2),ROUND(((1-IntPriorityDiscount-IntPriorityIncentive)*'Intl Priority'!E15)*(1+International_Fuel_Surcharge),2))</f>
        <v>61.36</v>
      </c>
      <c r="F18" s="283">
        <f>IF('Intl Priority'!$F$105&gt;ROUND(((1-IntPriorityDiscount-IntPriorityIncentive)*'Intl Priority'!F15),2),ROUND('Intl Priority'!$F$105*(1+International_Fuel_Surcharge),2),ROUND(((1-IntPriorityDiscount-IntPriorityIncentive)*'Intl Priority'!F15)*(1+International_Fuel_Surcharge),2))</f>
        <v>98.66</v>
      </c>
      <c r="G18" s="283">
        <f>IF('Intl Priority'!$G$105&gt;ROUND(((1-IntPriorityDiscount-IntPriorityIncentive)*'Intl Priority'!G15),2),ROUND('Intl Priority'!$G$105*(1+International_Fuel_Surcharge),2),ROUND(((1-IntPriorityDiscount-IntPriorityIncentive)*'Intl Priority'!G15)*(1+International_Fuel_Surcharge),2))</f>
        <v>67.17</v>
      </c>
      <c r="H18" s="283">
        <f>IF('Intl Priority'!$H$105&gt;ROUND(((1-IntPriorityDiscount-IntPriorityIncentive)*'Intl Priority'!H15),2),ROUND('Intl Priority'!$H$105*(1+International_Fuel_Surcharge),2),ROUND(((1-IntPriorityDiscount-IntPriorityIncentive)*'Intl Priority'!H15)*(1+International_Fuel_Surcharge),2))</f>
        <v>64.94</v>
      </c>
      <c r="I18" s="283">
        <f>IF('Intl Priority'!$I$105&gt;ROUND(((1-IntPriorityDiscount-IntPriorityIncentive)*'Intl Priority'!I15),2),ROUND('Intl Priority'!$I$105*(1+International_Fuel_Surcharge),2),ROUND(((1-IntPriorityDiscount-IntPriorityIncentive)*'Intl Priority'!I15)*(1+International_Fuel_Surcharge),2))</f>
        <v>67.47</v>
      </c>
      <c r="J18" s="283">
        <f>IF('Intl Priority'!$J$105&gt;ROUND(((1-IntPriorityDiscount-IntPriorityIncentive)*'Intl Priority'!J15),2),ROUND('Intl Priority'!$J$105*(1+International_Fuel_Surcharge),2),ROUND(((1-IntPriorityDiscount-IntPriorityIncentive)*'Intl Priority'!J15)*(1+International_Fuel_Surcharge),2))</f>
        <v>46.72</v>
      </c>
      <c r="K18" s="283">
        <f>IF('Intl Priority'!$K$105&gt;ROUND(((1-IntPriorityDiscount-IntPriorityIncentive)*'Intl Priority'!K15),2),ROUND('Intl Priority'!$K$105*(1+International_Fuel_Surcharge),2),ROUND(((1-IntPriorityDiscount-IntPriorityIncentive)*'Intl Priority'!K15)*(1+International_Fuel_Surcharge),2))</f>
        <v>87.48</v>
      </c>
      <c r="L18" s="283">
        <f>IF('Intl Priority'!$L$105&gt;ROUND(((1-IntPriorityDiscount-IntPriorityIncentive)*'Intl Priority'!L15),2),ROUND('Intl Priority'!$L$105*(1+International_Fuel_Surcharge),2),ROUND(((1-IntPriorityDiscount-IntPriorityIncentive)*'Intl Priority'!L15)*(1+International_Fuel_Surcharge),2))</f>
        <v>76.47</v>
      </c>
      <c r="M18" s="283">
        <f>IF('Intl Priority'!$M$105&gt;ROUND(((1-IntPriorityDiscount-IntPriorityIncentive)*'Intl Priority'!M15),2),ROUND('Intl Priority'!$M$105*(1+International_Fuel_Surcharge),2),ROUND(((1-IntPriorityDiscount-IntPriorityIncentive)*'Intl Priority'!M15)*(1+International_Fuel_Surcharge),2))</f>
        <v>110.97</v>
      </c>
      <c r="N18" s="283">
        <f>IF('Intl Priority'!$N$105&gt;ROUND(((1-IntPriorityDiscount-IntPriorityIncentive)*'Intl Priority'!N15),2),ROUND('Intl Priority'!$N$105*(1+International_Fuel_Surcharge),2),ROUND(((1-IntPriorityDiscount-IntPriorityIncentive)*'Intl Priority'!N15)*(1+International_Fuel_Surcharge),2))</f>
        <v>110.05</v>
      </c>
      <c r="O18" s="283">
        <f>IF('Intl Priority'!$O$105&gt;ROUND(((1-IntPriorityDiscount-IntPriorityIncentive)*'Intl Priority'!O15),2),ROUND('Intl Priority'!$O$105*(1+International_Fuel_Surcharge),2),ROUND(((1-IntPriorityDiscount-IntPriorityIncentive)*'Intl Priority'!O15)*(1+International_Fuel_Surcharge),2))</f>
        <v>75.25</v>
      </c>
      <c r="P18" s="283">
        <f>IF('Intl Priority'!$P$105&gt;ROUND(((1-IntPriorityDiscount-IntPriorityIncentive)*'Intl Priority'!P15),2),ROUND('Intl Priority'!$P$105*(1+International_Fuel_Surcharge),2),ROUND(((1-IntPriorityDiscount-IntPriorityIncentive)*'Intl Priority'!P15)*(1+International_Fuel_Surcharge),2))</f>
        <v>71.93</v>
      </c>
      <c r="Q18" s="283">
        <f>IF('Intl Priority'!$Q$105&gt;ROUND(((1-PuertoRicoDiscount)*'Intl Priority'!Q15),2),ROUND('Intl Priority'!$Q$105*(1+International_Fuel_Surcharge),2),ROUND(((1-PuertoRicoDiscount)*'Intl Priority'!Q15)*(1+International_Fuel_Surcharge),2))</f>
        <v>129.65</v>
      </c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274">
        <v>14.0</v>
      </c>
      <c r="B19" s="283">
        <f>IF('Intl Priority'!$B$105&gt;ROUND(((1-IntPriorityDiscount-IntPriorityIncentive)*'Intl Priority'!B16),2),ROUND('Intl Priority'!$B$105*(1+International_Fuel_Surcharge),2),ROUND(((1-IntPriorityDiscount-IntPriorityIncentive)*'Intl Priority'!B16)*(1+International_Fuel_Surcharge),2))</f>
        <v>45.85</v>
      </c>
      <c r="C19" s="283">
        <f>IF('Intl Priority'!$C$105&gt;ROUND(((1-IntPriorityDiscount-IntPriorityIncentive)*'Intl Priority'!C16),2),ROUND('Intl Priority'!$C$105*(1+International_Fuel_Surcharge),2),ROUND(((1-IntPriorityDiscount-IntPriorityIncentive)*'Intl Priority'!C16)*(1+International_Fuel_Surcharge),2))</f>
        <v>53.84</v>
      </c>
      <c r="D19" s="283">
        <f>IF('Intl Priority'!$D$105&gt;ROUND(((1-IntPriorityDiscount-IntPriorityIncentive)*'Intl Priority'!D16),2),ROUND('Intl Priority'!$D$105*(1+International_Fuel_Surcharge),2),ROUND(((1-IntPriorityDiscount-IntPriorityIncentive)*'Intl Priority'!D16)*(1+International_Fuel_Surcharge),2))</f>
        <v>59.46</v>
      </c>
      <c r="E19" s="283">
        <f>IF('Intl Priority'!$E$105&gt;ROUND(((1-IntPriorityDiscount-IntPriorityIncentive)*'Intl Priority'!E16),2),ROUND('Intl Priority'!$E$105*(1+International_Fuel_Surcharge),2),ROUND(((1-IntPriorityDiscount-IntPriorityIncentive)*'Intl Priority'!E16)*(1+International_Fuel_Surcharge),2))</f>
        <v>69.38</v>
      </c>
      <c r="F19" s="283">
        <f>IF('Intl Priority'!$F$105&gt;ROUND(((1-IntPriorityDiscount-IntPriorityIncentive)*'Intl Priority'!F16),2),ROUND('Intl Priority'!$F$105*(1+International_Fuel_Surcharge),2),ROUND(((1-IntPriorityDiscount-IntPriorityIncentive)*'Intl Priority'!F16)*(1+International_Fuel_Surcharge),2))</f>
        <v>114.18</v>
      </c>
      <c r="G19" s="283">
        <f>IF('Intl Priority'!$G$105&gt;ROUND(((1-IntPriorityDiscount-IntPriorityIncentive)*'Intl Priority'!G16),2),ROUND('Intl Priority'!$G$105*(1+International_Fuel_Surcharge),2),ROUND(((1-IntPriorityDiscount-IntPriorityIncentive)*'Intl Priority'!G16)*(1+International_Fuel_Surcharge),2))</f>
        <v>71.2</v>
      </c>
      <c r="H19" s="283">
        <f>IF('Intl Priority'!$H$105&gt;ROUND(((1-IntPriorityDiscount-IntPriorityIncentive)*'Intl Priority'!H16),2),ROUND('Intl Priority'!$H$105*(1+International_Fuel_Surcharge),2),ROUND(((1-IntPriorityDiscount-IntPriorityIncentive)*'Intl Priority'!H16)*(1+International_Fuel_Surcharge),2))</f>
        <v>69.44</v>
      </c>
      <c r="I19" s="283">
        <f>IF('Intl Priority'!$I$105&gt;ROUND(((1-IntPriorityDiscount-IntPriorityIncentive)*'Intl Priority'!I16),2),ROUND('Intl Priority'!$I$105*(1+International_Fuel_Surcharge),2),ROUND(((1-IntPriorityDiscount-IntPriorityIncentive)*'Intl Priority'!I16)*(1+International_Fuel_Surcharge),2))</f>
        <v>74.52</v>
      </c>
      <c r="J19" s="283">
        <f>IF('Intl Priority'!$J$105&gt;ROUND(((1-IntPriorityDiscount-IntPriorityIncentive)*'Intl Priority'!J16),2),ROUND('Intl Priority'!$J$105*(1+International_Fuel_Surcharge),2),ROUND(((1-IntPriorityDiscount-IntPriorityIncentive)*'Intl Priority'!J16)*(1+International_Fuel_Surcharge),2))</f>
        <v>48.56</v>
      </c>
      <c r="K19" s="283">
        <f>IF('Intl Priority'!$K$105&gt;ROUND(((1-IntPriorityDiscount-IntPriorityIncentive)*'Intl Priority'!K16),2),ROUND('Intl Priority'!$K$105*(1+International_Fuel_Surcharge),2),ROUND(((1-IntPriorityDiscount-IntPriorityIncentive)*'Intl Priority'!K16)*(1+International_Fuel_Surcharge),2))</f>
        <v>100.48</v>
      </c>
      <c r="L19" s="283">
        <f>IF('Intl Priority'!$L$105&gt;ROUND(((1-IntPriorityDiscount-IntPriorityIncentive)*'Intl Priority'!L16),2),ROUND('Intl Priority'!$L$105*(1+International_Fuel_Surcharge),2),ROUND(((1-IntPriorityDiscount-IntPriorityIncentive)*'Intl Priority'!L16)*(1+International_Fuel_Surcharge),2))</f>
        <v>87.75</v>
      </c>
      <c r="M19" s="283">
        <f>IF('Intl Priority'!$M$105&gt;ROUND(((1-IntPriorityDiscount-IntPriorityIncentive)*'Intl Priority'!M16),2),ROUND('Intl Priority'!$M$105*(1+International_Fuel_Surcharge),2),ROUND(((1-IntPriorityDiscount-IntPriorityIncentive)*'Intl Priority'!M16)*(1+International_Fuel_Surcharge),2))</f>
        <v>124.88</v>
      </c>
      <c r="N19" s="283">
        <f>IF('Intl Priority'!$N$105&gt;ROUND(((1-IntPriorityDiscount-IntPriorityIncentive)*'Intl Priority'!N16),2),ROUND('Intl Priority'!$N$105*(1+International_Fuel_Surcharge),2),ROUND(((1-IntPriorityDiscount-IntPriorityIncentive)*'Intl Priority'!N16)*(1+International_Fuel_Surcharge),2))</f>
        <v>117.06</v>
      </c>
      <c r="O19" s="283">
        <f>IF('Intl Priority'!$O$105&gt;ROUND(((1-IntPriorityDiscount-IntPriorityIncentive)*'Intl Priority'!O16),2),ROUND('Intl Priority'!$O$105*(1+International_Fuel_Surcharge),2),ROUND(((1-IntPriorityDiscount-IntPriorityIncentive)*'Intl Priority'!O16)*(1+International_Fuel_Surcharge),2))</f>
        <v>86.92</v>
      </c>
      <c r="P19" s="283">
        <f>IF('Intl Priority'!$P$105&gt;ROUND(((1-IntPriorityDiscount-IntPriorityIncentive)*'Intl Priority'!P16),2),ROUND('Intl Priority'!$P$105*(1+International_Fuel_Surcharge),2),ROUND(((1-IntPriorityDiscount-IntPriorityIncentive)*'Intl Priority'!P16)*(1+International_Fuel_Surcharge),2))</f>
        <v>92.08</v>
      </c>
      <c r="Q19" s="283">
        <f>IF('Intl Priority'!$Q$105&gt;ROUND(((1-PuertoRicoDiscount)*'Intl Priority'!Q16),2),ROUND('Intl Priority'!$Q$105*(1+International_Fuel_Surcharge),2),ROUND(((1-PuertoRicoDiscount)*'Intl Priority'!Q16)*(1+International_Fuel_Surcharge),2))</f>
        <v>135.53</v>
      </c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274">
        <v>15.0</v>
      </c>
      <c r="B20" s="283">
        <f>IF('Intl Priority'!$B$105&gt;ROUND(((1-IntPriorityDiscount-IntPriorityIncentive)*'Intl Priority'!B17),2),ROUND('Intl Priority'!$B$105*(1+International_Fuel_Surcharge),2),ROUND(((1-IntPriorityDiscount-IntPriorityIncentive)*'Intl Priority'!B17)*(1+International_Fuel_Surcharge),2))</f>
        <v>46.47</v>
      </c>
      <c r="C20" s="283">
        <f>IF('Intl Priority'!$C$105&gt;ROUND(((1-IntPriorityDiscount-IntPriorityIncentive)*'Intl Priority'!C17),2),ROUND('Intl Priority'!$C$105*(1+International_Fuel_Surcharge),2),ROUND(((1-IntPriorityDiscount-IntPriorityIncentive)*'Intl Priority'!C17)*(1+International_Fuel_Surcharge),2))</f>
        <v>55.65</v>
      </c>
      <c r="D20" s="283">
        <f>IF('Intl Priority'!$D$105&gt;ROUND(((1-IntPriorityDiscount-IntPriorityIncentive)*'Intl Priority'!D17),2),ROUND('Intl Priority'!$D$105*(1+International_Fuel_Surcharge),2),ROUND(((1-IntPriorityDiscount-IntPriorityIncentive)*'Intl Priority'!D17)*(1+International_Fuel_Surcharge),2))</f>
        <v>63.64</v>
      </c>
      <c r="E20" s="283">
        <f>IF('Intl Priority'!$E$105&gt;ROUND(((1-IntPriorityDiscount-IntPriorityIncentive)*'Intl Priority'!E17),2),ROUND('Intl Priority'!$E$105*(1+International_Fuel_Surcharge),2),ROUND(((1-IntPriorityDiscount-IntPriorityIncentive)*'Intl Priority'!E17)*(1+International_Fuel_Surcharge),2))</f>
        <v>70.18</v>
      </c>
      <c r="F20" s="283">
        <f>IF('Intl Priority'!$F$105&gt;ROUND(((1-IntPriorityDiscount-IntPriorityIncentive)*'Intl Priority'!F17),2),ROUND('Intl Priority'!$F$105*(1+International_Fuel_Surcharge),2),ROUND(((1-IntPriorityDiscount-IntPriorityIncentive)*'Intl Priority'!F17)*(1+International_Fuel_Surcharge),2))</f>
        <v>118.26</v>
      </c>
      <c r="G20" s="283">
        <f>IF('Intl Priority'!$G$105&gt;ROUND(((1-IntPriorityDiscount-IntPriorityIncentive)*'Intl Priority'!G17),2),ROUND('Intl Priority'!$G$105*(1+International_Fuel_Surcharge),2),ROUND(((1-IntPriorityDiscount-IntPriorityIncentive)*'Intl Priority'!G17)*(1+International_Fuel_Surcharge),2))</f>
        <v>73.78</v>
      </c>
      <c r="H20" s="283">
        <f>IF('Intl Priority'!$H$105&gt;ROUND(((1-IntPriorityDiscount-IntPriorityIncentive)*'Intl Priority'!H17),2),ROUND('Intl Priority'!$H$105*(1+International_Fuel_Surcharge),2),ROUND(((1-IntPriorityDiscount-IntPriorityIncentive)*'Intl Priority'!H17)*(1+International_Fuel_Surcharge),2))</f>
        <v>73.28</v>
      </c>
      <c r="I20" s="283">
        <f>IF('Intl Priority'!$I$105&gt;ROUND(((1-IntPriorityDiscount-IntPriorityIncentive)*'Intl Priority'!I17),2),ROUND('Intl Priority'!$I$105*(1+International_Fuel_Surcharge),2),ROUND(((1-IntPriorityDiscount-IntPriorityIncentive)*'Intl Priority'!I17)*(1+International_Fuel_Surcharge),2))</f>
        <v>79.09</v>
      </c>
      <c r="J20" s="283">
        <f>IF('Intl Priority'!$J$105&gt;ROUND(((1-IntPriorityDiscount-IntPriorityIncentive)*'Intl Priority'!J17),2),ROUND('Intl Priority'!$J$105*(1+International_Fuel_Surcharge),2),ROUND(((1-IntPriorityDiscount-IntPriorityIncentive)*'Intl Priority'!J17)*(1+International_Fuel_Surcharge),2))</f>
        <v>54.17</v>
      </c>
      <c r="K20" s="283">
        <f>IF('Intl Priority'!$K$105&gt;ROUND(((1-IntPriorityDiscount-IntPriorityIncentive)*'Intl Priority'!K17),2),ROUND('Intl Priority'!$K$105*(1+International_Fuel_Surcharge),2),ROUND(((1-IntPriorityDiscount-IntPriorityIncentive)*'Intl Priority'!K17)*(1+International_Fuel_Surcharge),2))</f>
        <v>105.41</v>
      </c>
      <c r="L20" s="283">
        <f>IF('Intl Priority'!$L$105&gt;ROUND(((1-IntPriorityDiscount-IntPriorityIncentive)*'Intl Priority'!L17),2),ROUND('Intl Priority'!$L$105*(1+International_Fuel_Surcharge),2),ROUND(((1-IntPriorityDiscount-IntPriorityIncentive)*'Intl Priority'!L17)*(1+International_Fuel_Surcharge),2))</f>
        <v>95.74</v>
      </c>
      <c r="M20" s="283">
        <f>IF('Intl Priority'!$M$105&gt;ROUND(((1-IntPriorityDiscount-IntPriorityIncentive)*'Intl Priority'!M17),2),ROUND('Intl Priority'!$M$105*(1+International_Fuel_Surcharge),2),ROUND(((1-IntPriorityDiscount-IntPriorityIncentive)*'Intl Priority'!M17)*(1+International_Fuel_Surcharge),2))</f>
        <v>131.37</v>
      </c>
      <c r="N20" s="283">
        <f>IF('Intl Priority'!$N$105&gt;ROUND(((1-IntPriorityDiscount-IntPriorityIncentive)*'Intl Priority'!N17),2),ROUND('Intl Priority'!$N$105*(1+International_Fuel_Surcharge),2),ROUND(((1-IntPriorityDiscount-IntPriorityIncentive)*'Intl Priority'!N17)*(1+International_Fuel_Surcharge),2))</f>
        <v>125.26</v>
      </c>
      <c r="O20" s="283">
        <f>IF('Intl Priority'!$O$105&gt;ROUND(((1-IntPriorityDiscount-IntPriorityIncentive)*'Intl Priority'!O17),2),ROUND('Intl Priority'!$O$105*(1+International_Fuel_Surcharge),2),ROUND(((1-IntPriorityDiscount-IntPriorityIncentive)*'Intl Priority'!O17)*(1+International_Fuel_Surcharge),2))</f>
        <v>91.2</v>
      </c>
      <c r="P20" s="283">
        <f>IF('Intl Priority'!$P$105&gt;ROUND(((1-IntPriorityDiscount-IntPriorityIncentive)*'Intl Priority'!P17),2),ROUND('Intl Priority'!$P$105*(1+International_Fuel_Surcharge),2),ROUND(((1-IntPriorityDiscount-IntPriorityIncentive)*'Intl Priority'!P17)*(1+International_Fuel_Surcharge),2))</f>
        <v>94.09</v>
      </c>
      <c r="Q20" s="283">
        <f>IF('Intl Priority'!$Q$105&gt;ROUND(((1-PuertoRicoDiscount)*'Intl Priority'!Q17),2),ROUND('Intl Priority'!$Q$105*(1+International_Fuel_Surcharge),2),ROUND(((1-PuertoRicoDiscount)*'Intl Priority'!Q17)*(1+International_Fuel_Surcharge),2))</f>
        <v>140.33</v>
      </c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274">
        <v>16.0</v>
      </c>
      <c r="B21" s="283">
        <f>IF('Intl Priority'!$B$105&gt;ROUND(((1-IntPriorityDiscount-IntPriorityIncentive)*'Intl Priority'!B18),2),ROUND('Intl Priority'!$B$105*(1+International_Fuel_Surcharge),2),ROUND(((1-IntPriorityDiscount-IntPriorityIncentive)*'Intl Priority'!B18)*(1+International_Fuel_Surcharge),2))</f>
        <v>50.25</v>
      </c>
      <c r="C21" s="283">
        <f>IF('Intl Priority'!$C$105&gt;ROUND(((1-IntPriorityDiscount-IntPriorityIncentive)*'Intl Priority'!C18),2),ROUND('Intl Priority'!$C$105*(1+International_Fuel_Surcharge),2),ROUND(((1-IntPriorityDiscount-IntPriorityIncentive)*'Intl Priority'!C18)*(1+International_Fuel_Surcharge),2))</f>
        <v>57.47</v>
      </c>
      <c r="D21" s="283">
        <f>IF('Intl Priority'!$D$105&gt;ROUND(((1-IntPriorityDiscount-IntPriorityIncentive)*'Intl Priority'!D18),2),ROUND('Intl Priority'!$D$105*(1+International_Fuel_Surcharge),2),ROUND(((1-IntPriorityDiscount-IntPriorityIncentive)*'Intl Priority'!D18)*(1+International_Fuel_Surcharge),2))</f>
        <v>64.05</v>
      </c>
      <c r="E21" s="283">
        <f>IF('Intl Priority'!$E$105&gt;ROUND(((1-IntPriorityDiscount-IntPriorityIncentive)*'Intl Priority'!E18),2),ROUND('Intl Priority'!$E$105*(1+International_Fuel_Surcharge),2),ROUND(((1-IntPriorityDiscount-IntPriorityIncentive)*'Intl Priority'!E18)*(1+International_Fuel_Surcharge),2))</f>
        <v>74.63</v>
      </c>
      <c r="F21" s="283">
        <f>IF('Intl Priority'!$F$105&gt;ROUND(((1-IntPriorityDiscount-IntPriorityIncentive)*'Intl Priority'!F18),2),ROUND('Intl Priority'!$F$105*(1+International_Fuel_Surcharge),2),ROUND(((1-IntPriorityDiscount-IntPriorityIncentive)*'Intl Priority'!F18)*(1+International_Fuel_Surcharge),2))</f>
        <v>134.77</v>
      </c>
      <c r="G21" s="283">
        <f>IF('Intl Priority'!$G$105&gt;ROUND(((1-IntPriorityDiscount-IntPriorityIncentive)*'Intl Priority'!G18),2),ROUND('Intl Priority'!$G$105*(1+International_Fuel_Surcharge),2),ROUND(((1-IntPriorityDiscount-IntPriorityIncentive)*'Intl Priority'!G18)*(1+International_Fuel_Surcharge),2))</f>
        <v>76.49</v>
      </c>
      <c r="H21" s="283">
        <f>IF('Intl Priority'!$H$105&gt;ROUND(((1-IntPriorityDiscount-IntPriorityIncentive)*'Intl Priority'!H18),2),ROUND('Intl Priority'!$H$105*(1+International_Fuel_Surcharge),2),ROUND(((1-IntPriorityDiscount-IntPriorityIncentive)*'Intl Priority'!H18)*(1+International_Fuel_Surcharge),2))</f>
        <v>76.43</v>
      </c>
      <c r="I21" s="283">
        <f>IF('Intl Priority'!$I$105&gt;ROUND(((1-IntPriorityDiscount-IntPriorityIncentive)*'Intl Priority'!I18),2),ROUND('Intl Priority'!$I$105*(1+International_Fuel_Surcharge),2),ROUND(((1-IntPriorityDiscount-IntPriorityIncentive)*'Intl Priority'!I18)*(1+International_Fuel_Surcharge),2))</f>
        <v>82.2</v>
      </c>
      <c r="J21" s="283">
        <f>IF('Intl Priority'!$J$105&gt;ROUND(((1-IntPriorityDiscount-IntPriorityIncentive)*'Intl Priority'!J18),2),ROUND('Intl Priority'!$J$105*(1+International_Fuel_Surcharge),2),ROUND(((1-IntPriorityDiscount-IntPriorityIncentive)*'Intl Priority'!J18)*(1+International_Fuel_Surcharge),2))</f>
        <v>57.67</v>
      </c>
      <c r="K21" s="283">
        <f>IF('Intl Priority'!$K$105&gt;ROUND(((1-IntPriorityDiscount-IntPriorityIncentive)*'Intl Priority'!K18),2),ROUND('Intl Priority'!$K$105*(1+International_Fuel_Surcharge),2),ROUND(((1-IntPriorityDiscount-IntPriorityIncentive)*'Intl Priority'!K18)*(1+International_Fuel_Surcharge),2))</f>
        <v>109.63</v>
      </c>
      <c r="L21" s="283">
        <f>IF('Intl Priority'!$L$105&gt;ROUND(((1-IntPriorityDiscount-IntPriorityIncentive)*'Intl Priority'!L18),2),ROUND('Intl Priority'!$L$105*(1+International_Fuel_Surcharge),2),ROUND(((1-IntPriorityDiscount-IntPriorityIncentive)*'Intl Priority'!L18)*(1+International_Fuel_Surcharge),2))</f>
        <v>97.01</v>
      </c>
      <c r="M21" s="283">
        <f>IF('Intl Priority'!$M$105&gt;ROUND(((1-IntPriorityDiscount-IntPriorityIncentive)*'Intl Priority'!M18),2),ROUND('Intl Priority'!$M$105*(1+International_Fuel_Surcharge),2),ROUND(((1-IntPriorityDiscount-IntPriorityIncentive)*'Intl Priority'!M18)*(1+International_Fuel_Surcharge),2))</f>
        <v>146.17</v>
      </c>
      <c r="N21" s="283">
        <f>IF('Intl Priority'!$N$105&gt;ROUND(((1-IntPriorityDiscount-IntPriorityIncentive)*'Intl Priority'!N18),2),ROUND('Intl Priority'!$N$105*(1+International_Fuel_Surcharge),2),ROUND(((1-IntPriorityDiscount-IntPriorityIncentive)*'Intl Priority'!N18)*(1+International_Fuel_Surcharge),2))</f>
        <v>137.36</v>
      </c>
      <c r="O21" s="283">
        <f>IF('Intl Priority'!$O$105&gt;ROUND(((1-IntPriorityDiscount-IntPriorityIncentive)*'Intl Priority'!O18),2),ROUND('Intl Priority'!$O$105*(1+International_Fuel_Surcharge),2),ROUND(((1-IntPriorityDiscount-IntPriorityIncentive)*'Intl Priority'!O18)*(1+International_Fuel_Surcharge),2))</f>
        <v>93.39</v>
      </c>
      <c r="P21" s="283">
        <f>IF('Intl Priority'!$P$105&gt;ROUND(((1-IntPriorityDiscount-IntPriorityIncentive)*'Intl Priority'!P18),2),ROUND('Intl Priority'!$P$105*(1+International_Fuel_Surcharge),2),ROUND(((1-IntPriorityDiscount-IntPriorityIncentive)*'Intl Priority'!P18)*(1+International_Fuel_Surcharge),2))</f>
        <v>95.33</v>
      </c>
      <c r="Q21" s="283">
        <f>IF('Intl Priority'!$Q$105&gt;ROUND(((1-PuertoRicoDiscount)*'Intl Priority'!Q18),2),ROUND('Intl Priority'!$Q$105*(1+International_Fuel_Surcharge),2),ROUND(((1-PuertoRicoDiscount)*'Intl Priority'!Q18)*(1+International_Fuel_Surcharge),2))</f>
        <v>145.84</v>
      </c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274">
        <v>17.0</v>
      </c>
      <c r="B22" s="283">
        <f>IF('Intl Priority'!$B$105&gt;ROUND(((1-IntPriorityDiscount-IntPriorityIncentive)*'Intl Priority'!B19),2),ROUND('Intl Priority'!$B$105*(1+International_Fuel_Surcharge),2),ROUND(((1-IntPriorityDiscount-IntPriorityIncentive)*'Intl Priority'!B19)*(1+International_Fuel_Surcharge),2))</f>
        <v>51.66</v>
      </c>
      <c r="C22" s="283">
        <f>IF('Intl Priority'!$C$105&gt;ROUND(((1-IntPriorityDiscount-IntPriorityIncentive)*'Intl Priority'!C19),2),ROUND('Intl Priority'!$C$105*(1+International_Fuel_Surcharge),2),ROUND(((1-IntPriorityDiscount-IntPriorityIncentive)*'Intl Priority'!C19)*(1+International_Fuel_Surcharge),2))</f>
        <v>59.15</v>
      </c>
      <c r="D22" s="283">
        <f>IF('Intl Priority'!$D$105&gt;ROUND(((1-IntPriorityDiscount-IntPriorityIncentive)*'Intl Priority'!D19),2),ROUND('Intl Priority'!$D$105*(1+International_Fuel_Surcharge),2),ROUND(((1-IntPriorityDiscount-IntPriorityIncentive)*'Intl Priority'!D19)*(1+International_Fuel_Surcharge),2))</f>
        <v>64.18</v>
      </c>
      <c r="E22" s="283">
        <f>IF('Intl Priority'!$E$105&gt;ROUND(((1-IntPriorityDiscount-IntPriorityIncentive)*'Intl Priority'!E19),2),ROUND('Intl Priority'!$E$105*(1+International_Fuel_Surcharge),2),ROUND(((1-IntPriorityDiscount-IntPriorityIncentive)*'Intl Priority'!E19)*(1+International_Fuel_Surcharge),2))</f>
        <v>75.09</v>
      </c>
      <c r="F22" s="283">
        <f>IF('Intl Priority'!$F$105&gt;ROUND(((1-IntPriorityDiscount-IntPriorityIncentive)*'Intl Priority'!F19),2),ROUND('Intl Priority'!$F$105*(1+International_Fuel_Surcharge),2),ROUND(((1-IntPriorityDiscount-IntPriorityIncentive)*'Intl Priority'!F19)*(1+International_Fuel_Surcharge),2))</f>
        <v>140.19</v>
      </c>
      <c r="G22" s="283">
        <f>IF('Intl Priority'!$G$105&gt;ROUND(((1-IntPriorityDiscount-IntPriorityIncentive)*'Intl Priority'!G19),2),ROUND('Intl Priority'!$G$105*(1+International_Fuel_Surcharge),2),ROUND(((1-IntPriorityDiscount-IntPriorityIncentive)*'Intl Priority'!G19)*(1+International_Fuel_Surcharge),2))</f>
        <v>78.54</v>
      </c>
      <c r="H22" s="283">
        <f>IF('Intl Priority'!$H$105&gt;ROUND(((1-IntPriorityDiscount-IntPriorityIncentive)*'Intl Priority'!H19),2),ROUND('Intl Priority'!$H$105*(1+International_Fuel_Surcharge),2),ROUND(((1-IntPriorityDiscount-IntPriorityIncentive)*'Intl Priority'!H19)*(1+International_Fuel_Surcharge),2))</f>
        <v>76.75</v>
      </c>
      <c r="I22" s="283">
        <f>IF('Intl Priority'!$I$105&gt;ROUND(((1-IntPriorityDiscount-IntPriorityIncentive)*'Intl Priority'!I19),2),ROUND('Intl Priority'!$I$105*(1+International_Fuel_Surcharge),2),ROUND(((1-IntPriorityDiscount-IntPriorityIncentive)*'Intl Priority'!I19)*(1+International_Fuel_Surcharge),2))</f>
        <v>82.51</v>
      </c>
      <c r="J22" s="283">
        <f>IF('Intl Priority'!$J$105&gt;ROUND(((1-IntPriorityDiscount-IntPriorityIncentive)*'Intl Priority'!J19),2),ROUND('Intl Priority'!$J$105*(1+International_Fuel_Surcharge),2),ROUND(((1-IntPriorityDiscount-IntPriorityIncentive)*'Intl Priority'!J19)*(1+International_Fuel_Surcharge),2))</f>
        <v>58.02</v>
      </c>
      <c r="K22" s="283">
        <f>IF('Intl Priority'!$K$105&gt;ROUND(((1-IntPriorityDiscount-IntPriorityIncentive)*'Intl Priority'!K19),2),ROUND('Intl Priority'!$K$105*(1+International_Fuel_Surcharge),2),ROUND(((1-IntPriorityDiscount-IntPriorityIncentive)*'Intl Priority'!K19)*(1+International_Fuel_Surcharge),2))</f>
        <v>112.53</v>
      </c>
      <c r="L22" s="283">
        <f>IF('Intl Priority'!$L$105&gt;ROUND(((1-IntPriorityDiscount-IntPriorityIncentive)*'Intl Priority'!L19),2),ROUND('Intl Priority'!$L$105*(1+International_Fuel_Surcharge),2),ROUND(((1-IntPriorityDiscount-IntPriorityIncentive)*'Intl Priority'!L19)*(1+International_Fuel_Surcharge),2))</f>
        <v>97.21</v>
      </c>
      <c r="M22" s="283">
        <f>IF('Intl Priority'!$M$105&gt;ROUND(((1-IntPriorityDiscount-IntPriorityIncentive)*'Intl Priority'!M19),2),ROUND('Intl Priority'!$M$105*(1+International_Fuel_Surcharge),2),ROUND(((1-IntPriorityDiscount-IntPriorityIncentive)*'Intl Priority'!M19)*(1+International_Fuel_Surcharge),2))</f>
        <v>147.72</v>
      </c>
      <c r="N22" s="283">
        <f>IF('Intl Priority'!$N$105&gt;ROUND(((1-IntPriorityDiscount-IntPriorityIncentive)*'Intl Priority'!N19),2),ROUND('Intl Priority'!$N$105*(1+International_Fuel_Surcharge),2),ROUND(((1-IntPriorityDiscount-IntPriorityIncentive)*'Intl Priority'!N19)*(1+International_Fuel_Surcharge),2))</f>
        <v>138.58</v>
      </c>
      <c r="O22" s="283">
        <f>IF('Intl Priority'!$O$105&gt;ROUND(((1-IntPriorityDiscount-IntPriorityIncentive)*'Intl Priority'!O19),2),ROUND('Intl Priority'!$O$105*(1+International_Fuel_Surcharge),2),ROUND(((1-IntPriorityDiscount-IntPriorityIncentive)*'Intl Priority'!O19)*(1+International_Fuel_Surcharge),2))</f>
        <v>93.61</v>
      </c>
      <c r="P22" s="283">
        <f>IF('Intl Priority'!$P$105&gt;ROUND(((1-IntPriorityDiscount-IntPriorityIncentive)*'Intl Priority'!P19),2),ROUND('Intl Priority'!$P$105*(1+International_Fuel_Surcharge),2),ROUND(((1-IntPriorityDiscount-IntPriorityIncentive)*'Intl Priority'!P19)*(1+International_Fuel_Surcharge),2))</f>
        <v>95.73</v>
      </c>
      <c r="Q22" s="283">
        <f>IF('Intl Priority'!$Q$105&gt;ROUND(((1-PuertoRicoDiscount)*'Intl Priority'!Q19),2),ROUND('Intl Priority'!$Q$105*(1+International_Fuel_Surcharge),2),ROUND(((1-PuertoRicoDiscount)*'Intl Priority'!Q19)*(1+International_Fuel_Surcharge),2))</f>
        <v>149.07</v>
      </c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274">
        <v>18.0</v>
      </c>
      <c r="B23" s="283">
        <f>IF('Intl Priority'!$B$105&gt;ROUND(((1-IntPriorityDiscount-IntPriorityIncentive)*'Intl Priority'!B20),2),ROUND('Intl Priority'!$B$105*(1+International_Fuel_Surcharge),2),ROUND(((1-IntPriorityDiscount-IntPriorityIncentive)*'Intl Priority'!B20)*(1+International_Fuel_Surcharge),2))</f>
        <v>52.73</v>
      </c>
      <c r="C23" s="283">
        <f>IF('Intl Priority'!$C$105&gt;ROUND(((1-IntPriorityDiscount-IntPriorityIncentive)*'Intl Priority'!C20),2),ROUND('Intl Priority'!$C$105*(1+International_Fuel_Surcharge),2),ROUND(((1-IntPriorityDiscount-IntPriorityIncentive)*'Intl Priority'!C20)*(1+International_Fuel_Surcharge),2))</f>
        <v>59.32</v>
      </c>
      <c r="D23" s="283">
        <f>IF('Intl Priority'!$D$105&gt;ROUND(((1-IntPriorityDiscount-IntPriorityIncentive)*'Intl Priority'!D20),2),ROUND('Intl Priority'!$D$105*(1+International_Fuel_Surcharge),2),ROUND(((1-IntPriorityDiscount-IntPriorityIncentive)*'Intl Priority'!D20)*(1+International_Fuel_Surcharge),2))</f>
        <v>64.31</v>
      </c>
      <c r="E23" s="283">
        <f>IF('Intl Priority'!$E$105&gt;ROUND(((1-IntPriorityDiscount-IntPriorityIncentive)*'Intl Priority'!E20),2),ROUND('Intl Priority'!$E$105*(1+International_Fuel_Surcharge),2),ROUND(((1-IntPriorityDiscount-IntPriorityIncentive)*'Intl Priority'!E20)*(1+International_Fuel_Surcharge),2))</f>
        <v>75.33</v>
      </c>
      <c r="F23" s="283">
        <f>IF('Intl Priority'!$F$105&gt;ROUND(((1-IntPriorityDiscount-IntPriorityIncentive)*'Intl Priority'!F20),2),ROUND('Intl Priority'!$F$105*(1+International_Fuel_Surcharge),2),ROUND(((1-IntPriorityDiscount-IntPriorityIncentive)*'Intl Priority'!F20)*(1+International_Fuel_Surcharge),2))</f>
        <v>144.45</v>
      </c>
      <c r="G23" s="283">
        <f>IF('Intl Priority'!$G$105&gt;ROUND(((1-IntPriorityDiscount-IntPriorityIncentive)*'Intl Priority'!G20),2),ROUND('Intl Priority'!$G$105*(1+International_Fuel_Surcharge),2),ROUND(((1-IntPriorityDiscount-IntPriorityIncentive)*'Intl Priority'!G20)*(1+International_Fuel_Surcharge),2))</f>
        <v>78.75</v>
      </c>
      <c r="H23" s="283">
        <f>IF('Intl Priority'!$H$105&gt;ROUND(((1-IntPriorityDiscount-IntPriorityIncentive)*'Intl Priority'!H20),2),ROUND('Intl Priority'!$H$105*(1+International_Fuel_Surcharge),2),ROUND(((1-IntPriorityDiscount-IntPriorityIncentive)*'Intl Priority'!H20)*(1+International_Fuel_Surcharge),2))</f>
        <v>76.9</v>
      </c>
      <c r="I23" s="283">
        <f>IF('Intl Priority'!$I$105&gt;ROUND(((1-IntPriorityDiscount-IntPriorityIncentive)*'Intl Priority'!I20),2),ROUND('Intl Priority'!$I$105*(1+International_Fuel_Surcharge),2),ROUND(((1-IntPriorityDiscount-IntPriorityIncentive)*'Intl Priority'!I20)*(1+International_Fuel_Surcharge),2))</f>
        <v>82.67</v>
      </c>
      <c r="J23" s="283">
        <f>IF('Intl Priority'!$J$105&gt;ROUND(((1-IntPriorityDiscount-IntPriorityIncentive)*'Intl Priority'!J20),2),ROUND('Intl Priority'!$J$105*(1+International_Fuel_Surcharge),2),ROUND(((1-IntPriorityDiscount-IntPriorityIncentive)*'Intl Priority'!J20)*(1+International_Fuel_Surcharge),2))</f>
        <v>58.31</v>
      </c>
      <c r="K23" s="283">
        <f>IF('Intl Priority'!$K$105&gt;ROUND(((1-IntPriorityDiscount-IntPriorityIncentive)*'Intl Priority'!K20),2),ROUND('Intl Priority'!$K$105*(1+International_Fuel_Surcharge),2),ROUND(((1-IntPriorityDiscount-IntPriorityIncentive)*'Intl Priority'!K20)*(1+International_Fuel_Surcharge),2))</f>
        <v>112.82</v>
      </c>
      <c r="L23" s="283">
        <f>IF('Intl Priority'!$L$105&gt;ROUND(((1-IntPriorityDiscount-IntPriorityIncentive)*'Intl Priority'!L20),2),ROUND('Intl Priority'!$L$105*(1+International_Fuel_Surcharge),2),ROUND(((1-IntPriorityDiscount-IntPriorityIncentive)*'Intl Priority'!L20)*(1+International_Fuel_Surcharge),2))</f>
        <v>97.41</v>
      </c>
      <c r="M23" s="283">
        <f>IF('Intl Priority'!$M$105&gt;ROUND(((1-IntPriorityDiscount-IntPriorityIncentive)*'Intl Priority'!M20),2),ROUND('Intl Priority'!$M$105*(1+International_Fuel_Surcharge),2),ROUND(((1-IntPriorityDiscount-IntPriorityIncentive)*'Intl Priority'!M20)*(1+International_Fuel_Surcharge),2))</f>
        <v>152.93</v>
      </c>
      <c r="N23" s="283">
        <f>IF('Intl Priority'!$N$105&gt;ROUND(((1-IntPriorityDiscount-IntPriorityIncentive)*'Intl Priority'!N20),2),ROUND('Intl Priority'!$N$105*(1+International_Fuel_Surcharge),2),ROUND(((1-IntPriorityDiscount-IntPriorityIncentive)*'Intl Priority'!N20)*(1+International_Fuel_Surcharge),2))</f>
        <v>138.86</v>
      </c>
      <c r="O23" s="283">
        <f>IF('Intl Priority'!$O$105&gt;ROUND(((1-IntPriorityDiscount-IntPriorityIncentive)*'Intl Priority'!O20),2),ROUND('Intl Priority'!$O$105*(1+International_Fuel_Surcharge),2),ROUND(((1-IntPriorityDiscount-IntPriorityIncentive)*'Intl Priority'!O20)*(1+International_Fuel_Surcharge),2))</f>
        <v>93.8</v>
      </c>
      <c r="P23" s="283">
        <f>IF('Intl Priority'!$P$105&gt;ROUND(((1-IntPriorityDiscount-IntPriorityIncentive)*'Intl Priority'!P20),2),ROUND('Intl Priority'!$P$105*(1+International_Fuel_Surcharge),2),ROUND(((1-IntPriorityDiscount-IntPriorityIncentive)*'Intl Priority'!P20)*(1+International_Fuel_Surcharge),2))</f>
        <v>95.92</v>
      </c>
      <c r="Q23" s="283">
        <f>IF('Intl Priority'!$Q$105&gt;ROUND(((1-PuertoRicoDiscount)*'Intl Priority'!Q20),2),ROUND('Intl Priority'!$Q$105*(1+International_Fuel_Surcharge),2),ROUND(((1-PuertoRicoDiscount)*'Intl Priority'!Q20)*(1+International_Fuel_Surcharge),2))</f>
        <v>152.84</v>
      </c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74">
        <v>19.0</v>
      </c>
      <c r="B24" s="283">
        <f>IF('Intl Priority'!$B$105&gt;ROUND(((1-IntPriorityDiscount-IntPriorityIncentive)*'Intl Priority'!B21),2),ROUND('Intl Priority'!$B$105*(1+International_Fuel_Surcharge),2),ROUND(((1-IntPriorityDiscount-IntPriorityIncentive)*'Intl Priority'!B21)*(1+International_Fuel_Surcharge),2))</f>
        <v>52.83</v>
      </c>
      <c r="C24" s="283">
        <f>IF('Intl Priority'!$C$105&gt;ROUND(((1-IntPriorityDiscount-IntPriorityIncentive)*'Intl Priority'!C21),2),ROUND('Intl Priority'!$C$105*(1+International_Fuel_Surcharge),2),ROUND(((1-IntPriorityDiscount-IntPriorityIncentive)*'Intl Priority'!C21)*(1+International_Fuel_Surcharge),2))</f>
        <v>60</v>
      </c>
      <c r="D24" s="283">
        <f>IF('Intl Priority'!$D$105&gt;ROUND(((1-IntPriorityDiscount-IntPriorityIncentive)*'Intl Priority'!D21),2),ROUND('Intl Priority'!$D$105*(1+International_Fuel_Surcharge),2),ROUND(((1-IntPriorityDiscount-IntPriorityIncentive)*'Intl Priority'!D21)*(1+International_Fuel_Surcharge),2))</f>
        <v>64.45</v>
      </c>
      <c r="E24" s="283">
        <f>IF('Intl Priority'!$E$105&gt;ROUND(((1-IntPriorityDiscount-IntPriorityIncentive)*'Intl Priority'!E21),2),ROUND('Intl Priority'!$E$105*(1+International_Fuel_Surcharge),2),ROUND(((1-IntPriorityDiscount-IntPriorityIncentive)*'Intl Priority'!E21)*(1+International_Fuel_Surcharge),2))</f>
        <v>75.48</v>
      </c>
      <c r="F24" s="283">
        <f>IF('Intl Priority'!$F$105&gt;ROUND(((1-IntPriorityDiscount-IntPriorityIncentive)*'Intl Priority'!F21),2),ROUND('Intl Priority'!$F$105*(1+International_Fuel_Surcharge),2),ROUND(((1-IntPriorityDiscount-IntPriorityIncentive)*'Intl Priority'!F21)*(1+International_Fuel_Surcharge),2))</f>
        <v>148.03</v>
      </c>
      <c r="G24" s="283">
        <f>IF('Intl Priority'!$G$105&gt;ROUND(((1-IntPriorityDiscount-IntPriorityIncentive)*'Intl Priority'!G21),2),ROUND('Intl Priority'!$G$105*(1+International_Fuel_Surcharge),2),ROUND(((1-IntPriorityDiscount-IntPriorityIncentive)*'Intl Priority'!G21)*(1+International_Fuel_Surcharge),2))</f>
        <v>78.91</v>
      </c>
      <c r="H24" s="283">
        <f>IF('Intl Priority'!$H$105&gt;ROUND(((1-IntPriorityDiscount-IntPriorityIncentive)*'Intl Priority'!H21),2),ROUND('Intl Priority'!$H$105*(1+International_Fuel_Surcharge),2),ROUND(((1-IntPriorityDiscount-IntPriorityIncentive)*'Intl Priority'!H21)*(1+International_Fuel_Surcharge),2))</f>
        <v>77.06</v>
      </c>
      <c r="I24" s="283">
        <f>IF('Intl Priority'!$I$105&gt;ROUND(((1-IntPriorityDiscount-IntPriorityIncentive)*'Intl Priority'!I21),2),ROUND('Intl Priority'!$I$105*(1+International_Fuel_Surcharge),2),ROUND(((1-IntPriorityDiscount-IntPriorityIncentive)*'Intl Priority'!I21)*(1+International_Fuel_Surcharge),2))</f>
        <v>82.84</v>
      </c>
      <c r="J24" s="283">
        <f>IF('Intl Priority'!$J$105&gt;ROUND(((1-IntPriorityDiscount-IntPriorityIncentive)*'Intl Priority'!J21),2),ROUND('Intl Priority'!$J$105*(1+International_Fuel_Surcharge),2),ROUND(((1-IntPriorityDiscount-IntPriorityIncentive)*'Intl Priority'!J21)*(1+International_Fuel_Surcharge),2))</f>
        <v>64.19</v>
      </c>
      <c r="K24" s="283">
        <f>IF('Intl Priority'!$K$105&gt;ROUND(((1-IntPriorityDiscount-IntPriorityIncentive)*'Intl Priority'!K21),2),ROUND('Intl Priority'!$K$105*(1+International_Fuel_Surcharge),2),ROUND(((1-IntPriorityDiscount-IntPriorityIncentive)*'Intl Priority'!K21)*(1+International_Fuel_Surcharge),2))</f>
        <v>113.05</v>
      </c>
      <c r="L24" s="283">
        <f>IF('Intl Priority'!$L$105&gt;ROUND(((1-IntPriorityDiscount-IntPriorityIncentive)*'Intl Priority'!L21),2),ROUND('Intl Priority'!$L$105*(1+International_Fuel_Surcharge),2),ROUND(((1-IntPriorityDiscount-IntPriorityIncentive)*'Intl Priority'!L21)*(1+International_Fuel_Surcharge),2))</f>
        <v>97.6</v>
      </c>
      <c r="M24" s="283">
        <f>IF('Intl Priority'!$M$105&gt;ROUND(((1-IntPriorityDiscount-IntPriorityIncentive)*'Intl Priority'!M21),2),ROUND('Intl Priority'!$M$105*(1+International_Fuel_Surcharge),2),ROUND(((1-IntPriorityDiscount-IntPriorityIncentive)*'Intl Priority'!M21)*(1+International_Fuel_Surcharge),2))</f>
        <v>154.52</v>
      </c>
      <c r="N24" s="283">
        <f>IF('Intl Priority'!$N$105&gt;ROUND(((1-IntPriorityDiscount-IntPriorityIncentive)*'Intl Priority'!N21),2),ROUND('Intl Priority'!$N$105*(1+International_Fuel_Surcharge),2),ROUND(((1-IntPriorityDiscount-IntPriorityIncentive)*'Intl Priority'!N21)*(1+International_Fuel_Surcharge),2))</f>
        <v>139.14</v>
      </c>
      <c r="O24" s="283">
        <f>IF('Intl Priority'!$O$105&gt;ROUND(((1-IntPriorityDiscount-IntPriorityIncentive)*'Intl Priority'!O21),2),ROUND('Intl Priority'!$O$105*(1+International_Fuel_Surcharge),2),ROUND(((1-IntPriorityDiscount-IntPriorityIncentive)*'Intl Priority'!O21)*(1+International_Fuel_Surcharge),2))</f>
        <v>93.98</v>
      </c>
      <c r="P24" s="283">
        <f>IF('Intl Priority'!$P$105&gt;ROUND(((1-IntPriorityDiscount-IntPriorityIncentive)*'Intl Priority'!P21),2),ROUND('Intl Priority'!$P$105*(1+International_Fuel_Surcharge),2),ROUND(((1-IntPriorityDiscount-IntPriorityIncentive)*'Intl Priority'!P21)*(1+International_Fuel_Surcharge),2))</f>
        <v>96.12</v>
      </c>
      <c r="Q24" s="283">
        <f>IF('Intl Priority'!$Q$105&gt;ROUND(((1-PuertoRicoDiscount)*'Intl Priority'!Q21),2),ROUND('Intl Priority'!$Q$105*(1+International_Fuel_Surcharge),2),ROUND(((1-PuertoRicoDiscount)*'Intl Priority'!Q21)*(1+International_Fuel_Surcharge),2))</f>
        <v>157.95</v>
      </c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74">
        <v>20.0</v>
      </c>
      <c r="B25" s="283">
        <f>IF('Intl Priority'!$B$105&gt;ROUND(((1-IntPriorityDiscount-IntPriorityIncentive)*'Intl Priority'!B22),2),ROUND('Intl Priority'!$B$105*(1+International_Fuel_Surcharge),2),ROUND(((1-IntPriorityDiscount-IntPriorityIncentive)*'Intl Priority'!B22)*(1+International_Fuel_Surcharge),2))</f>
        <v>52.94</v>
      </c>
      <c r="C25" s="283">
        <f>IF('Intl Priority'!$C$105&gt;ROUND(((1-IntPriorityDiscount-IntPriorityIncentive)*'Intl Priority'!C22),2),ROUND('Intl Priority'!$C$105*(1+International_Fuel_Surcharge),2),ROUND(((1-IntPriorityDiscount-IntPriorityIncentive)*'Intl Priority'!C22)*(1+International_Fuel_Surcharge),2))</f>
        <v>60.12</v>
      </c>
      <c r="D25" s="283">
        <f>IF('Intl Priority'!$D$105&gt;ROUND(((1-IntPriorityDiscount-IntPriorityIncentive)*'Intl Priority'!D22),2),ROUND('Intl Priority'!$D$105*(1+International_Fuel_Surcharge),2),ROUND(((1-IntPriorityDiscount-IntPriorityIncentive)*'Intl Priority'!D22)*(1+International_Fuel_Surcharge),2))</f>
        <v>64.57</v>
      </c>
      <c r="E25" s="283">
        <f>IF('Intl Priority'!$E$105&gt;ROUND(((1-IntPriorityDiscount-IntPriorityIncentive)*'Intl Priority'!E22),2),ROUND('Intl Priority'!$E$105*(1+International_Fuel_Surcharge),2),ROUND(((1-IntPriorityDiscount-IntPriorityIncentive)*'Intl Priority'!E22)*(1+International_Fuel_Surcharge),2))</f>
        <v>75.63</v>
      </c>
      <c r="F25" s="283">
        <f>IF('Intl Priority'!$F$105&gt;ROUND(((1-IntPriorityDiscount-IntPriorityIncentive)*'Intl Priority'!F22),2),ROUND('Intl Priority'!$F$105*(1+International_Fuel_Surcharge),2),ROUND(((1-IntPriorityDiscount-IntPriorityIncentive)*'Intl Priority'!F22)*(1+International_Fuel_Surcharge),2))</f>
        <v>148.39</v>
      </c>
      <c r="G25" s="283">
        <f>IF('Intl Priority'!$G$105&gt;ROUND(((1-IntPriorityDiscount-IntPriorityIncentive)*'Intl Priority'!G22),2),ROUND('Intl Priority'!$G$105*(1+International_Fuel_Surcharge),2),ROUND(((1-IntPriorityDiscount-IntPriorityIncentive)*'Intl Priority'!G22)*(1+International_Fuel_Surcharge),2))</f>
        <v>79.07</v>
      </c>
      <c r="H25" s="283">
        <f>IF('Intl Priority'!$H$105&gt;ROUND(((1-IntPriorityDiscount-IntPriorityIncentive)*'Intl Priority'!H22),2),ROUND('Intl Priority'!$H$105*(1+International_Fuel_Surcharge),2),ROUND(((1-IntPriorityDiscount-IntPriorityIncentive)*'Intl Priority'!H22)*(1+International_Fuel_Surcharge),2))</f>
        <v>77.22</v>
      </c>
      <c r="I25" s="283">
        <f>IF('Intl Priority'!$I$105&gt;ROUND(((1-IntPriorityDiscount-IntPriorityIncentive)*'Intl Priority'!I22),2),ROUND('Intl Priority'!$I$105*(1+International_Fuel_Surcharge),2),ROUND(((1-IntPriorityDiscount-IntPriorityIncentive)*'Intl Priority'!I22)*(1+International_Fuel_Surcharge),2))</f>
        <v>83.01</v>
      </c>
      <c r="J25" s="283">
        <f>IF('Intl Priority'!$J$105&gt;ROUND(((1-IntPriorityDiscount-IntPriorityIncentive)*'Intl Priority'!J22),2),ROUND('Intl Priority'!$J$105*(1+International_Fuel_Surcharge),2),ROUND(((1-IntPriorityDiscount-IntPriorityIncentive)*'Intl Priority'!J22)*(1+International_Fuel_Surcharge),2))</f>
        <v>64.78</v>
      </c>
      <c r="K25" s="283">
        <f>IF('Intl Priority'!$K$105&gt;ROUND(((1-IntPriorityDiscount-IntPriorityIncentive)*'Intl Priority'!K22),2),ROUND('Intl Priority'!$K$105*(1+International_Fuel_Surcharge),2),ROUND(((1-IntPriorityDiscount-IntPriorityIncentive)*'Intl Priority'!K22)*(1+International_Fuel_Surcharge),2))</f>
        <v>113.27</v>
      </c>
      <c r="L25" s="283">
        <f>IF('Intl Priority'!$L$105&gt;ROUND(((1-IntPriorityDiscount-IntPriorityIncentive)*'Intl Priority'!L22),2),ROUND('Intl Priority'!$L$105*(1+International_Fuel_Surcharge),2),ROUND(((1-IntPriorityDiscount-IntPriorityIncentive)*'Intl Priority'!L22)*(1+International_Fuel_Surcharge),2))</f>
        <v>97.8</v>
      </c>
      <c r="M25" s="283">
        <f>IF('Intl Priority'!$M$105&gt;ROUND(((1-IntPriorityDiscount-IntPriorityIncentive)*'Intl Priority'!M22),2),ROUND('Intl Priority'!$M$105*(1+International_Fuel_Surcharge),2),ROUND(((1-IntPriorityDiscount-IntPriorityIncentive)*'Intl Priority'!M22)*(1+International_Fuel_Surcharge),2))</f>
        <v>154.85</v>
      </c>
      <c r="N25" s="283">
        <f>IF('Intl Priority'!$N$105&gt;ROUND(((1-IntPriorityDiscount-IntPriorityIncentive)*'Intl Priority'!N22),2),ROUND('Intl Priority'!$N$105*(1+International_Fuel_Surcharge),2),ROUND(((1-IntPriorityDiscount-IntPriorityIncentive)*'Intl Priority'!N22)*(1+International_Fuel_Surcharge),2))</f>
        <v>139.42</v>
      </c>
      <c r="O25" s="283">
        <f>IF('Intl Priority'!$O$105&gt;ROUND(((1-IntPriorityDiscount-IntPriorityIncentive)*'Intl Priority'!O22),2),ROUND('Intl Priority'!$O$105*(1+International_Fuel_Surcharge),2),ROUND(((1-IntPriorityDiscount-IntPriorityIncentive)*'Intl Priority'!O22)*(1+International_Fuel_Surcharge),2))</f>
        <v>94.17</v>
      </c>
      <c r="P25" s="283">
        <f>IF('Intl Priority'!$P$105&gt;ROUND(((1-IntPriorityDiscount-IntPriorityIncentive)*'Intl Priority'!P22),2),ROUND('Intl Priority'!$P$105*(1+International_Fuel_Surcharge),2),ROUND(((1-IntPriorityDiscount-IntPriorityIncentive)*'Intl Priority'!P22)*(1+International_Fuel_Surcharge),2))</f>
        <v>96.33</v>
      </c>
      <c r="Q25" s="283">
        <f>IF('Intl Priority'!$Q$105&gt;ROUND(((1-PuertoRicoDiscount)*'Intl Priority'!Q22),2),ROUND('Intl Priority'!$Q$105*(1+International_Fuel_Surcharge),2),ROUND(((1-PuertoRicoDiscount)*'Intl Priority'!Q22)*(1+International_Fuel_Surcharge),2))</f>
        <v>161.03</v>
      </c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74">
        <v>21.0</v>
      </c>
      <c r="B26" s="283">
        <f>IF('Intl Priority'!$B$105&gt;ROUND(((1-IntPriorityDiscount-IntPriorityIncentive)*'Intl Priority'!B23),2),ROUND('Intl Priority'!$B$105*(1+International_Fuel_Surcharge),2),ROUND(((1-IntPriorityDiscount-IntPriorityIncentive)*'Intl Priority'!B23)*(1+International_Fuel_Surcharge),2))</f>
        <v>53.31</v>
      </c>
      <c r="C26" s="283">
        <f>IF('Intl Priority'!$C$105&gt;ROUND(((1-IntPriorityDiscount-IntPriorityIncentive)*'Intl Priority'!C23),2),ROUND('Intl Priority'!$C$105*(1+International_Fuel_Surcharge),2),ROUND(((1-IntPriorityDiscount-IntPriorityIncentive)*'Intl Priority'!C23)*(1+International_Fuel_Surcharge),2))</f>
        <v>62.53</v>
      </c>
      <c r="D26" s="283">
        <f>IF('Intl Priority'!$D$105&gt;ROUND(((1-IntPriorityDiscount-IntPriorityIncentive)*'Intl Priority'!D23),2),ROUND('Intl Priority'!$D$105*(1+International_Fuel_Surcharge),2),ROUND(((1-IntPriorityDiscount-IntPriorityIncentive)*'Intl Priority'!D23)*(1+International_Fuel_Surcharge),2))</f>
        <v>65.45</v>
      </c>
      <c r="E26" s="283">
        <f>IF('Intl Priority'!$E$105&gt;ROUND(((1-IntPriorityDiscount-IntPriorityIncentive)*'Intl Priority'!E23),2),ROUND('Intl Priority'!$E$105*(1+International_Fuel_Surcharge),2),ROUND(((1-IntPriorityDiscount-IntPriorityIncentive)*'Intl Priority'!E23)*(1+International_Fuel_Surcharge),2))</f>
        <v>76.1</v>
      </c>
      <c r="F26" s="283">
        <f>IF('Intl Priority'!$F$105&gt;ROUND(((1-IntPriorityDiscount-IntPriorityIncentive)*'Intl Priority'!F23),2),ROUND('Intl Priority'!$F$105*(1+International_Fuel_Surcharge),2),ROUND(((1-IntPriorityDiscount-IntPriorityIncentive)*'Intl Priority'!F23)*(1+International_Fuel_Surcharge),2))</f>
        <v>149.13</v>
      </c>
      <c r="G26" s="283">
        <f>IF('Intl Priority'!$G$105&gt;ROUND(((1-IntPriorityDiscount-IntPriorityIncentive)*'Intl Priority'!G23),2),ROUND('Intl Priority'!$G$105*(1+International_Fuel_Surcharge),2),ROUND(((1-IntPriorityDiscount-IntPriorityIncentive)*'Intl Priority'!G23)*(1+International_Fuel_Surcharge),2))</f>
        <v>79.57</v>
      </c>
      <c r="H26" s="283">
        <f>IF('Intl Priority'!$H$105&gt;ROUND(((1-IntPriorityDiscount-IntPriorityIncentive)*'Intl Priority'!H23),2),ROUND('Intl Priority'!$H$105*(1+International_Fuel_Surcharge),2),ROUND(((1-IntPriorityDiscount-IntPriorityIncentive)*'Intl Priority'!H23)*(1+International_Fuel_Surcharge),2))</f>
        <v>77.7</v>
      </c>
      <c r="I26" s="283">
        <f>IF('Intl Priority'!$I$105&gt;ROUND(((1-IntPriorityDiscount-IntPriorityIncentive)*'Intl Priority'!I23),2),ROUND('Intl Priority'!$I$105*(1+International_Fuel_Surcharge),2),ROUND(((1-IntPriorityDiscount-IntPriorityIncentive)*'Intl Priority'!I23)*(1+International_Fuel_Surcharge),2))</f>
        <v>83.68</v>
      </c>
      <c r="J26" s="283">
        <f>IF('Intl Priority'!$J$105&gt;ROUND(((1-IntPriorityDiscount-IntPriorityIncentive)*'Intl Priority'!J23),2),ROUND('Intl Priority'!$J$105*(1+International_Fuel_Surcharge),2),ROUND(((1-IntPriorityDiscount-IntPriorityIncentive)*'Intl Priority'!J23)*(1+International_Fuel_Surcharge),2))</f>
        <v>66.17</v>
      </c>
      <c r="K26" s="283">
        <f>IF('Intl Priority'!$K$105&gt;ROUND(((1-IntPriorityDiscount-IntPriorityIncentive)*'Intl Priority'!K23),2),ROUND('Intl Priority'!$K$105*(1+International_Fuel_Surcharge),2),ROUND(((1-IntPriorityDiscount-IntPriorityIncentive)*'Intl Priority'!K23)*(1+International_Fuel_Surcharge),2))</f>
        <v>113.96</v>
      </c>
      <c r="L26" s="283">
        <f>IF('Intl Priority'!$L$105&gt;ROUND(((1-IntPriorityDiscount-IntPriorityIncentive)*'Intl Priority'!L23),2),ROUND('Intl Priority'!$L$105*(1+International_Fuel_Surcharge),2),ROUND(((1-IntPriorityDiscount-IntPriorityIncentive)*'Intl Priority'!L23)*(1+International_Fuel_Surcharge),2))</f>
        <v>98.7</v>
      </c>
      <c r="M26" s="283">
        <f>IF('Intl Priority'!$M$105&gt;ROUND(((1-IntPriorityDiscount-IntPriorityIncentive)*'Intl Priority'!M23),2),ROUND('Intl Priority'!$M$105*(1+International_Fuel_Surcharge),2),ROUND(((1-IntPriorityDiscount-IntPriorityIncentive)*'Intl Priority'!M23)*(1+International_Fuel_Surcharge),2))</f>
        <v>155.61</v>
      </c>
      <c r="N26" s="283">
        <f>IF('Intl Priority'!$N$105&gt;ROUND(((1-IntPriorityDiscount-IntPriorityIncentive)*'Intl Priority'!N23),2),ROUND('Intl Priority'!$N$105*(1+International_Fuel_Surcharge),2),ROUND(((1-IntPriorityDiscount-IntPriorityIncentive)*'Intl Priority'!N23)*(1+International_Fuel_Surcharge),2))</f>
        <v>140.1</v>
      </c>
      <c r="O26" s="283">
        <f>IF('Intl Priority'!$O$105&gt;ROUND(((1-IntPriorityDiscount-IntPriorityIncentive)*'Intl Priority'!O23),2),ROUND('Intl Priority'!$O$105*(1+International_Fuel_Surcharge),2),ROUND(((1-IntPriorityDiscount-IntPriorityIncentive)*'Intl Priority'!O23)*(1+International_Fuel_Surcharge),2))</f>
        <v>94.74</v>
      </c>
      <c r="P26" s="283">
        <f>IF('Intl Priority'!$P$105&gt;ROUND(((1-IntPriorityDiscount-IntPriorityIncentive)*'Intl Priority'!P23),2),ROUND('Intl Priority'!$P$105*(1+International_Fuel_Surcharge),2),ROUND(((1-IntPriorityDiscount-IntPriorityIncentive)*'Intl Priority'!P23)*(1+International_Fuel_Surcharge),2))</f>
        <v>96.91</v>
      </c>
      <c r="Q26" s="283">
        <f>IF('Intl Priority'!$Q$105&gt;ROUND(((1-PuertoRicoDiscount)*'Intl Priority'!Q23),2),ROUND('Intl Priority'!$Q$105*(1+International_Fuel_Surcharge),2),ROUND(((1-PuertoRicoDiscount)*'Intl Priority'!Q23)*(1+International_Fuel_Surcharge),2))</f>
        <v>164.74</v>
      </c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74">
        <v>22.0</v>
      </c>
      <c r="B27" s="283">
        <f>IF('Intl Priority'!$B$105&gt;ROUND(((1-IntPriorityDiscount-IntPriorityIncentive)*'Intl Priority'!B24),2),ROUND('Intl Priority'!$B$105*(1+International_Fuel_Surcharge),2),ROUND(((1-IntPriorityDiscount-IntPriorityIncentive)*'Intl Priority'!B24)*(1+International_Fuel_Surcharge),2))</f>
        <v>53.36</v>
      </c>
      <c r="C27" s="283">
        <f>IF('Intl Priority'!$C$105&gt;ROUND(((1-IntPriorityDiscount-IntPriorityIncentive)*'Intl Priority'!C24),2),ROUND('Intl Priority'!$C$105*(1+International_Fuel_Surcharge),2),ROUND(((1-IntPriorityDiscount-IntPriorityIncentive)*'Intl Priority'!C24)*(1+International_Fuel_Surcharge),2))</f>
        <v>63.18</v>
      </c>
      <c r="D27" s="283">
        <f>IF('Intl Priority'!$D$105&gt;ROUND(((1-IntPriorityDiscount-IntPriorityIncentive)*'Intl Priority'!D24),2),ROUND('Intl Priority'!$D$105*(1+International_Fuel_Surcharge),2),ROUND(((1-IntPriorityDiscount-IntPriorityIncentive)*'Intl Priority'!D24)*(1+International_Fuel_Surcharge),2))</f>
        <v>65.53</v>
      </c>
      <c r="E27" s="283">
        <f>IF('Intl Priority'!$E$105&gt;ROUND(((1-IntPriorityDiscount-IntPriorityIncentive)*'Intl Priority'!E24),2),ROUND('Intl Priority'!$E$105*(1+International_Fuel_Surcharge),2),ROUND(((1-IntPriorityDiscount-IntPriorityIncentive)*'Intl Priority'!E24)*(1+International_Fuel_Surcharge),2))</f>
        <v>76.15</v>
      </c>
      <c r="F27" s="283">
        <f>IF('Intl Priority'!$F$105&gt;ROUND(((1-IntPriorityDiscount-IntPriorityIncentive)*'Intl Priority'!F24),2),ROUND('Intl Priority'!$F$105*(1+International_Fuel_Surcharge),2),ROUND(((1-IntPriorityDiscount-IntPriorityIncentive)*'Intl Priority'!F24)*(1+International_Fuel_Surcharge),2))</f>
        <v>149.2</v>
      </c>
      <c r="G27" s="283">
        <f>IF('Intl Priority'!$G$105&gt;ROUND(((1-IntPriorityDiscount-IntPriorityIncentive)*'Intl Priority'!G24),2),ROUND('Intl Priority'!$G$105*(1+International_Fuel_Surcharge),2),ROUND(((1-IntPriorityDiscount-IntPriorityIncentive)*'Intl Priority'!G24)*(1+International_Fuel_Surcharge),2))</f>
        <v>79.62</v>
      </c>
      <c r="H27" s="283">
        <f>IF('Intl Priority'!$H$105&gt;ROUND(((1-IntPriorityDiscount-IntPriorityIncentive)*'Intl Priority'!H24),2),ROUND('Intl Priority'!$H$105*(1+International_Fuel_Surcharge),2),ROUND(((1-IntPriorityDiscount-IntPriorityIncentive)*'Intl Priority'!H24)*(1+International_Fuel_Surcharge),2))</f>
        <v>77.74</v>
      </c>
      <c r="I27" s="283">
        <f>IF('Intl Priority'!$I$105&gt;ROUND(((1-IntPriorityDiscount-IntPriorityIncentive)*'Intl Priority'!I24),2),ROUND('Intl Priority'!$I$105*(1+International_Fuel_Surcharge),2),ROUND(((1-IntPriorityDiscount-IntPriorityIncentive)*'Intl Priority'!I24)*(1+International_Fuel_Surcharge),2))</f>
        <v>83.78</v>
      </c>
      <c r="J27" s="283">
        <f>IF('Intl Priority'!$J$105&gt;ROUND(((1-IntPriorityDiscount-IntPriorityIncentive)*'Intl Priority'!J24),2),ROUND('Intl Priority'!$J$105*(1+International_Fuel_Surcharge),2),ROUND(((1-IntPriorityDiscount-IntPriorityIncentive)*'Intl Priority'!J24)*(1+International_Fuel_Surcharge),2))</f>
        <v>66.31</v>
      </c>
      <c r="K27" s="283">
        <f>IF('Intl Priority'!$K$105&gt;ROUND(((1-IntPriorityDiscount-IntPriorityIncentive)*'Intl Priority'!K24),2),ROUND('Intl Priority'!$K$105*(1+International_Fuel_Surcharge),2),ROUND(((1-IntPriorityDiscount-IntPriorityIncentive)*'Intl Priority'!K24)*(1+International_Fuel_Surcharge),2))</f>
        <v>114.03</v>
      </c>
      <c r="L27" s="283">
        <f>IF('Intl Priority'!$L$105&gt;ROUND(((1-IntPriorityDiscount-IntPriorityIncentive)*'Intl Priority'!L24),2),ROUND('Intl Priority'!$L$105*(1+International_Fuel_Surcharge),2),ROUND(((1-IntPriorityDiscount-IntPriorityIncentive)*'Intl Priority'!L24)*(1+International_Fuel_Surcharge),2))</f>
        <v>98.79</v>
      </c>
      <c r="M27" s="283">
        <f>IF('Intl Priority'!$M$105&gt;ROUND(((1-IntPriorityDiscount-IntPriorityIncentive)*'Intl Priority'!M24),2),ROUND('Intl Priority'!$M$105*(1+International_Fuel_Surcharge),2),ROUND(((1-IntPriorityDiscount-IntPriorityIncentive)*'Intl Priority'!M24)*(1+International_Fuel_Surcharge),2))</f>
        <v>155.69</v>
      </c>
      <c r="N27" s="283">
        <f>IF('Intl Priority'!$N$105&gt;ROUND(((1-IntPriorityDiscount-IntPriorityIncentive)*'Intl Priority'!N24),2),ROUND('Intl Priority'!$N$105*(1+International_Fuel_Surcharge),2),ROUND(((1-IntPriorityDiscount-IntPriorityIncentive)*'Intl Priority'!N24)*(1+International_Fuel_Surcharge),2))</f>
        <v>140.17</v>
      </c>
      <c r="O27" s="283">
        <f>IF('Intl Priority'!$O$105&gt;ROUND(((1-IntPriorityDiscount-IntPriorityIncentive)*'Intl Priority'!O24),2),ROUND('Intl Priority'!$O$105*(1+International_Fuel_Surcharge),2),ROUND(((1-IntPriorityDiscount-IntPriorityIncentive)*'Intl Priority'!O24)*(1+International_Fuel_Surcharge),2))</f>
        <v>94.8</v>
      </c>
      <c r="P27" s="283">
        <f>IF('Intl Priority'!$P$105&gt;ROUND(((1-IntPriorityDiscount-IntPriorityIncentive)*'Intl Priority'!P24),2),ROUND('Intl Priority'!$P$105*(1+International_Fuel_Surcharge),2),ROUND(((1-IntPriorityDiscount-IntPriorityIncentive)*'Intl Priority'!P24)*(1+International_Fuel_Surcharge),2))</f>
        <v>96.96</v>
      </c>
      <c r="Q27" s="283">
        <f>IF('Intl Priority'!$Q$105&gt;ROUND(((1-PuertoRicoDiscount)*'Intl Priority'!Q24),2),ROUND('Intl Priority'!$Q$105*(1+International_Fuel_Surcharge),2),ROUND(((1-PuertoRicoDiscount)*'Intl Priority'!Q24)*(1+International_Fuel_Surcharge),2))</f>
        <v>168.41</v>
      </c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74">
        <v>23.0</v>
      </c>
      <c r="B28" s="283">
        <f>IF('Intl Priority'!$B$105&gt;ROUND(((1-IntPriorityDiscount-IntPriorityIncentive)*'Intl Priority'!B25),2),ROUND('Intl Priority'!$B$105*(1+International_Fuel_Surcharge),2),ROUND(((1-IntPriorityDiscount-IntPriorityIncentive)*'Intl Priority'!B25)*(1+International_Fuel_Surcharge),2))</f>
        <v>53.43</v>
      </c>
      <c r="C28" s="283">
        <f>IF('Intl Priority'!$C$105&gt;ROUND(((1-IntPriorityDiscount-IntPriorityIncentive)*'Intl Priority'!C25),2),ROUND('Intl Priority'!$C$105*(1+International_Fuel_Surcharge),2),ROUND(((1-IntPriorityDiscount-IntPriorityIncentive)*'Intl Priority'!C25)*(1+International_Fuel_Surcharge),2))</f>
        <v>63.27</v>
      </c>
      <c r="D28" s="283">
        <f>IF('Intl Priority'!$D$105&gt;ROUND(((1-IntPriorityDiscount-IntPriorityIncentive)*'Intl Priority'!D25),2),ROUND('Intl Priority'!$D$105*(1+International_Fuel_Surcharge),2),ROUND(((1-IntPriorityDiscount-IntPriorityIncentive)*'Intl Priority'!D25)*(1+International_Fuel_Surcharge),2))</f>
        <v>65.59</v>
      </c>
      <c r="E28" s="283">
        <f>IF('Intl Priority'!$E$105&gt;ROUND(((1-IntPriorityDiscount-IntPriorityIncentive)*'Intl Priority'!E25),2),ROUND('Intl Priority'!$E$105*(1+International_Fuel_Surcharge),2),ROUND(((1-IntPriorityDiscount-IntPriorityIncentive)*'Intl Priority'!E25)*(1+International_Fuel_Surcharge),2))</f>
        <v>76.19</v>
      </c>
      <c r="F28" s="283">
        <f>IF('Intl Priority'!$F$105&gt;ROUND(((1-IntPriorityDiscount-IntPriorityIncentive)*'Intl Priority'!F25),2),ROUND('Intl Priority'!$F$105*(1+International_Fuel_Surcharge),2),ROUND(((1-IntPriorityDiscount-IntPriorityIncentive)*'Intl Priority'!F25)*(1+International_Fuel_Surcharge),2))</f>
        <v>149.25</v>
      </c>
      <c r="G28" s="283">
        <f>IF('Intl Priority'!$G$105&gt;ROUND(((1-IntPriorityDiscount-IntPriorityIncentive)*'Intl Priority'!G25),2),ROUND('Intl Priority'!$G$105*(1+International_Fuel_Surcharge),2),ROUND(((1-IntPriorityDiscount-IntPriorityIncentive)*'Intl Priority'!G25)*(1+International_Fuel_Surcharge),2))</f>
        <v>79.66</v>
      </c>
      <c r="H28" s="283">
        <f>IF('Intl Priority'!$H$105&gt;ROUND(((1-IntPriorityDiscount-IntPriorityIncentive)*'Intl Priority'!H25),2),ROUND('Intl Priority'!$H$105*(1+International_Fuel_Surcharge),2),ROUND(((1-IntPriorityDiscount-IntPriorityIncentive)*'Intl Priority'!H25)*(1+International_Fuel_Surcharge),2))</f>
        <v>77.79</v>
      </c>
      <c r="I28" s="283">
        <f>IF('Intl Priority'!$I$105&gt;ROUND(((1-IntPriorityDiscount-IntPriorityIncentive)*'Intl Priority'!I25),2),ROUND('Intl Priority'!$I$105*(1+International_Fuel_Surcharge),2),ROUND(((1-IntPriorityDiscount-IntPriorityIncentive)*'Intl Priority'!I25)*(1+International_Fuel_Surcharge),2))</f>
        <v>83.83</v>
      </c>
      <c r="J28" s="283">
        <f>IF('Intl Priority'!$J$105&gt;ROUND(((1-IntPriorityDiscount-IntPriorityIncentive)*'Intl Priority'!J25),2),ROUND('Intl Priority'!$J$105*(1+International_Fuel_Surcharge),2),ROUND(((1-IntPriorityDiscount-IntPriorityIncentive)*'Intl Priority'!J25)*(1+International_Fuel_Surcharge),2))</f>
        <v>66.35</v>
      </c>
      <c r="K28" s="283">
        <f>IF('Intl Priority'!$K$105&gt;ROUND(((1-IntPriorityDiscount-IntPriorityIncentive)*'Intl Priority'!K25),2),ROUND('Intl Priority'!$K$105*(1+International_Fuel_Surcharge),2),ROUND(((1-IntPriorityDiscount-IntPriorityIncentive)*'Intl Priority'!K25)*(1+International_Fuel_Surcharge),2))</f>
        <v>114.07</v>
      </c>
      <c r="L28" s="283">
        <f>IF('Intl Priority'!$L$105&gt;ROUND(((1-IntPriorityDiscount-IntPriorityIncentive)*'Intl Priority'!L25),2),ROUND('Intl Priority'!$L$105*(1+International_Fuel_Surcharge),2),ROUND(((1-IntPriorityDiscount-IntPriorityIncentive)*'Intl Priority'!L25)*(1+International_Fuel_Surcharge),2))</f>
        <v>98.84</v>
      </c>
      <c r="M28" s="283">
        <f>IF('Intl Priority'!$M$105&gt;ROUND(((1-IntPriorityDiscount-IntPriorityIncentive)*'Intl Priority'!M25),2),ROUND('Intl Priority'!$M$105*(1+International_Fuel_Surcharge),2),ROUND(((1-IntPriorityDiscount-IntPriorityIncentive)*'Intl Priority'!M25)*(1+International_Fuel_Surcharge),2))</f>
        <v>155.73</v>
      </c>
      <c r="N28" s="283">
        <f>IF('Intl Priority'!$N$105&gt;ROUND(((1-IntPriorityDiscount-IntPriorityIncentive)*'Intl Priority'!N25),2),ROUND('Intl Priority'!$N$105*(1+International_Fuel_Surcharge),2),ROUND(((1-IntPriorityDiscount-IntPriorityIncentive)*'Intl Priority'!N25)*(1+International_Fuel_Surcharge),2))</f>
        <v>140.21</v>
      </c>
      <c r="O28" s="283">
        <f>IF('Intl Priority'!$O$105&gt;ROUND(((1-IntPriorityDiscount-IntPriorityIncentive)*'Intl Priority'!O25),2),ROUND('Intl Priority'!$O$105*(1+International_Fuel_Surcharge),2),ROUND(((1-IntPriorityDiscount-IntPriorityIncentive)*'Intl Priority'!O25)*(1+International_Fuel_Surcharge),2))</f>
        <v>94.84</v>
      </c>
      <c r="P28" s="283">
        <f>IF('Intl Priority'!$P$105&gt;ROUND(((1-IntPriorityDiscount-IntPriorityIncentive)*'Intl Priority'!P25),2),ROUND('Intl Priority'!$P$105*(1+International_Fuel_Surcharge),2),ROUND(((1-IntPriorityDiscount-IntPriorityIncentive)*'Intl Priority'!P25)*(1+International_Fuel_Surcharge),2))</f>
        <v>97.01</v>
      </c>
      <c r="Q28" s="283">
        <f>IF('Intl Priority'!$Q$105&gt;ROUND(((1-PuertoRicoDiscount)*'Intl Priority'!Q25),2),ROUND('Intl Priority'!$Q$105*(1+International_Fuel_Surcharge),2),ROUND(((1-PuertoRicoDiscount)*'Intl Priority'!Q25)*(1+International_Fuel_Surcharge),2))</f>
        <v>173.02</v>
      </c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74">
        <v>24.0</v>
      </c>
      <c r="B29" s="283">
        <f>IF('Intl Priority'!$B$105&gt;ROUND(((1-IntPriorityDiscount-IntPriorityIncentive)*'Intl Priority'!B26),2),ROUND('Intl Priority'!$B$105*(1+International_Fuel_Surcharge),2),ROUND(((1-IntPriorityDiscount-IntPriorityIncentive)*'Intl Priority'!B26)*(1+International_Fuel_Surcharge),2))</f>
        <v>53.48</v>
      </c>
      <c r="C29" s="283">
        <f>IF('Intl Priority'!$C$105&gt;ROUND(((1-IntPriorityDiscount-IntPriorityIncentive)*'Intl Priority'!C26),2),ROUND('Intl Priority'!$C$105*(1+International_Fuel_Surcharge),2),ROUND(((1-IntPriorityDiscount-IntPriorityIncentive)*'Intl Priority'!C26)*(1+International_Fuel_Surcharge),2))</f>
        <v>63.32</v>
      </c>
      <c r="D29" s="283">
        <f>IF('Intl Priority'!$D$105&gt;ROUND(((1-IntPriorityDiscount-IntPriorityIncentive)*'Intl Priority'!D26),2),ROUND('Intl Priority'!$D$105*(1+International_Fuel_Surcharge),2),ROUND(((1-IntPriorityDiscount-IntPriorityIncentive)*'Intl Priority'!D26)*(1+International_Fuel_Surcharge),2))</f>
        <v>65.65</v>
      </c>
      <c r="E29" s="283">
        <f>IF('Intl Priority'!$E$105&gt;ROUND(((1-IntPriorityDiscount-IntPriorityIncentive)*'Intl Priority'!E26),2),ROUND('Intl Priority'!$E$105*(1+International_Fuel_Surcharge),2),ROUND(((1-IntPriorityDiscount-IntPriorityIncentive)*'Intl Priority'!E26)*(1+International_Fuel_Surcharge),2))</f>
        <v>76.26</v>
      </c>
      <c r="F29" s="283">
        <f>IF('Intl Priority'!$F$105&gt;ROUND(((1-IntPriorityDiscount-IntPriorityIncentive)*'Intl Priority'!F26),2),ROUND('Intl Priority'!$F$105*(1+International_Fuel_Surcharge),2),ROUND(((1-IntPriorityDiscount-IntPriorityIncentive)*'Intl Priority'!F26)*(1+International_Fuel_Surcharge),2))</f>
        <v>149.33</v>
      </c>
      <c r="G29" s="283">
        <f>IF('Intl Priority'!$G$105&gt;ROUND(((1-IntPriorityDiscount-IntPriorityIncentive)*'Intl Priority'!G26),2),ROUND('Intl Priority'!$G$105*(1+International_Fuel_Surcharge),2),ROUND(((1-IntPriorityDiscount-IntPriorityIncentive)*'Intl Priority'!G26)*(1+International_Fuel_Surcharge),2))</f>
        <v>79.73</v>
      </c>
      <c r="H29" s="283">
        <f>IF('Intl Priority'!$H$105&gt;ROUND(((1-IntPriorityDiscount-IntPriorityIncentive)*'Intl Priority'!H26),2),ROUND('Intl Priority'!$H$105*(1+International_Fuel_Surcharge),2),ROUND(((1-IntPriorityDiscount-IntPriorityIncentive)*'Intl Priority'!H26)*(1+International_Fuel_Surcharge),2))</f>
        <v>77.84</v>
      </c>
      <c r="I29" s="283">
        <f>IF('Intl Priority'!$I$105&gt;ROUND(((1-IntPriorityDiscount-IntPriorityIncentive)*'Intl Priority'!I26),2),ROUND('Intl Priority'!$I$105*(1+International_Fuel_Surcharge),2),ROUND(((1-IntPriorityDiscount-IntPriorityIncentive)*'Intl Priority'!I26)*(1+International_Fuel_Surcharge),2))</f>
        <v>83.92</v>
      </c>
      <c r="J29" s="283">
        <f>IF('Intl Priority'!$J$105&gt;ROUND(((1-IntPriorityDiscount-IntPriorityIncentive)*'Intl Priority'!J26),2),ROUND('Intl Priority'!$J$105*(1+International_Fuel_Surcharge),2),ROUND(((1-IntPriorityDiscount-IntPriorityIncentive)*'Intl Priority'!J26)*(1+International_Fuel_Surcharge),2))</f>
        <v>66.4</v>
      </c>
      <c r="K29" s="283">
        <f>IF('Intl Priority'!$K$105&gt;ROUND(((1-IntPriorityDiscount-IntPriorityIncentive)*'Intl Priority'!K26),2),ROUND('Intl Priority'!$K$105*(1+International_Fuel_Surcharge),2),ROUND(((1-IntPriorityDiscount-IntPriorityIncentive)*'Intl Priority'!K26)*(1+International_Fuel_Surcharge),2))</f>
        <v>114.17</v>
      </c>
      <c r="L29" s="283">
        <f>IF('Intl Priority'!$L$105&gt;ROUND(((1-IntPriorityDiscount-IntPriorityIncentive)*'Intl Priority'!L26),2),ROUND('Intl Priority'!$L$105*(1+International_Fuel_Surcharge),2),ROUND(((1-IntPriorityDiscount-IntPriorityIncentive)*'Intl Priority'!L26)*(1+International_Fuel_Surcharge),2))</f>
        <v>98.92</v>
      </c>
      <c r="M29" s="283">
        <f>IF('Intl Priority'!$M$105&gt;ROUND(((1-IntPriorityDiscount-IntPriorityIncentive)*'Intl Priority'!M26),2),ROUND('Intl Priority'!$M$105*(1+International_Fuel_Surcharge),2),ROUND(((1-IntPriorityDiscount-IntPriorityIncentive)*'Intl Priority'!M26)*(1+International_Fuel_Surcharge),2))</f>
        <v>155.82</v>
      </c>
      <c r="N29" s="283">
        <f>IF('Intl Priority'!$N$105&gt;ROUND(((1-IntPriorityDiscount-IntPriorityIncentive)*'Intl Priority'!N26),2),ROUND('Intl Priority'!$N$105*(1+International_Fuel_Surcharge),2),ROUND(((1-IntPriorityDiscount-IntPriorityIncentive)*'Intl Priority'!N26)*(1+International_Fuel_Surcharge),2))</f>
        <v>140.27</v>
      </c>
      <c r="O29" s="283">
        <f>IF('Intl Priority'!$O$105&gt;ROUND(((1-IntPriorityDiscount-IntPriorityIncentive)*'Intl Priority'!O26),2),ROUND('Intl Priority'!$O$105*(1+International_Fuel_Surcharge),2),ROUND(((1-IntPriorityDiscount-IntPriorityIncentive)*'Intl Priority'!O26)*(1+International_Fuel_Surcharge),2))</f>
        <v>94.93</v>
      </c>
      <c r="P29" s="283">
        <f>IF('Intl Priority'!$P$105&gt;ROUND(((1-IntPriorityDiscount-IntPriorityIncentive)*'Intl Priority'!P26),2),ROUND('Intl Priority'!$P$105*(1+International_Fuel_Surcharge),2),ROUND(((1-IntPriorityDiscount-IntPriorityIncentive)*'Intl Priority'!P26)*(1+International_Fuel_Surcharge),2))</f>
        <v>97.1</v>
      </c>
      <c r="Q29" s="283">
        <f>IF('Intl Priority'!$Q$105&gt;ROUND(((1-PuertoRicoDiscount)*'Intl Priority'!Q26),2),ROUND('Intl Priority'!$Q$105*(1+International_Fuel_Surcharge),2),ROUND(((1-PuertoRicoDiscount)*'Intl Priority'!Q26)*(1+International_Fuel_Surcharge),2))</f>
        <v>176.32</v>
      </c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74">
        <v>25.0</v>
      </c>
      <c r="B30" s="283">
        <f>IF('Intl Priority'!$B$105&gt;ROUND(((1-IntPriorityDiscount-IntPriorityIncentive)*'Intl Priority'!B27),2),ROUND('Intl Priority'!$B$105*(1+International_Fuel_Surcharge),2),ROUND(((1-IntPriorityDiscount-IntPriorityIncentive)*'Intl Priority'!B27)*(1+International_Fuel_Surcharge),2))</f>
        <v>54.15</v>
      </c>
      <c r="C30" s="283">
        <f>IF('Intl Priority'!$C$105&gt;ROUND(((1-IntPriorityDiscount-IntPriorityIncentive)*'Intl Priority'!C27),2),ROUND('Intl Priority'!$C$105*(1+International_Fuel_Surcharge),2),ROUND(((1-IntPriorityDiscount-IntPriorityIncentive)*'Intl Priority'!C27)*(1+International_Fuel_Surcharge),2))</f>
        <v>64.19</v>
      </c>
      <c r="D30" s="283">
        <f>IF('Intl Priority'!$D$105&gt;ROUND(((1-IntPriorityDiscount-IntPriorityIncentive)*'Intl Priority'!D27),2),ROUND('Intl Priority'!$D$105*(1+International_Fuel_Surcharge),2),ROUND(((1-IntPriorityDiscount-IntPriorityIncentive)*'Intl Priority'!D27)*(1+International_Fuel_Surcharge),2))</f>
        <v>66.26</v>
      </c>
      <c r="E30" s="283">
        <f>IF('Intl Priority'!$E$105&gt;ROUND(((1-IntPriorityDiscount-IntPriorityIncentive)*'Intl Priority'!E27),2),ROUND('Intl Priority'!$E$105*(1+International_Fuel_Surcharge),2),ROUND(((1-IntPriorityDiscount-IntPriorityIncentive)*'Intl Priority'!E27)*(1+International_Fuel_Surcharge),2))</f>
        <v>77.59</v>
      </c>
      <c r="F30" s="283">
        <f>IF('Intl Priority'!$F$105&gt;ROUND(((1-IntPriorityDiscount-IntPriorityIncentive)*'Intl Priority'!F27),2),ROUND('Intl Priority'!$F$105*(1+International_Fuel_Surcharge),2),ROUND(((1-IntPriorityDiscount-IntPriorityIncentive)*'Intl Priority'!F27)*(1+International_Fuel_Surcharge),2))</f>
        <v>150.92</v>
      </c>
      <c r="G30" s="283">
        <f>IF('Intl Priority'!$G$105&gt;ROUND(((1-IntPriorityDiscount-IntPriorityIncentive)*'Intl Priority'!G27),2),ROUND('Intl Priority'!$G$105*(1+International_Fuel_Surcharge),2),ROUND(((1-IntPriorityDiscount-IntPriorityIncentive)*'Intl Priority'!G27)*(1+International_Fuel_Surcharge),2))</f>
        <v>80.96</v>
      </c>
      <c r="H30" s="283">
        <f>IF('Intl Priority'!$H$105&gt;ROUND(((1-IntPriorityDiscount-IntPriorityIncentive)*'Intl Priority'!H27),2),ROUND('Intl Priority'!$H$105*(1+International_Fuel_Surcharge),2),ROUND(((1-IntPriorityDiscount-IntPriorityIncentive)*'Intl Priority'!H27)*(1+International_Fuel_Surcharge),2))</f>
        <v>78.91</v>
      </c>
      <c r="I30" s="283">
        <f>IF('Intl Priority'!$I$105&gt;ROUND(((1-IntPriorityDiscount-IntPriorityIncentive)*'Intl Priority'!I27),2),ROUND('Intl Priority'!$I$105*(1+International_Fuel_Surcharge),2),ROUND(((1-IntPriorityDiscount-IntPriorityIncentive)*'Intl Priority'!I27)*(1+International_Fuel_Surcharge),2))</f>
        <v>85.6</v>
      </c>
      <c r="J30" s="283">
        <f>IF('Intl Priority'!$J$105&gt;ROUND(((1-IntPriorityDiscount-IntPriorityIncentive)*'Intl Priority'!J27),2),ROUND('Intl Priority'!$J$105*(1+International_Fuel_Surcharge),2),ROUND(((1-IntPriorityDiscount-IntPriorityIncentive)*'Intl Priority'!J27)*(1+International_Fuel_Surcharge),2))</f>
        <v>66.8</v>
      </c>
      <c r="K30" s="283">
        <f>IF('Intl Priority'!$K$105&gt;ROUND(((1-IntPriorityDiscount-IntPriorityIncentive)*'Intl Priority'!K27),2),ROUND('Intl Priority'!$K$105*(1+International_Fuel_Surcharge),2),ROUND(((1-IntPriorityDiscount-IntPriorityIncentive)*'Intl Priority'!K27)*(1+International_Fuel_Surcharge),2))</f>
        <v>116.01</v>
      </c>
      <c r="L30" s="283">
        <f>IF('Intl Priority'!$L$105&gt;ROUND(((1-IntPriorityDiscount-IntPriorityIncentive)*'Intl Priority'!L27),2),ROUND('Intl Priority'!$L$105*(1+International_Fuel_Surcharge),2),ROUND(((1-IntPriorityDiscount-IntPriorityIncentive)*'Intl Priority'!L27)*(1+International_Fuel_Surcharge),2))</f>
        <v>100.56</v>
      </c>
      <c r="M30" s="283">
        <f>IF('Intl Priority'!$M$105&gt;ROUND(((1-IntPriorityDiscount-IntPriorityIncentive)*'Intl Priority'!M27),2),ROUND('Intl Priority'!$M$105*(1+International_Fuel_Surcharge),2),ROUND(((1-IntPriorityDiscount-IntPriorityIncentive)*'Intl Priority'!M27)*(1+International_Fuel_Surcharge),2))</f>
        <v>157.53</v>
      </c>
      <c r="N30" s="283">
        <f>IF('Intl Priority'!$N$105&gt;ROUND(((1-IntPriorityDiscount-IntPriorityIncentive)*'Intl Priority'!N27),2),ROUND('Intl Priority'!$N$105*(1+International_Fuel_Surcharge),2),ROUND(((1-IntPriorityDiscount-IntPriorityIncentive)*'Intl Priority'!N27)*(1+International_Fuel_Surcharge),2))</f>
        <v>141.46</v>
      </c>
      <c r="O30" s="283">
        <f>IF('Intl Priority'!$O$105&gt;ROUND(((1-IntPriorityDiscount-IntPriorityIncentive)*'Intl Priority'!O27),2),ROUND('Intl Priority'!$O$105*(1+International_Fuel_Surcharge),2),ROUND(((1-IntPriorityDiscount-IntPriorityIncentive)*'Intl Priority'!O27)*(1+International_Fuel_Surcharge),2))</f>
        <v>96.63</v>
      </c>
      <c r="P30" s="283">
        <f>IF('Intl Priority'!$P$105&gt;ROUND(((1-IntPriorityDiscount-IntPriorityIncentive)*'Intl Priority'!P27),2),ROUND('Intl Priority'!$P$105*(1+International_Fuel_Surcharge),2),ROUND(((1-IntPriorityDiscount-IntPriorityIncentive)*'Intl Priority'!P27)*(1+International_Fuel_Surcharge),2))</f>
        <v>98.82</v>
      </c>
      <c r="Q30" s="283">
        <f>IF('Intl Priority'!$Q$105&gt;ROUND(((1-PuertoRicoDiscount)*'Intl Priority'!Q27),2),ROUND('Intl Priority'!$Q$105*(1+International_Fuel_Surcharge),2),ROUND(((1-PuertoRicoDiscount)*'Intl Priority'!Q27)*(1+International_Fuel_Surcharge),2))</f>
        <v>181.83</v>
      </c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74">
        <v>26.0</v>
      </c>
      <c r="B31" s="283">
        <f>IF('Intl Priority'!$B$105&gt;ROUND(((1-IntPriorityDiscount-IntPriorityIncentive)*'Intl Priority'!B28),2),ROUND('Intl Priority'!$B$105*(1+International_Fuel_Surcharge),2),ROUND(((1-IntPriorityDiscount-IntPriorityIncentive)*'Intl Priority'!B28)*(1+International_Fuel_Surcharge),2))</f>
        <v>67.47</v>
      </c>
      <c r="C31" s="283">
        <f>IF('Intl Priority'!$C$105&gt;ROUND(((1-IntPriorityDiscount-IntPriorityIncentive)*'Intl Priority'!C28),2),ROUND('Intl Priority'!$C$105*(1+International_Fuel_Surcharge),2),ROUND(((1-IntPriorityDiscount-IntPriorityIncentive)*'Intl Priority'!C28)*(1+International_Fuel_Surcharge),2))</f>
        <v>78.95</v>
      </c>
      <c r="D31" s="283">
        <f>IF('Intl Priority'!$D$105&gt;ROUND(((1-IntPriorityDiscount-IntPriorityIncentive)*'Intl Priority'!D28),2),ROUND('Intl Priority'!$D$105*(1+International_Fuel_Surcharge),2),ROUND(((1-IntPriorityDiscount-IntPriorityIncentive)*'Intl Priority'!D28)*(1+International_Fuel_Surcharge),2))</f>
        <v>78.11</v>
      </c>
      <c r="E31" s="283">
        <f>IF('Intl Priority'!$E$105&gt;ROUND(((1-IntPriorityDiscount-IntPriorityIncentive)*'Intl Priority'!E28),2),ROUND('Intl Priority'!$E$105*(1+International_Fuel_Surcharge),2),ROUND(((1-IntPriorityDiscount-IntPriorityIncentive)*'Intl Priority'!E28)*(1+International_Fuel_Surcharge),2))</f>
        <v>104.07</v>
      </c>
      <c r="F31" s="283">
        <f>IF('Intl Priority'!$F$105&gt;ROUND(((1-IntPriorityDiscount-IntPriorityIncentive)*'Intl Priority'!F28),2),ROUND('Intl Priority'!$F$105*(1+International_Fuel_Surcharge),2),ROUND(((1-IntPriorityDiscount-IntPriorityIncentive)*'Intl Priority'!F28)*(1+International_Fuel_Surcharge),2))</f>
        <v>182.78</v>
      </c>
      <c r="G31" s="283">
        <f>IF('Intl Priority'!$G$105&gt;ROUND(((1-IntPriorityDiscount-IntPriorityIncentive)*'Intl Priority'!G28),2),ROUND('Intl Priority'!$G$105*(1+International_Fuel_Surcharge),2),ROUND(((1-IntPriorityDiscount-IntPriorityIncentive)*'Intl Priority'!G28)*(1+International_Fuel_Surcharge),2))</f>
        <v>105.55</v>
      </c>
      <c r="H31" s="283">
        <f>IF('Intl Priority'!$H$105&gt;ROUND(((1-IntPriorityDiscount-IntPriorityIncentive)*'Intl Priority'!H28),2),ROUND('Intl Priority'!$H$105*(1+International_Fuel_Surcharge),2),ROUND(((1-IntPriorityDiscount-IntPriorityIncentive)*'Intl Priority'!H28)*(1+International_Fuel_Surcharge),2))</f>
        <v>100.13</v>
      </c>
      <c r="I31" s="283">
        <f>IF('Intl Priority'!$I$105&gt;ROUND(((1-IntPriorityDiscount-IntPriorityIncentive)*'Intl Priority'!I28),2),ROUND('Intl Priority'!$I$105*(1+International_Fuel_Surcharge),2),ROUND(((1-IntPriorityDiscount-IntPriorityIncentive)*'Intl Priority'!I28)*(1+International_Fuel_Surcharge),2))</f>
        <v>119.25</v>
      </c>
      <c r="J31" s="283">
        <f>IF('Intl Priority'!$J$105&gt;ROUND(((1-IntPriorityDiscount-IntPriorityIncentive)*'Intl Priority'!J28),2),ROUND('Intl Priority'!$J$105*(1+International_Fuel_Surcharge),2),ROUND(((1-IntPriorityDiscount-IntPriorityIncentive)*'Intl Priority'!J28)*(1+International_Fuel_Surcharge),2))</f>
        <v>74.84</v>
      </c>
      <c r="K31" s="283">
        <f>IF('Intl Priority'!$K$105&gt;ROUND(((1-IntPriorityDiscount-IntPriorityIncentive)*'Intl Priority'!K28),2),ROUND('Intl Priority'!$K$105*(1+International_Fuel_Surcharge),2),ROUND(((1-IntPriorityDiscount-IntPriorityIncentive)*'Intl Priority'!K28)*(1+International_Fuel_Surcharge),2))</f>
        <v>152.79</v>
      </c>
      <c r="L31" s="283">
        <f>IF('Intl Priority'!$L$105&gt;ROUND(((1-IntPriorityDiscount-IntPriorityIncentive)*'Intl Priority'!L28),2),ROUND('Intl Priority'!$L$105*(1+International_Fuel_Surcharge),2),ROUND(((1-IntPriorityDiscount-IntPriorityIncentive)*'Intl Priority'!L28)*(1+International_Fuel_Surcharge),2))</f>
        <v>133.4</v>
      </c>
      <c r="M31" s="283">
        <f>IF('Intl Priority'!$M$105&gt;ROUND(((1-IntPriorityDiscount-IntPriorityIncentive)*'Intl Priority'!M28),2),ROUND('Intl Priority'!$M$105*(1+International_Fuel_Surcharge),2),ROUND(((1-IntPriorityDiscount-IntPriorityIncentive)*'Intl Priority'!M28)*(1+International_Fuel_Surcharge),2))</f>
        <v>191.83</v>
      </c>
      <c r="N31" s="283">
        <f>IF('Intl Priority'!$N$105&gt;ROUND(((1-IntPriorityDiscount-IntPriorityIncentive)*'Intl Priority'!N28),2),ROUND('Intl Priority'!$N$105*(1+International_Fuel_Surcharge),2),ROUND(((1-IntPriorityDiscount-IntPriorityIncentive)*'Intl Priority'!N28)*(1+International_Fuel_Surcharge),2))</f>
        <v>165.1</v>
      </c>
      <c r="O31" s="283">
        <f>IF('Intl Priority'!$O$105&gt;ROUND(((1-IntPriorityDiscount-IntPriorityIncentive)*'Intl Priority'!O28),2),ROUND('Intl Priority'!$O$105*(1+International_Fuel_Surcharge),2),ROUND(((1-IntPriorityDiscount-IntPriorityIncentive)*'Intl Priority'!O28)*(1+International_Fuel_Surcharge),2))</f>
        <v>130.6</v>
      </c>
      <c r="P31" s="283">
        <f>IF('Intl Priority'!$P$105&gt;ROUND(((1-IntPriorityDiscount-IntPriorityIncentive)*'Intl Priority'!P28),2),ROUND('Intl Priority'!$P$105*(1+International_Fuel_Surcharge),2),ROUND(((1-IntPriorityDiscount-IntPriorityIncentive)*'Intl Priority'!P28)*(1+International_Fuel_Surcharge),2))</f>
        <v>133.3</v>
      </c>
      <c r="Q31" s="283">
        <f>IF('Intl Priority'!$Q$105&gt;ROUND(((1-PuertoRicoDiscount)*'Intl Priority'!Q28),2),ROUND('Intl Priority'!$Q$105*(1+International_Fuel_Surcharge),2),ROUND(((1-PuertoRicoDiscount)*'Intl Priority'!Q28)*(1+International_Fuel_Surcharge),2))</f>
        <v>184.57</v>
      </c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274">
        <v>27.0</v>
      </c>
      <c r="B32" s="283">
        <f>IF('Intl Priority'!$B$105&gt;ROUND(((1-IntPriorityDiscount-IntPriorityIncentive)*'Intl Priority'!B29),2),ROUND('Intl Priority'!$B$105*(1+International_Fuel_Surcharge),2),ROUND(((1-IntPriorityDiscount-IntPriorityIncentive)*'Intl Priority'!B29)*(1+International_Fuel_Surcharge),2))</f>
        <v>70.86</v>
      </c>
      <c r="C32" s="283">
        <f>IF('Intl Priority'!$C$105&gt;ROUND(((1-IntPriorityDiscount-IntPriorityIncentive)*'Intl Priority'!C29),2),ROUND('Intl Priority'!$C$105*(1+International_Fuel_Surcharge),2),ROUND(((1-IntPriorityDiscount-IntPriorityIncentive)*'Intl Priority'!C29)*(1+International_Fuel_Surcharge),2))</f>
        <v>84.05</v>
      </c>
      <c r="D32" s="283">
        <f>IF('Intl Priority'!$D$105&gt;ROUND(((1-IntPriorityDiscount-IntPriorityIncentive)*'Intl Priority'!D29),2),ROUND('Intl Priority'!$D$105*(1+International_Fuel_Surcharge),2),ROUND(((1-IntPriorityDiscount-IntPriorityIncentive)*'Intl Priority'!D29)*(1+International_Fuel_Surcharge),2))</f>
        <v>87.35</v>
      </c>
      <c r="E32" s="283">
        <f>IF('Intl Priority'!$E$105&gt;ROUND(((1-IntPriorityDiscount-IntPriorityIncentive)*'Intl Priority'!E29),2),ROUND('Intl Priority'!$E$105*(1+International_Fuel_Surcharge),2),ROUND(((1-IntPriorityDiscount-IntPriorityIncentive)*'Intl Priority'!E29)*(1+International_Fuel_Surcharge),2))</f>
        <v>109.46</v>
      </c>
      <c r="F32" s="283">
        <f>IF('Intl Priority'!$F$105&gt;ROUND(((1-IntPriorityDiscount-IntPriorityIncentive)*'Intl Priority'!F29),2),ROUND('Intl Priority'!$F$105*(1+International_Fuel_Surcharge),2),ROUND(((1-IntPriorityDiscount-IntPriorityIncentive)*'Intl Priority'!F29)*(1+International_Fuel_Surcharge),2))</f>
        <v>216.86</v>
      </c>
      <c r="G32" s="283">
        <f>IF('Intl Priority'!$G$105&gt;ROUND(((1-IntPriorityDiscount-IntPriorityIncentive)*'Intl Priority'!G29),2),ROUND('Intl Priority'!$G$105*(1+International_Fuel_Surcharge),2),ROUND(((1-IntPriorityDiscount-IntPriorityIncentive)*'Intl Priority'!G29)*(1+International_Fuel_Surcharge),2))</f>
        <v>108.41</v>
      </c>
      <c r="H32" s="283">
        <f>IF('Intl Priority'!$H$105&gt;ROUND(((1-IntPriorityDiscount-IntPriorityIncentive)*'Intl Priority'!H29),2),ROUND('Intl Priority'!$H$105*(1+International_Fuel_Surcharge),2),ROUND(((1-IntPriorityDiscount-IntPriorityIncentive)*'Intl Priority'!H29)*(1+International_Fuel_Surcharge),2))</f>
        <v>112.09</v>
      </c>
      <c r="I32" s="283">
        <f>IF('Intl Priority'!$I$105&gt;ROUND(((1-IntPriorityDiscount-IntPriorityIncentive)*'Intl Priority'!I29),2),ROUND('Intl Priority'!$I$105*(1+International_Fuel_Surcharge),2),ROUND(((1-IntPriorityDiscount-IntPriorityIncentive)*'Intl Priority'!I29)*(1+International_Fuel_Surcharge),2))</f>
        <v>122.66</v>
      </c>
      <c r="J32" s="283">
        <f>IF('Intl Priority'!$J$105&gt;ROUND(((1-IntPriorityDiscount-IntPriorityIncentive)*'Intl Priority'!J29),2),ROUND('Intl Priority'!$J$105*(1+International_Fuel_Surcharge),2),ROUND(((1-IntPriorityDiscount-IntPriorityIncentive)*'Intl Priority'!J29)*(1+International_Fuel_Surcharge),2))</f>
        <v>81.14</v>
      </c>
      <c r="K32" s="283">
        <f>IF('Intl Priority'!$K$105&gt;ROUND(((1-IntPriorityDiscount-IntPriorityIncentive)*'Intl Priority'!K29),2),ROUND('Intl Priority'!$K$105*(1+International_Fuel_Surcharge),2),ROUND(((1-IntPriorityDiscount-IntPriorityIncentive)*'Intl Priority'!K29)*(1+International_Fuel_Surcharge),2))</f>
        <v>161.32</v>
      </c>
      <c r="L32" s="283">
        <f>IF('Intl Priority'!$L$105&gt;ROUND(((1-IntPriorityDiscount-IntPriorityIncentive)*'Intl Priority'!L29),2),ROUND('Intl Priority'!$L$105*(1+International_Fuel_Surcharge),2),ROUND(((1-IntPriorityDiscount-IntPriorityIncentive)*'Intl Priority'!L29)*(1+International_Fuel_Surcharge),2))</f>
        <v>138.45</v>
      </c>
      <c r="M32" s="283">
        <f>IF('Intl Priority'!$M$105&gt;ROUND(((1-IntPriorityDiscount-IntPriorityIncentive)*'Intl Priority'!M29),2),ROUND('Intl Priority'!$M$105*(1+International_Fuel_Surcharge),2),ROUND(((1-IntPriorityDiscount-IntPriorityIncentive)*'Intl Priority'!M29)*(1+International_Fuel_Surcharge),2))</f>
        <v>206.48</v>
      </c>
      <c r="N32" s="283">
        <f>IF('Intl Priority'!$N$105&gt;ROUND(((1-IntPriorityDiscount-IntPriorityIncentive)*'Intl Priority'!N29),2),ROUND('Intl Priority'!$N$105*(1+International_Fuel_Surcharge),2),ROUND(((1-IntPriorityDiscount-IntPriorityIncentive)*'Intl Priority'!N29)*(1+International_Fuel_Surcharge),2))</f>
        <v>229.7</v>
      </c>
      <c r="O32" s="283">
        <f>IF('Intl Priority'!$O$105&gt;ROUND(((1-IntPriorityDiscount-IntPriorityIncentive)*'Intl Priority'!O29),2),ROUND('Intl Priority'!$O$105*(1+International_Fuel_Surcharge),2),ROUND(((1-IntPriorityDiscount-IntPriorityIncentive)*'Intl Priority'!O29)*(1+International_Fuel_Surcharge),2))</f>
        <v>134.2</v>
      </c>
      <c r="P32" s="283">
        <f>IF('Intl Priority'!$P$105&gt;ROUND(((1-IntPriorityDiscount-IntPriorityIncentive)*'Intl Priority'!P29),2),ROUND('Intl Priority'!$P$105*(1+International_Fuel_Surcharge),2),ROUND(((1-IntPriorityDiscount-IntPriorityIncentive)*'Intl Priority'!P29)*(1+International_Fuel_Surcharge),2))</f>
        <v>147.72</v>
      </c>
      <c r="Q32" s="283">
        <f>IF('Intl Priority'!$Q$105&gt;ROUND(((1-PuertoRicoDiscount)*'Intl Priority'!Q29),2),ROUND('Intl Priority'!$Q$105*(1+International_Fuel_Surcharge),2),ROUND(((1-PuertoRicoDiscount)*'Intl Priority'!Q29)*(1+International_Fuel_Surcharge),2))</f>
        <v>188.49</v>
      </c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274">
        <v>28.0</v>
      </c>
      <c r="B33" s="283">
        <f>IF('Intl Priority'!$B$105&gt;ROUND(((1-IntPriorityDiscount-IntPriorityIncentive)*'Intl Priority'!B30),2),ROUND('Intl Priority'!$B$105*(1+International_Fuel_Surcharge),2),ROUND(((1-IntPriorityDiscount-IntPriorityIncentive)*'Intl Priority'!B30)*(1+International_Fuel_Surcharge),2))</f>
        <v>71.2</v>
      </c>
      <c r="C33" s="283">
        <f>IF('Intl Priority'!$C$105&gt;ROUND(((1-IntPriorityDiscount-IntPriorityIncentive)*'Intl Priority'!C30),2),ROUND('Intl Priority'!$C$105*(1+International_Fuel_Surcharge),2),ROUND(((1-IntPriorityDiscount-IntPriorityIncentive)*'Intl Priority'!C30)*(1+International_Fuel_Surcharge),2))</f>
        <v>85.18</v>
      </c>
      <c r="D33" s="283">
        <f>IF('Intl Priority'!$D$105&gt;ROUND(((1-IntPriorityDiscount-IntPriorityIncentive)*'Intl Priority'!D30),2),ROUND('Intl Priority'!$D$105*(1+International_Fuel_Surcharge),2),ROUND(((1-IntPriorityDiscount-IntPriorityIncentive)*'Intl Priority'!D30)*(1+International_Fuel_Surcharge),2))</f>
        <v>91.69</v>
      </c>
      <c r="E33" s="283">
        <f>IF('Intl Priority'!$E$105&gt;ROUND(((1-IntPriorityDiscount-IntPriorityIncentive)*'Intl Priority'!E30),2),ROUND('Intl Priority'!$E$105*(1+International_Fuel_Surcharge),2),ROUND(((1-IntPriorityDiscount-IntPriorityIncentive)*'Intl Priority'!E30)*(1+International_Fuel_Surcharge),2))</f>
        <v>115.27</v>
      </c>
      <c r="F33" s="283">
        <f>IF('Intl Priority'!$F$105&gt;ROUND(((1-IntPriorityDiscount-IntPriorityIncentive)*'Intl Priority'!F30),2),ROUND('Intl Priority'!$F$105*(1+International_Fuel_Surcharge),2),ROUND(((1-IntPriorityDiscount-IntPriorityIncentive)*'Intl Priority'!F30)*(1+International_Fuel_Surcharge),2))</f>
        <v>221.09</v>
      </c>
      <c r="G33" s="283">
        <f>IF('Intl Priority'!$G$105&gt;ROUND(((1-IntPriorityDiscount-IntPriorityIncentive)*'Intl Priority'!G30),2),ROUND('Intl Priority'!$G$105*(1+International_Fuel_Surcharge),2),ROUND(((1-IntPriorityDiscount-IntPriorityIncentive)*'Intl Priority'!G30)*(1+International_Fuel_Surcharge),2))</f>
        <v>108.7</v>
      </c>
      <c r="H33" s="283">
        <f>IF('Intl Priority'!$H$105&gt;ROUND(((1-IntPriorityDiscount-IntPriorityIncentive)*'Intl Priority'!H30),2),ROUND('Intl Priority'!$H$105*(1+International_Fuel_Surcharge),2),ROUND(((1-IntPriorityDiscount-IntPriorityIncentive)*'Intl Priority'!H30)*(1+International_Fuel_Surcharge),2))</f>
        <v>113.29</v>
      </c>
      <c r="I33" s="283">
        <f>IF('Intl Priority'!$I$105&gt;ROUND(((1-IntPriorityDiscount-IntPriorityIncentive)*'Intl Priority'!I30),2),ROUND('Intl Priority'!$I$105*(1+International_Fuel_Surcharge),2),ROUND(((1-IntPriorityDiscount-IntPriorityIncentive)*'Intl Priority'!I30)*(1+International_Fuel_Surcharge),2))</f>
        <v>125.8</v>
      </c>
      <c r="J33" s="283">
        <f>IF('Intl Priority'!$J$105&gt;ROUND(((1-IntPriorityDiscount-IntPriorityIncentive)*'Intl Priority'!J30),2),ROUND('Intl Priority'!$J$105*(1+International_Fuel_Surcharge),2),ROUND(((1-IntPriorityDiscount-IntPriorityIncentive)*'Intl Priority'!J30)*(1+International_Fuel_Surcharge),2))</f>
        <v>81.77</v>
      </c>
      <c r="K33" s="283">
        <f>IF('Intl Priority'!$K$105&gt;ROUND(((1-IntPriorityDiscount-IntPriorityIncentive)*'Intl Priority'!K30),2),ROUND('Intl Priority'!$K$105*(1+International_Fuel_Surcharge),2),ROUND(((1-IntPriorityDiscount-IntPriorityIncentive)*'Intl Priority'!K30)*(1+International_Fuel_Surcharge),2))</f>
        <v>162.17</v>
      </c>
      <c r="L33" s="283">
        <f>IF('Intl Priority'!$L$105&gt;ROUND(((1-IntPriorityDiscount-IntPriorityIncentive)*'Intl Priority'!L30),2),ROUND('Intl Priority'!$L$105*(1+International_Fuel_Surcharge),2),ROUND(((1-IntPriorityDiscount-IntPriorityIncentive)*'Intl Priority'!L30)*(1+International_Fuel_Surcharge),2))</f>
        <v>138.96</v>
      </c>
      <c r="M33" s="283">
        <f>IF('Intl Priority'!$M$105&gt;ROUND(((1-IntPriorityDiscount-IntPriorityIncentive)*'Intl Priority'!M30),2),ROUND('Intl Priority'!$M$105*(1+International_Fuel_Surcharge),2),ROUND(((1-IntPriorityDiscount-IntPriorityIncentive)*'Intl Priority'!M30)*(1+International_Fuel_Surcharge),2))</f>
        <v>207.94</v>
      </c>
      <c r="N33" s="283">
        <f>IF('Intl Priority'!$N$105&gt;ROUND(((1-IntPriorityDiscount-IntPriorityIncentive)*'Intl Priority'!N30),2),ROUND('Intl Priority'!$N$105*(1+International_Fuel_Surcharge),2),ROUND(((1-IntPriorityDiscount-IntPriorityIncentive)*'Intl Priority'!N30)*(1+International_Fuel_Surcharge),2))</f>
        <v>236.16</v>
      </c>
      <c r="O33" s="283">
        <f>IF('Intl Priority'!$O$105&gt;ROUND(((1-IntPriorityDiscount-IntPriorityIncentive)*'Intl Priority'!O30),2),ROUND('Intl Priority'!$O$105*(1+International_Fuel_Surcharge),2),ROUND(((1-IntPriorityDiscount-IntPriorityIncentive)*'Intl Priority'!O30)*(1+International_Fuel_Surcharge),2))</f>
        <v>139.91</v>
      </c>
      <c r="P33" s="283">
        <f>IF('Intl Priority'!$P$105&gt;ROUND(((1-IntPriorityDiscount-IntPriorityIncentive)*'Intl Priority'!P30),2),ROUND('Intl Priority'!$P$105*(1+International_Fuel_Surcharge),2),ROUND(((1-IntPriorityDiscount-IntPriorityIncentive)*'Intl Priority'!P30)*(1+International_Fuel_Surcharge),2))</f>
        <v>149.17</v>
      </c>
      <c r="Q33" s="283">
        <f>IF('Intl Priority'!$Q$105&gt;ROUND(((1-PuertoRicoDiscount)*'Intl Priority'!Q30),2),ROUND('Intl Priority'!$Q$105*(1+International_Fuel_Surcharge),2),ROUND(((1-PuertoRicoDiscount)*'Intl Priority'!Q30)*(1+International_Fuel_Surcharge),2))</f>
        <v>192.01</v>
      </c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274">
        <v>29.0</v>
      </c>
      <c r="B34" s="283">
        <f>IF('Intl Priority'!$B$105&gt;ROUND(((1-IntPriorityDiscount-IntPriorityIncentive)*'Intl Priority'!B31),2),ROUND('Intl Priority'!$B$105*(1+International_Fuel_Surcharge),2),ROUND(((1-IntPriorityDiscount-IntPriorityIncentive)*'Intl Priority'!B31)*(1+International_Fuel_Surcharge),2))</f>
        <v>71.25</v>
      </c>
      <c r="C34" s="283">
        <f>IF('Intl Priority'!$C$105&gt;ROUND(((1-IntPriorityDiscount-IntPriorityIncentive)*'Intl Priority'!C31),2),ROUND('Intl Priority'!$C$105*(1+International_Fuel_Surcharge),2),ROUND(((1-IntPriorityDiscount-IntPriorityIncentive)*'Intl Priority'!C31)*(1+International_Fuel_Surcharge),2))</f>
        <v>86.22</v>
      </c>
      <c r="D34" s="283">
        <f>IF('Intl Priority'!$D$105&gt;ROUND(((1-IntPriorityDiscount-IntPriorityIncentive)*'Intl Priority'!D31),2),ROUND('Intl Priority'!$D$105*(1+International_Fuel_Surcharge),2),ROUND(((1-IntPriorityDiscount-IntPriorityIncentive)*'Intl Priority'!D31)*(1+International_Fuel_Surcharge),2))</f>
        <v>92.13</v>
      </c>
      <c r="E34" s="283">
        <f>IF('Intl Priority'!$E$105&gt;ROUND(((1-IntPriorityDiscount-IntPriorityIncentive)*'Intl Priority'!E31),2),ROUND('Intl Priority'!$E$105*(1+International_Fuel_Surcharge),2),ROUND(((1-IntPriorityDiscount-IntPriorityIncentive)*'Intl Priority'!E31)*(1+International_Fuel_Surcharge),2))</f>
        <v>116.56</v>
      </c>
      <c r="F34" s="283">
        <f>IF('Intl Priority'!$F$105&gt;ROUND(((1-IntPriorityDiscount-IntPriorityIncentive)*'Intl Priority'!F31),2),ROUND('Intl Priority'!$F$105*(1+International_Fuel_Surcharge),2),ROUND(((1-IntPriorityDiscount-IntPriorityIncentive)*'Intl Priority'!F31)*(1+International_Fuel_Surcharge),2))</f>
        <v>221.52</v>
      </c>
      <c r="G34" s="283">
        <f>IF('Intl Priority'!$G$105&gt;ROUND(((1-IntPriorityDiscount-IntPriorityIncentive)*'Intl Priority'!G31),2),ROUND('Intl Priority'!$G$105*(1+International_Fuel_Surcharge),2),ROUND(((1-IntPriorityDiscount-IntPriorityIncentive)*'Intl Priority'!G31)*(1+International_Fuel_Surcharge),2))</f>
        <v>114.57</v>
      </c>
      <c r="H34" s="283">
        <f>IF('Intl Priority'!$H$105&gt;ROUND(((1-IntPriorityDiscount-IntPriorityIncentive)*'Intl Priority'!H31),2),ROUND('Intl Priority'!$H$105*(1+International_Fuel_Surcharge),2),ROUND(((1-IntPriorityDiscount-IntPriorityIncentive)*'Intl Priority'!H31)*(1+International_Fuel_Surcharge),2))</f>
        <v>113.57</v>
      </c>
      <c r="I34" s="283">
        <f>IF('Intl Priority'!$I$105&gt;ROUND(((1-IntPriorityDiscount-IntPriorityIncentive)*'Intl Priority'!I31),2),ROUND('Intl Priority'!$I$105*(1+International_Fuel_Surcharge),2),ROUND(((1-IntPriorityDiscount-IntPriorityIncentive)*'Intl Priority'!I31)*(1+International_Fuel_Surcharge),2))</f>
        <v>126.15</v>
      </c>
      <c r="J34" s="283">
        <f>IF('Intl Priority'!$J$105&gt;ROUND(((1-IntPriorityDiscount-IntPriorityIncentive)*'Intl Priority'!J31),2),ROUND('Intl Priority'!$J$105*(1+International_Fuel_Surcharge),2),ROUND(((1-IntPriorityDiscount-IntPriorityIncentive)*'Intl Priority'!J31)*(1+International_Fuel_Surcharge),2))</f>
        <v>81.88</v>
      </c>
      <c r="K34" s="283">
        <f>IF('Intl Priority'!$K$105&gt;ROUND(((1-IntPriorityDiscount-IntPriorityIncentive)*'Intl Priority'!K31),2),ROUND('Intl Priority'!$K$105*(1+International_Fuel_Surcharge),2),ROUND(((1-IntPriorityDiscount-IntPriorityIncentive)*'Intl Priority'!K31)*(1+International_Fuel_Surcharge),2))</f>
        <v>166.66</v>
      </c>
      <c r="L34" s="283">
        <f>IF('Intl Priority'!$L$105&gt;ROUND(((1-IntPriorityDiscount-IntPriorityIncentive)*'Intl Priority'!L31),2),ROUND('Intl Priority'!$L$105*(1+International_Fuel_Surcharge),2),ROUND(((1-IntPriorityDiscount-IntPriorityIncentive)*'Intl Priority'!L31)*(1+International_Fuel_Surcharge),2))</f>
        <v>140.4</v>
      </c>
      <c r="M34" s="283">
        <f>IF('Intl Priority'!$M$105&gt;ROUND(((1-IntPriorityDiscount-IntPriorityIncentive)*'Intl Priority'!M31),2),ROUND('Intl Priority'!$M$105*(1+International_Fuel_Surcharge),2),ROUND(((1-IntPriorityDiscount-IntPriorityIncentive)*'Intl Priority'!M31)*(1+International_Fuel_Surcharge),2))</f>
        <v>217.3</v>
      </c>
      <c r="N34" s="283">
        <f>IF('Intl Priority'!$N$105&gt;ROUND(((1-IntPriorityDiscount-IntPriorityIncentive)*'Intl Priority'!N31),2),ROUND('Intl Priority'!$N$105*(1+International_Fuel_Surcharge),2),ROUND(((1-IntPriorityDiscount-IntPriorityIncentive)*'Intl Priority'!N31)*(1+International_Fuel_Surcharge),2))</f>
        <v>236.81</v>
      </c>
      <c r="O34" s="283">
        <f>IF('Intl Priority'!$O$105&gt;ROUND(((1-IntPriorityDiscount-IntPriorityIncentive)*'Intl Priority'!O31),2),ROUND('Intl Priority'!$O$105*(1+International_Fuel_Surcharge),2),ROUND(((1-IntPriorityDiscount-IntPriorityIncentive)*'Intl Priority'!O31)*(1+International_Fuel_Surcharge),2))</f>
        <v>148</v>
      </c>
      <c r="P34" s="283">
        <f>IF('Intl Priority'!$P$105&gt;ROUND(((1-IntPriorityDiscount-IntPriorityIncentive)*'Intl Priority'!P31),2),ROUND('Intl Priority'!$P$105*(1+International_Fuel_Surcharge),2),ROUND(((1-IntPriorityDiscount-IntPriorityIncentive)*'Intl Priority'!P31)*(1+International_Fuel_Surcharge),2))</f>
        <v>153.43</v>
      </c>
      <c r="Q34" s="283">
        <f>IF('Intl Priority'!$Q$105&gt;ROUND(((1-PuertoRicoDiscount)*'Intl Priority'!Q31),2),ROUND('Intl Priority'!$Q$105*(1+International_Fuel_Surcharge),2),ROUND(((1-PuertoRicoDiscount)*'Intl Priority'!Q31)*(1+International_Fuel_Surcharge),2))</f>
        <v>194.97</v>
      </c>
      <c r="R34" s="138"/>
      <c r="S34" s="138"/>
      <c r="T34" s="138"/>
      <c r="U34" s="138"/>
      <c r="V34" s="138"/>
      <c r="W34" s="138"/>
      <c r="X34" s="138"/>
      <c r="Y34" s="138"/>
      <c r="Z34" s="138"/>
    </row>
    <row r="35" ht="12.75" customHeight="1">
      <c r="A35" s="274">
        <v>30.0</v>
      </c>
      <c r="B35" s="283">
        <f>IF('Intl Priority'!$B$105&gt;ROUND(((1-IntPriorityDiscount-IntPriorityIncentive)*'Intl Priority'!B32),2),ROUND('Intl Priority'!$B$105*(1+International_Fuel_Surcharge),2),ROUND(((1-IntPriorityDiscount-IntPriorityIncentive)*'Intl Priority'!B32)*(1+International_Fuel_Surcharge),2))</f>
        <v>71.58</v>
      </c>
      <c r="C35" s="283">
        <f>IF('Intl Priority'!$C$105&gt;ROUND(((1-IntPriorityDiscount-IntPriorityIncentive)*'Intl Priority'!C32),2),ROUND('Intl Priority'!$C$105*(1+International_Fuel_Surcharge),2),ROUND(((1-IntPriorityDiscount-IntPriorityIncentive)*'Intl Priority'!C32)*(1+International_Fuel_Surcharge),2))</f>
        <v>86.41</v>
      </c>
      <c r="D35" s="283">
        <f>IF('Intl Priority'!$D$105&gt;ROUND(((1-IntPriorityDiscount-IntPriorityIncentive)*'Intl Priority'!D32),2),ROUND('Intl Priority'!$D$105*(1+International_Fuel_Surcharge),2),ROUND(((1-IntPriorityDiscount-IntPriorityIncentive)*'Intl Priority'!D32)*(1+International_Fuel_Surcharge),2))</f>
        <v>92.24</v>
      </c>
      <c r="E35" s="283">
        <f>IF('Intl Priority'!$E$105&gt;ROUND(((1-IntPriorityDiscount-IntPriorityIncentive)*'Intl Priority'!E32),2),ROUND('Intl Priority'!$E$105*(1+International_Fuel_Surcharge),2),ROUND(((1-IntPriorityDiscount-IntPriorityIncentive)*'Intl Priority'!E32)*(1+International_Fuel_Surcharge),2))</f>
        <v>116.71</v>
      </c>
      <c r="F35" s="283">
        <f>IF('Intl Priority'!$F$105&gt;ROUND(((1-IntPriorityDiscount-IntPriorityIncentive)*'Intl Priority'!F32),2),ROUND('Intl Priority'!$F$105*(1+International_Fuel_Surcharge),2),ROUND(((1-IntPriorityDiscount-IntPriorityIncentive)*'Intl Priority'!F32)*(1+International_Fuel_Surcharge),2))</f>
        <v>221.84</v>
      </c>
      <c r="G35" s="283">
        <f>IF('Intl Priority'!$G$105&gt;ROUND(((1-IntPriorityDiscount-IntPriorityIncentive)*'Intl Priority'!G32),2),ROUND('Intl Priority'!$G$105*(1+International_Fuel_Surcharge),2),ROUND(((1-IntPriorityDiscount-IntPriorityIncentive)*'Intl Priority'!G32)*(1+International_Fuel_Surcharge),2))</f>
        <v>115.16</v>
      </c>
      <c r="H35" s="283">
        <f>IF('Intl Priority'!$H$105&gt;ROUND(((1-IntPriorityDiscount-IntPriorityIncentive)*'Intl Priority'!H32),2),ROUND('Intl Priority'!$H$105*(1+International_Fuel_Surcharge),2),ROUND(((1-IntPriorityDiscount-IntPriorityIncentive)*'Intl Priority'!H32)*(1+International_Fuel_Surcharge),2))</f>
        <v>119.22</v>
      </c>
      <c r="I35" s="283">
        <f>IF('Intl Priority'!$I$105&gt;ROUND(((1-IntPriorityDiscount-IntPriorityIncentive)*'Intl Priority'!I32),2),ROUND('Intl Priority'!$I$105*(1+International_Fuel_Surcharge),2),ROUND(((1-IntPriorityDiscount-IntPriorityIncentive)*'Intl Priority'!I32)*(1+International_Fuel_Surcharge),2))</f>
        <v>129.29</v>
      </c>
      <c r="J35" s="283">
        <f>IF('Intl Priority'!$J$105&gt;ROUND(((1-IntPriorityDiscount-IntPriorityIncentive)*'Intl Priority'!J32),2),ROUND('Intl Priority'!$J$105*(1+International_Fuel_Surcharge),2),ROUND(((1-IntPriorityDiscount-IntPriorityIncentive)*'Intl Priority'!J32)*(1+International_Fuel_Surcharge),2))</f>
        <v>83.91</v>
      </c>
      <c r="K35" s="283">
        <f>IF('Intl Priority'!$K$105&gt;ROUND(((1-IntPriorityDiscount-IntPriorityIncentive)*'Intl Priority'!K32),2),ROUND('Intl Priority'!$K$105*(1+International_Fuel_Surcharge),2),ROUND(((1-IntPriorityDiscount-IntPriorityIncentive)*'Intl Priority'!K32)*(1+International_Fuel_Surcharge),2))</f>
        <v>167.32</v>
      </c>
      <c r="L35" s="283">
        <f>IF('Intl Priority'!$L$105&gt;ROUND(((1-IntPriorityDiscount-IntPriorityIncentive)*'Intl Priority'!L32),2),ROUND('Intl Priority'!$L$105*(1+International_Fuel_Surcharge),2),ROUND(((1-IntPriorityDiscount-IntPriorityIncentive)*'Intl Priority'!L32)*(1+International_Fuel_Surcharge),2))</f>
        <v>152.01</v>
      </c>
      <c r="M35" s="283">
        <f>IF('Intl Priority'!$M$105&gt;ROUND(((1-IntPriorityDiscount-IntPriorityIncentive)*'Intl Priority'!M32),2),ROUND('Intl Priority'!$M$105*(1+International_Fuel_Surcharge),2),ROUND(((1-IntPriorityDiscount-IntPriorityIncentive)*'Intl Priority'!M32)*(1+International_Fuel_Surcharge),2))</f>
        <v>219.01</v>
      </c>
      <c r="N35" s="283">
        <f>IF('Intl Priority'!$N$105&gt;ROUND(((1-IntPriorityDiscount-IntPriorityIncentive)*'Intl Priority'!N32),2),ROUND('Intl Priority'!$N$105*(1+International_Fuel_Surcharge),2),ROUND(((1-IntPriorityDiscount-IntPriorityIncentive)*'Intl Priority'!N32)*(1+International_Fuel_Surcharge),2))</f>
        <v>236.88</v>
      </c>
      <c r="O35" s="283">
        <f>IF('Intl Priority'!$O$105&gt;ROUND(((1-IntPriorityDiscount-IntPriorityIncentive)*'Intl Priority'!O32),2),ROUND('Intl Priority'!$O$105*(1+International_Fuel_Surcharge),2),ROUND(((1-IntPriorityDiscount-IntPriorityIncentive)*'Intl Priority'!O32)*(1+International_Fuel_Surcharge),2))</f>
        <v>148.81</v>
      </c>
      <c r="P35" s="283">
        <f>IF('Intl Priority'!$P$105&gt;ROUND(((1-IntPriorityDiscount-IntPriorityIncentive)*'Intl Priority'!P32),2),ROUND('Intl Priority'!$P$105*(1+International_Fuel_Surcharge),2),ROUND(((1-IntPriorityDiscount-IntPriorityIncentive)*'Intl Priority'!P32)*(1+International_Fuel_Surcharge),2))</f>
        <v>154.32</v>
      </c>
      <c r="Q35" s="283">
        <f>IF('Intl Priority'!$Q$105&gt;ROUND(((1-PuertoRicoDiscount)*'Intl Priority'!Q32),2),ROUND('Intl Priority'!$Q$105*(1+International_Fuel_Surcharge),2),ROUND(((1-PuertoRicoDiscount)*'Intl Priority'!Q32)*(1+International_Fuel_Surcharge),2))</f>
        <v>198.49</v>
      </c>
      <c r="R35" s="138"/>
      <c r="S35" s="138"/>
      <c r="T35" s="138"/>
      <c r="U35" s="138"/>
      <c r="V35" s="138"/>
      <c r="W35" s="138"/>
      <c r="X35" s="138"/>
      <c r="Y35" s="138"/>
      <c r="Z35" s="138"/>
    </row>
    <row r="36" ht="12.75" customHeight="1">
      <c r="A36" s="274">
        <v>31.0</v>
      </c>
      <c r="B36" s="283">
        <f>IF('Intl Priority'!$B$105&gt;ROUND(((1-IntPriorityDiscount-IntPriorityIncentive)*'Intl Priority'!B33),2),ROUND('Intl Priority'!$B$105*(1+International_Fuel_Surcharge),2),ROUND(((1-IntPriorityDiscount-IntPriorityIncentive)*'Intl Priority'!B33)*(1+International_Fuel_Surcharge),2))</f>
        <v>78.27</v>
      </c>
      <c r="C36" s="283">
        <f>IF('Intl Priority'!$C$105&gt;ROUND(((1-IntPriorityDiscount-IntPriorityIncentive)*'Intl Priority'!C33),2),ROUND('Intl Priority'!$C$105*(1+International_Fuel_Surcharge),2),ROUND(((1-IntPriorityDiscount-IntPriorityIncentive)*'Intl Priority'!C33)*(1+International_Fuel_Surcharge),2))</f>
        <v>90.04</v>
      </c>
      <c r="D36" s="283">
        <f>IF('Intl Priority'!$D$105&gt;ROUND(((1-IntPriorityDiscount-IntPriorityIncentive)*'Intl Priority'!D33),2),ROUND('Intl Priority'!$D$105*(1+International_Fuel_Surcharge),2),ROUND(((1-IntPriorityDiscount-IntPriorityIncentive)*'Intl Priority'!D33)*(1+International_Fuel_Surcharge),2))</f>
        <v>92.35</v>
      </c>
      <c r="E36" s="283">
        <f>IF('Intl Priority'!$E$105&gt;ROUND(((1-IntPriorityDiscount-IntPriorityIncentive)*'Intl Priority'!E33),2),ROUND('Intl Priority'!$E$105*(1+International_Fuel_Surcharge),2),ROUND(((1-IntPriorityDiscount-IntPriorityIncentive)*'Intl Priority'!E33)*(1+International_Fuel_Surcharge),2))</f>
        <v>119.14</v>
      </c>
      <c r="F36" s="283">
        <f>IF('Intl Priority'!$F$105&gt;ROUND(((1-IntPriorityDiscount-IntPriorityIncentive)*'Intl Priority'!F33),2),ROUND('Intl Priority'!$F$105*(1+International_Fuel_Surcharge),2),ROUND(((1-IntPriorityDiscount-IntPriorityIncentive)*'Intl Priority'!F33)*(1+International_Fuel_Surcharge),2))</f>
        <v>228.29</v>
      </c>
      <c r="G36" s="283">
        <f>IF('Intl Priority'!$G$105&gt;ROUND(((1-IntPriorityDiscount-IntPriorityIncentive)*'Intl Priority'!G33),2),ROUND('Intl Priority'!$G$105*(1+International_Fuel_Surcharge),2),ROUND(((1-IntPriorityDiscount-IntPriorityIncentive)*'Intl Priority'!G33)*(1+International_Fuel_Surcharge),2))</f>
        <v>119.67</v>
      </c>
      <c r="H36" s="283">
        <f>IF('Intl Priority'!$H$105&gt;ROUND(((1-IntPriorityDiscount-IntPriorityIncentive)*'Intl Priority'!H33),2),ROUND('Intl Priority'!$H$105*(1+International_Fuel_Surcharge),2),ROUND(((1-IntPriorityDiscount-IntPriorityIncentive)*'Intl Priority'!H33)*(1+International_Fuel_Surcharge),2))</f>
        <v>124.14</v>
      </c>
      <c r="I36" s="283">
        <f>IF('Intl Priority'!$I$105&gt;ROUND(((1-IntPriorityDiscount-IntPriorityIncentive)*'Intl Priority'!I33),2),ROUND('Intl Priority'!$I$105*(1+International_Fuel_Surcharge),2),ROUND(((1-IntPriorityDiscount-IntPriorityIncentive)*'Intl Priority'!I33)*(1+International_Fuel_Surcharge),2))</f>
        <v>130.16</v>
      </c>
      <c r="J36" s="283">
        <f>IF('Intl Priority'!$J$105&gt;ROUND(((1-IntPriorityDiscount-IntPriorityIncentive)*'Intl Priority'!J33),2),ROUND('Intl Priority'!$J$105*(1+International_Fuel_Surcharge),2),ROUND(((1-IntPriorityDiscount-IntPriorityIncentive)*'Intl Priority'!J33)*(1+International_Fuel_Surcharge),2))</f>
        <v>86.29</v>
      </c>
      <c r="K36" s="283">
        <f>IF('Intl Priority'!$K$105&gt;ROUND(((1-IntPriorityDiscount-IntPriorityIncentive)*'Intl Priority'!K33),2),ROUND('Intl Priority'!$K$105*(1+International_Fuel_Surcharge),2),ROUND(((1-IntPriorityDiscount-IntPriorityIncentive)*'Intl Priority'!K33)*(1+International_Fuel_Surcharge),2))</f>
        <v>180.55</v>
      </c>
      <c r="L36" s="283">
        <f>IF('Intl Priority'!$L$105&gt;ROUND(((1-IntPriorityDiscount-IntPriorityIncentive)*'Intl Priority'!L33),2),ROUND('Intl Priority'!$L$105*(1+International_Fuel_Surcharge),2),ROUND(((1-IntPriorityDiscount-IntPriorityIncentive)*'Intl Priority'!L33)*(1+International_Fuel_Surcharge),2))</f>
        <v>153.46</v>
      </c>
      <c r="M36" s="283">
        <f>IF('Intl Priority'!$M$105&gt;ROUND(((1-IntPriorityDiscount-IntPriorityIncentive)*'Intl Priority'!M33),2),ROUND('Intl Priority'!$M$105*(1+International_Fuel_Surcharge),2),ROUND(((1-IntPriorityDiscount-IntPriorityIncentive)*'Intl Priority'!M33)*(1+International_Fuel_Surcharge),2))</f>
        <v>219.52</v>
      </c>
      <c r="N36" s="283">
        <f>IF('Intl Priority'!$N$105&gt;ROUND(((1-IntPriorityDiscount-IntPriorityIncentive)*'Intl Priority'!N33),2),ROUND('Intl Priority'!$N$105*(1+International_Fuel_Surcharge),2),ROUND(((1-IntPriorityDiscount-IntPriorityIncentive)*'Intl Priority'!N33)*(1+International_Fuel_Surcharge),2))</f>
        <v>236.93</v>
      </c>
      <c r="O36" s="283">
        <f>IF('Intl Priority'!$O$105&gt;ROUND(((1-IntPriorityDiscount-IntPriorityIncentive)*'Intl Priority'!O33),2),ROUND('Intl Priority'!$O$105*(1+International_Fuel_Surcharge),2),ROUND(((1-IntPriorityDiscount-IntPriorityIncentive)*'Intl Priority'!O33)*(1+International_Fuel_Surcharge),2))</f>
        <v>156.64</v>
      </c>
      <c r="P36" s="283">
        <f>IF('Intl Priority'!$P$105&gt;ROUND(((1-IntPriorityDiscount-IntPriorityIncentive)*'Intl Priority'!P33),2),ROUND('Intl Priority'!$P$105*(1+International_Fuel_Surcharge),2),ROUND(((1-IntPriorityDiscount-IntPriorityIncentive)*'Intl Priority'!P33)*(1+International_Fuel_Surcharge),2))</f>
        <v>154.9</v>
      </c>
      <c r="Q36" s="283">
        <f>IF('Intl Priority'!$Q$105&gt;ROUND(((1-PuertoRicoDiscount)*'Intl Priority'!Q33),2),ROUND('Intl Priority'!$Q$105*(1+International_Fuel_Surcharge),2),ROUND(((1-PuertoRicoDiscount)*'Intl Priority'!Q33)*(1+International_Fuel_Surcharge),2))</f>
        <v>202.1</v>
      </c>
      <c r="R36" s="138"/>
      <c r="S36" s="138"/>
      <c r="T36" s="138"/>
      <c r="U36" s="138"/>
      <c r="V36" s="138"/>
      <c r="W36" s="138"/>
      <c r="X36" s="138"/>
      <c r="Y36" s="138"/>
      <c r="Z36" s="138"/>
    </row>
    <row r="37" ht="12.75" customHeight="1">
      <c r="A37" s="274">
        <v>32.0</v>
      </c>
      <c r="B37" s="283">
        <f>IF('Intl Priority'!$B$105&gt;ROUND(((1-IntPriorityDiscount-IntPriorityIncentive)*'Intl Priority'!B34),2),ROUND('Intl Priority'!$B$105*(1+International_Fuel_Surcharge),2),ROUND(((1-IntPriorityDiscount-IntPriorityIncentive)*'Intl Priority'!B34)*(1+International_Fuel_Surcharge),2))</f>
        <v>78.95</v>
      </c>
      <c r="C37" s="283">
        <f>IF('Intl Priority'!$C$105&gt;ROUND(((1-IntPriorityDiscount-IntPriorityIncentive)*'Intl Priority'!C34),2),ROUND('Intl Priority'!$C$105*(1+International_Fuel_Surcharge),2),ROUND(((1-IntPriorityDiscount-IntPriorityIncentive)*'Intl Priority'!C34)*(1+International_Fuel_Surcharge),2))</f>
        <v>91.54</v>
      </c>
      <c r="D37" s="283">
        <f>IF('Intl Priority'!$D$105&gt;ROUND(((1-IntPriorityDiscount-IntPriorityIncentive)*'Intl Priority'!D34),2),ROUND('Intl Priority'!$D$105*(1+International_Fuel_Surcharge),2),ROUND(((1-IntPriorityDiscount-IntPriorityIncentive)*'Intl Priority'!D34)*(1+International_Fuel_Surcharge),2))</f>
        <v>92.64</v>
      </c>
      <c r="E37" s="283">
        <f>IF('Intl Priority'!$E$105&gt;ROUND(((1-IntPriorityDiscount-IntPriorityIncentive)*'Intl Priority'!E34),2),ROUND('Intl Priority'!$E$105*(1+International_Fuel_Surcharge),2),ROUND(((1-IntPriorityDiscount-IntPriorityIncentive)*'Intl Priority'!E34)*(1+International_Fuel_Surcharge),2))</f>
        <v>119.68</v>
      </c>
      <c r="F37" s="283">
        <f>IF('Intl Priority'!$F$105&gt;ROUND(((1-IntPriorityDiscount-IntPriorityIncentive)*'Intl Priority'!F34),2),ROUND('Intl Priority'!$F$105*(1+International_Fuel_Surcharge),2),ROUND(((1-IntPriorityDiscount-IntPriorityIncentive)*'Intl Priority'!F34)*(1+International_Fuel_Surcharge),2))</f>
        <v>228.93</v>
      </c>
      <c r="G37" s="283">
        <f>IF('Intl Priority'!$G$105&gt;ROUND(((1-IntPriorityDiscount-IntPriorityIncentive)*'Intl Priority'!G34),2),ROUND('Intl Priority'!$G$105*(1+International_Fuel_Surcharge),2),ROUND(((1-IntPriorityDiscount-IntPriorityIncentive)*'Intl Priority'!G34)*(1+International_Fuel_Surcharge),2))</f>
        <v>126.41</v>
      </c>
      <c r="H37" s="283">
        <f>IF('Intl Priority'!$H$105&gt;ROUND(((1-IntPriorityDiscount-IntPriorityIncentive)*'Intl Priority'!H34),2),ROUND('Intl Priority'!$H$105*(1+International_Fuel_Surcharge),2),ROUND(((1-IntPriorityDiscount-IntPriorityIncentive)*'Intl Priority'!H34)*(1+International_Fuel_Surcharge),2))</f>
        <v>124.63</v>
      </c>
      <c r="I37" s="283">
        <f>IF('Intl Priority'!$I$105&gt;ROUND(((1-IntPriorityDiscount-IntPriorityIncentive)*'Intl Priority'!I34),2),ROUND('Intl Priority'!$I$105*(1+International_Fuel_Surcharge),2),ROUND(((1-IntPriorityDiscount-IntPriorityIncentive)*'Intl Priority'!I34)*(1+International_Fuel_Surcharge),2))</f>
        <v>130.34</v>
      </c>
      <c r="J37" s="283">
        <f>IF('Intl Priority'!$J$105&gt;ROUND(((1-IntPriorityDiscount-IntPriorityIncentive)*'Intl Priority'!J34),2),ROUND('Intl Priority'!$J$105*(1+International_Fuel_Surcharge),2),ROUND(((1-IntPriorityDiscount-IntPriorityIncentive)*'Intl Priority'!J34)*(1+International_Fuel_Surcharge),2))</f>
        <v>86.53</v>
      </c>
      <c r="K37" s="283">
        <f>IF('Intl Priority'!$K$105&gt;ROUND(((1-IntPriorityDiscount-IntPriorityIncentive)*'Intl Priority'!K34),2),ROUND('Intl Priority'!$K$105*(1+International_Fuel_Surcharge),2),ROUND(((1-IntPriorityDiscount-IntPriorityIncentive)*'Intl Priority'!K34)*(1+International_Fuel_Surcharge),2))</f>
        <v>184.93</v>
      </c>
      <c r="L37" s="283">
        <f>IF('Intl Priority'!$L$105&gt;ROUND(((1-IntPriorityDiscount-IntPriorityIncentive)*'Intl Priority'!L34),2),ROUND('Intl Priority'!$L$105*(1+International_Fuel_Surcharge),2),ROUND(((1-IntPriorityDiscount-IntPriorityIncentive)*'Intl Priority'!L34)*(1+International_Fuel_Surcharge),2))</f>
        <v>153.78</v>
      </c>
      <c r="M37" s="283">
        <f>IF('Intl Priority'!$M$105&gt;ROUND(((1-IntPriorityDiscount-IntPriorityIncentive)*'Intl Priority'!M34),2),ROUND('Intl Priority'!$M$105*(1+International_Fuel_Surcharge),2),ROUND(((1-IntPriorityDiscount-IntPriorityIncentive)*'Intl Priority'!M34)*(1+International_Fuel_Surcharge),2))</f>
        <v>220.35</v>
      </c>
      <c r="N37" s="283">
        <f>IF('Intl Priority'!$N$105&gt;ROUND(((1-IntPriorityDiscount-IntPriorityIncentive)*'Intl Priority'!N34),2),ROUND('Intl Priority'!$N$105*(1+International_Fuel_Surcharge),2),ROUND(((1-IntPriorityDiscount-IntPriorityIncentive)*'Intl Priority'!N34)*(1+International_Fuel_Surcharge),2))</f>
        <v>236.97</v>
      </c>
      <c r="O37" s="283">
        <f>IF('Intl Priority'!$O$105&gt;ROUND(((1-IntPriorityDiscount-IntPriorityIncentive)*'Intl Priority'!O34),2),ROUND('Intl Priority'!$O$105*(1+International_Fuel_Surcharge),2),ROUND(((1-IntPriorityDiscount-IntPriorityIncentive)*'Intl Priority'!O34)*(1+International_Fuel_Surcharge),2))</f>
        <v>157.43</v>
      </c>
      <c r="P37" s="283">
        <f>IF('Intl Priority'!$P$105&gt;ROUND(((1-IntPriorityDiscount-IntPriorityIncentive)*'Intl Priority'!P34),2),ROUND('Intl Priority'!$P$105*(1+International_Fuel_Surcharge),2),ROUND(((1-IntPriorityDiscount-IntPriorityIncentive)*'Intl Priority'!P34)*(1+International_Fuel_Surcharge),2))</f>
        <v>166.55</v>
      </c>
      <c r="Q37" s="283">
        <f>IF('Intl Priority'!$Q$105&gt;ROUND(((1-PuertoRicoDiscount)*'Intl Priority'!Q34),2),ROUND('Intl Priority'!$Q$105*(1+International_Fuel_Surcharge),2),ROUND(((1-PuertoRicoDiscount)*'Intl Priority'!Q34)*(1+International_Fuel_Surcharge),2))</f>
        <v>205.86</v>
      </c>
      <c r="R37" s="138"/>
      <c r="S37" s="138"/>
      <c r="T37" s="138"/>
      <c r="U37" s="138"/>
      <c r="V37" s="138"/>
      <c r="W37" s="138"/>
      <c r="X37" s="138"/>
      <c r="Y37" s="138"/>
      <c r="Z37" s="138"/>
    </row>
    <row r="38" ht="12.75" customHeight="1">
      <c r="A38" s="274">
        <v>33.0</v>
      </c>
      <c r="B38" s="283">
        <f>IF('Intl Priority'!$B$105&gt;ROUND(((1-IntPriorityDiscount-IntPriorityIncentive)*'Intl Priority'!B35),2),ROUND('Intl Priority'!$B$105*(1+International_Fuel_Surcharge),2),ROUND(((1-IntPriorityDiscount-IntPriorityIncentive)*'Intl Priority'!B35)*(1+International_Fuel_Surcharge),2))</f>
        <v>79.02</v>
      </c>
      <c r="C38" s="283">
        <f>IF('Intl Priority'!$C$105&gt;ROUND(((1-IntPriorityDiscount-IntPriorityIncentive)*'Intl Priority'!C35),2),ROUND('Intl Priority'!$C$105*(1+International_Fuel_Surcharge),2),ROUND(((1-IntPriorityDiscount-IntPriorityIncentive)*'Intl Priority'!C35)*(1+International_Fuel_Surcharge),2))</f>
        <v>93.36</v>
      </c>
      <c r="D38" s="283">
        <f>IF('Intl Priority'!$D$105&gt;ROUND(((1-IntPriorityDiscount-IntPriorityIncentive)*'Intl Priority'!D35),2),ROUND('Intl Priority'!$D$105*(1+International_Fuel_Surcharge),2),ROUND(((1-IntPriorityDiscount-IntPriorityIncentive)*'Intl Priority'!D35)*(1+International_Fuel_Surcharge),2))</f>
        <v>98.2</v>
      </c>
      <c r="E38" s="283">
        <f>IF('Intl Priority'!$E$105&gt;ROUND(((1-IntPriorityDiscount-IntPriorityIncentive)*'Intl Priority'!E35),2),ROUND('Intl Priority'!$E$105*(1+International_Fuel_Surcharge),2),ROUND(((1-IntPriorityDiscount-IntPriorityIncentive)*'Intl Priority'!E35)*(1+International_Fuel_Surcharge),2))</f>
        <v>130.35</v>
      </c>
      <c r="F38" s="283">
        <f>IF('Intl Priority'!$F$105&gt;ROUND(((1-IntPriorityDiscount-IntPriorityIncentive)*'Intl Priority'!F35),2),ROUND('Intl Priority'!$F$105*(1+International_Fuel_Surcharge),2),ROUND(((1-IntPriorityDiscount-IntPriorityIncentive)*'Intl Priority'!F35)*(1+International_Fuel_Surcharge),2))</f>
        <v>235.39</v>
      </c>
      <c r="G38" s="283">
        <f>IF('Intl Priority'!$G$105&gt;ROUND(((1-IntPriorityDiscount-IntPriorityIncentive)*'Intl Priority'!G35),2),ROUND('Intl Priority'!$G$105*(1+International_Fuel_Surcharge),2),ROUND(((1-IntPriorityDiscount-IntPriorityIncentive)*'Intl Priority'!G35)*(1+International_Fuel_Surcharge),2))</f>
        <v>128.9</v>
      </c>
      <c r="H38" s="283">
        <f>IF('Intl Priority'!$H$105&gt;ROUND(((1-IntPriorityDiscount-IntPriorityIncentive)*'Intl Priority'!H35),2),ROUND('Intl Priority'!$H$105*(1+International_Fuel_Surcharge),2),ROUND(((1-IntPriorityDiscount-IntPriorityIncentive)*'Intl Priority'!H35)*(1+International_Fuel_Surcharge),2))</f>
        <v>130.27</v>
      </c>
      <c r="I38" s="283">
        <f>IF('Intl Priority'!$I$105&gt;ROUND(((1-IntPriorityDiscount-IntPriorityIncentive)*'Intl Priority'!I35),2),ROUND('Intl Priority'!$I$105*(1+International_Fuel_Surcharge),2),ROUND(((1-IntPriorityDiscount-IntPriorityIncentive)*'Intl Priority'!I35)*(1+International_Fuel_Surcharge),2))</f>
        <v>134.01</v>
      </c>
      <c r="J38" s="283">
        <f>IF('Intl Priority'!$J$105&gt;ROUND(((1-IntPriorityDiscount-IntPriorityIncentive)*'Intl Priority'!J35),2),ROUND('Intl Priority'!$J$105*(1+International_Fuel_Surcharge),2),ROUND(((1-IntPriorityDiscount-IntPriorityIncentive)*'Intl Priority'!J35)*(1+International_Fuel_Surcharge),2))</f>
        <v>86.69</v>
      </c>
      <c r="K38" s="283">
        <f>IF('Intl Priority'!$K$105&gt;ROUND(((1-IntPriorityDiscount-IntPriorityIncentive)*'Intl Priority'!K35),2),ROUND('Intl Priority'!$K$105*(1+International_Fuel_Surcharge),2),ROUND(((1-IntPriorityDiscount-IntPriorityIncentive)*'Intl Priority'!K35)*(1+International_Fuel_Surcharge),2))</f>
        <v>189.17</v>
      </c>
      <c r="L38" s="283">
        <f>IF('Intl Priority'!$L$105&gt;ROUND(((1-IntPriorityDiscount-IntPriorityIncentive)*'Intl Priority'!L35),2),ROUND('Intl Priority'!$L$105*(1+International_Fuel_Surcharge),2),ROUND(((1-IntPriorityDiscount-IntPriorityIncentive)*'Intl Priority'!L35)*(1+International_Fuel_Surcharge),2))</f>
        <v>160.19</v>
      </c>
      <c r="M38" s="283">
        <f>IF('Intl Priority'!$M$105&gt;ROUND(((1-IntPriorityDiscount-IntPriorityIncentive)*'Intl Priority'!M35),2),ROUND('Intl Priority'!$M$105*(1+International_Fuel_Surcharge),2),ROUND(((1-IntPriorityDiscount-IntPriorityIncentive)*'Intl Priority'!M35)*(1+International_Fuel_Surcharge),2))</f>
        <v>236.9</v>
      </c>
      <c r="N38" s="283">
        <f>IF('Intl Priority'!$N$105&gt;ROUND(((1-IntPriorityDiscount-IntPriorityIncentive)*'Intl Priority'!N35),2),ROUND('Intl Priority'!$N$105*(1+International_Fuel_Surcharge),2),ROUND(((1-IntPriorityDiscount-IntPriorityIncentive)*'Intl Priority'!N35)*(1+International_Fuel_Surcharge),2))</f>
        <v>237.02</v>
      </c>
      <c r="O38" s="283">
        <f>IF('Intl Priority'!$O$105&gt;ROUND(((1-IntPriorityDiscount-IntPriorityIncentive)*'Intl Priority'!O35),2),ROUND('Intl Priority'!$O$105*(1+International_Fuel_Surcharge),2),ROUND(((1-IntPriorityDiscount-IntPriorityIncentive)*'Intl Priority'!O35)*(1+International_Fuel_Surcharge),2))</f>
        <v>158.35</v>
      </c>
      <c r="P38" s="283">
        <f>IF('Intl Priority'!$P$105&gt;ROUND(((1-IntPriorityDiscount-IntPriorityIncentive)*'Intl Priority'!P35),2),ROUND('Intl Priority'!$P$105*(1+International_Fuel_Surcharge),2),ROUND(((1-IntPriorityDiscount-IntPriorityIncentive)*'Intl Priority'!P35)*(1+International_Fuel_Surcharge),2))</f>
        <v>172.61</v>
      </c>
      <c r="Q38" s="283">
        <f>IF('Intl Priority'!$Q$105&gt;ROUND(((1-PuertoRicoDiscount)*'Intl Priority'!Q35),2),ROUND('Intl Priority'!$Q$105*(1+International_Fuel_Surcharge),2),ROUND(((1-PuertoRicoDiscount)*'Intl Priority'!Q35)*(1+International_Fuel_Surcharge),2))</f>
        <v>210.57</v>
      </c>
      <c r="R38" s="138"/>
      <c r="S38" s="138"/>
      <c r="T38" s="138"/>
      <c r="U38" s="138"/>
      <c r="V38" s="138"/>
      <c r="W38" s="138"/>
      <c r="X38" s="138"/>
      <c r="Y38" s="138"/>
      <c r="Z38" s="138"/>
    </row>
    <row r="39" ht="12.75" customHeight="1">
      <c r="A39" s="274">
        <v>34.0</v>
      </c>
      <c r="B39" s="283">
        <f>IF('Intl Priority'!$B$105&gt;ROUND(((1-IntPriorityDiscount-IntPriorityIncentive)*'Intl Priority'!B36),2),ROUND('Intl Priority'!$B$105*(1+International_Fuel_Surcharge),2),ROUND(((1-IntPriorityDiscount-IntPriorityIncentive)*'Intl Priority'!B36)*(1+International_Fuel_Surcharge),2))</f>
        <v>79.07</v>
      </c>
      <c r="C39" s="283">
        <f>IF('Intl Priority'!$C$105&gt;ROUND(((1-IntPriorityDiscount-IntPriorityIncentive)*'Intl Priority'!C36),2),ROUND('Intl Priority'!$C$105*(1+International_Fuel_Surcharge),2),ROUND(((1-IntPriorityDiscount-IntPriorityIncentive)*'Intl Priority'!C36)*(1+International_Fuel_Surcharge),2))</f>
        <v>94.87</v>
      </c>
      <c r="D39" s="283">
        <f>IF('Intl Priority'!$D$105&gt;ROUND(((1-IntPriorityDiscount-IntPriorityIncentive)*'Intl Priority'!D36),2),ROUND('Intl Priority'!$D$105*(1+International_Fuel_Surcharge),2),ROUND(((1-IntPriorityDiscount-IntPriorityIncentive)*'Intl Priority'!D36)*(1+International_Fuel_Surcharge),2))</f>
        <v>98.76</v>
      </c>
      <c r="E39" s="283">
        <f>IF('Intl Priority'!$E$105&gt;ROUND(((1-IntPriorityDiscount-IntPriorityIncentive)*'Intl Priority'!E36),2),ROUND('Intl Priority'!$E$105*(1+International_Fuel_Surcharge),2),ROUND(((1-IntPriorityDiscount-IntPriorityIncentive)*'Intl Priority'!E36)*(1+International_Fuel_Surcharge),2))</f>
        <v>131.42</v>
      </c>
      <c r="F39" s="283">
        <f>IF('Intl Priority'!$F$105&gt;ROUND(((1-IntPriorityDiscount-IntPriorityIncentive)*'Intl Priority'!F36),2),ROUND('Intl Priority'!$F$105*(1+International_Fuel_Surcharge),2),ROUND(((1-IntPriorityDiscount-IntPriorityIncentive)*'Intl Priority'!F36)*(1+International_Fuel_Surcharge),2))</f>
        <v>236.04</v>
      </c>
      <c r="G39" s="283">
        <f>IF('Intl Priority'!$G$105&gt;ROUND(((1-IntPriorityDiscount-IntPriorityIncentive)*'Intl Priority'!G36),2),ROUND('Intl Priority'!$G$105*(1+International_Fuel_Surcharge),2),ROUND(((1-IntPriorityDiscount-IntPriorityIncentive)*'Intl Priority'!G36)*(1+International_Fuel_Surcharge),2))</f>
        <v>131</v>
      </c>
      <c r="H39" s="283">
        <f>IF('Intl Priority'!$H$105&gt;ROUND(((1-IntPriorityDiscount-IntPriorityIncentive)*'Intl Priority'!H36),2),ROUND('Intl Priority'!$H$105*(1+International_Fuel_Surcharge),2),ROUND(((1-IntPriorityDiscount-IntPriorityIncentive)*'Intl Priority'!H36)*(1+International_Fuel_Surcharge),2))</f>
        <v>130.84</v>
      </c>
      <c r="I39" s="283">
        <f>IF('Intl Priority'!$I$105&gt;ROUND(((1-IntPriorityDiscount-IntPriorityIncentive)*'Intl Priority'!I36),2),ROUND('Intl Priority'!$I$105*(1+International_Fuel_Surcharge),2),ROUND(((1-IntPriorityDiscount-IntPriorityIncentive)*'Intl Priority'!I36)*(1+International_Fuel_Surcharge),2))</f>
        <v>134.41</v>
      </c>
      <c r="J39" s="283">
        <f>IF('Intl Priority'!$J$105&gt;ROUND(((1-IntPriorityDiscount-IntPriorityIncentive)*'Intl Priority'!J36),2),ROUND('Intl Priority'!$J$105*(1+International_Fuel_Surcharge),2),ROUND(((1-IntPriorityDiscount-IntPriorityIncentive)*'Intl Priority'!J36)*(1+International_Fuel_Surcharge),2))</f>
        <v>89.87</v>
      </c>
      <c r="K39" s="283">
        <f>IF('Intl Priority'!$K$105&gt;ROUND(((1-IntPriorityDiscount-IntPriorityIncentive)*'Intl Priority'!K36),2),ROUND('Intl Priority'!$K$105*(1+International_Fuel_Surcharge),2),ROUND(((1-IntPriorityDiscount-IntPriorityIncentive)*'Intl Priority'!K36)*(1+International_Fuel_Surcharge),2))</f>
        <v>193.26</v>
      </c>
      <c r="L39" s="283">
        <f>IF('Intl Priority'!$L$105&gt;ROUND(((1-IntPriorityDiscount-IntPriorityIncentive)*'Intl Priority'!L36),2),ROUND('Intl Priority'!$L$105*(1+International_Fuel_Surcharge),2),ROUND(((1-IntPriorityDiscount-IntPriorityIncentive)*'Intl Priority'!L36)*(1+International_Fuel_Surcharge),2))</f>
        <v>160.84</v>
      </c>
      <c r="M39" s="283">
        <f>IF('Intl Priority'!$M$105&gt;ROUND(((1-IntPriorityDiscount-IntPriorityIncentive)*'Intl Priority'!M36),2),ROUND('Intl Priority'!$M$105*(1+International_Fuel_Surcharge),2),ROUND(((1-IntPriorityDiscount-IntPriorityIncentive)*'Intl Priority'!M36)*(1+International_Fuel_Surcharge),2))</f>
        <v>238.56</v>
      </c>
      <c r="N39" s="283">
        <f>IF('Intl Priority'!$N$105&gt;ROUND(((1-IntPriorityDiscount-IntPriorityIncentive)*'Intl Priority'!N36),2),ROUND('Intl Priority'!$N$105*(1+International_Fuel_Surcharge),2),ROUND(((1-IntPriorityDiscount-IntPriorityIncentive)*'Intl Priority'!N36)*(1+International_Fuel_Surcharge),2))</f>
        <v>237.06</v>
      </c>
      <c r="O39" s="283">
        <f>IF('Intl Priority'!$O$105&gt;ROUND(((1-IntPriorityDiscount-IntPriorityIncentive)*'Intl Priority'!O36),2),ROUND('Intl Priority'!$O$105*(1+International_Fuel_Surcharge),2),ROUND(((1-IntPriorityDiscount-IntPriorityIncentive)*'Intl Priority'!O36)*(1+International_Fuel_Surcharge),2))</f>
        <v>164.05</v>
      </c>
      <c r="P39" s="283">
        <f>IF('Intl Priority'!$P$105&gt;ROUND(((1-IntPriorityDiscount-IntPriorityIncentive)*'Intl Priority'!P36),2),ROUND('Intl Priority'!$P$105*(1+International_Fuel_Surcharge),2),ROUND(((1-IntPriorityDiscount-IntPriorityIncentive)*'Intl Priority'!P36)*(1+International_Fuel_Surcharge),2))</f>
        <v>173.34</v>
      </c>
      <c r="Q39" s="283">
        <f>IF('Intl Priority'!$Q$105&gt;ROUND(((1-PuertoRicoDiscount)*'Intl Priority'!Q36),2),ROUND('Intl Priority'!$Q$105*(1+International_Fuel_Surcharge),2),ROUND(((1-PuertoRicoDiscount)*'Intl Priority'!Q36)*(1+International_Fuel_Surcharge),2))</f>
        <v>214.83</v>
      </c>
      <c r="R39" s="138"/>
      <c r="S39" s="138"/>
      <c r="T39" s="138"/>
      <c r="U39" s="138"/>
      <c r="V39" s="138"/>
      <c r="W39" s="138"/>
      <c r="X39" s="138"/>
      <c r="Y39" s="138"/>
      <c r="Z39" s="138"/>
    </row>
    <row r="40" ht="12.75" customHeight="1">
      <c r="A40" s="274">
        <v>35.0</v>
      </c>
      <c r="B40" s="283">
        <f>IF('Intl Priority'!$B$105&gt;ROUND(((1-IntPriorityDiscount-IntPriorityIncentive)*'Intl Priority'!B37),2),ROUND('Intl Priority'!$B$105*(1+International_Fuel_Surcharge),2),ROUND(((1-IntPriorityDiscount-IntPriorityIncentive)*'Intl Priority'!B37)*(1+International_Fuel_Surcharge),2))</f>
        <v>79.12</v>
      </c>
      <c r="C40" s="283">
        <f>IF('Intl Priority'!$C$105&gt;ROUND(((1-IntPriorityDiscount-IntPriorityIncentive)*'Intl Priority'!C37),2),ROUND('Intl Priority'!$C$105*(1+International_Fuel_Surcharge),2),ROUND(((1-IntPriorityDiscount-IntPriorityIncentive)*'Intl Priority'!C37)*(1+International_Fuel_Surcharge),2))</f>
        <v>96.38</v>
      </c>
      <c r="D40" s="283">
        <f>IF('Intl Priority'!$D$105&gt;ROUND(((1-IntPriorityDiscount-IntPriorityIncentive)*'Intl Priority'!D37),2),ROUND('Intl Priority'!$D$105*(1+International_Fuel_Surcharge),2),ROUND(((1-IntPriorityDiscount-IntPriorityIncentive)*'Intl Priority'!D37)*(1+International_Fuel_Surcharge),2))</f>
        <v>98.82</v>
      </c>
      <c r="E40" s="283">
        <f>IF('Intl Priority'!$E$105&gt;ROUND(((1-IntPriorityDiscount-IntPriorityIncentive)*'Intl Priority'!E37),2),ROUND('Intl Priority'!$E$105*(1+International_Fuel_Surcharge),2),ROUND(((1-IntPriorityDiscount-IntPriorityIncentive)*'Intl Priority'!E37)*(1+International_Fuel_Surcharge),2))</f>
        <v>135.13</v>
      </c>
      <c r="F40" s="283">
        <f>IF('Intl Priority'!$F$105&gt;ROUND(((1-IntPriorityDiscount-IntPriorityIncentive)*'Intl Priority'!F37),2),ROUND('Intl Priority'!$F$105*(1+International_Fuel_Surcharge),2),ROUND(((1-IntPriorityDiscount-IntPriorityIncentive)*'Intl Priority'!F37)*(1+International_Fuel_Surcharge),2))</f>
        <v>243.18</v>
      </c>
      <c r="G40" s="283">
        <f>IF('Intl Priority'!$G$105&gt;ROUND(((1-IntPriorityDiscount-IntPriorityIncentive)*'Intl Priority'!G37),2),ROUND('Intl Priority'!$G$105*(1+International_Fuel_Surcharge),2),ROUND(((1-IntPriorityDiscount-IntPriorityIncentive)*'Intl Priority'!G37)*(1+International_Fuel_Surcharge),2))</f>
        <v>131.21</v>
      </c>
      <c r="H40" s="283">
        <f>IF('Intl Priority'!$H$105&gt;ROUND(((1-IntPriorityDiscount-IntPriorityIncentive)*'Intl Priority'!H37),2),ROUND('Intl Priority'!$H$105*(1+International_Fuel_Surcharge),2),ROUND(((1-IntPriorityDiscount-IntPriorityIncentive)*'Intl Priority'!H37)*(1+International_Fuel_Surcharge),2))</f>
        <v>131.19</v>
      </c>
      <c r="I40" s="283">
        <f>IF('Intl Priority'!$I$105&gt;ROUND(((1-IntPriorityDiscount-IntPriorityIncentive)*'Intl Priority'!I37),2),ROUND('Intl Priority'!$I$105*(1+International_Fuel_Surcharge),2),ROUND(((1-IntPriorityDiscount-IntPriorityIncentive)*'Intl Priority'!I37)*(1+International_Fuel_Surcharge),2))</f>
        <v>136.69</v>
      </c>
      <c r="J40" s="283">
        <f>IF('Intl Priority'!$J$105&gt;ROUND(((1-IntPriorityDiscount-IntPriorityIncentive)*'Intl Priority'!J37),2),ROUND('Intl Priority'!$J$105*(1+International_Fuel_Surcharge),2),ROUND(((1-IntPriorityDiscount-IntPriorityIncentive)*'Intl Priority'!J37)*(1+International_Fuel_Surcharge),2))</f>
        <v>90.26</v>
      </c>
      <c r="K40" s="283">
        <f>IF('Intl Priority'!$K$105&gt;ROUND(((1-IntPriorityDiscount-IntPriorityIncentive)*'Intl Priority'!K37),2),ROUND('Intl Priority'!$K$105*(1+International_Fuel_Surcharge),2),ROUND(((1-IntPriorityDiscount-IntPriorityIncentive)*'Intl Priority'!K37)*(1+International_Fuel_Surcharge),2))</f>
        <v>197.5</v>
      </c>
      <c r="L40" s="283">
        <f>IF('Intl Priority'!$L$105&gt;ROUND(((1-IntPriorityDiscount-IntPriorityIncentive)*'Intl Priority'!L37),2),ROUND('Intl Priority'!$L$105*(1+International_Fuel_Surcharge),2),ROUND(((1-IntPriorityDiscount-IntPriorityIncentive)*'Intl Priority'!L37)*(1+International_Fuel_Surcharge),2))</f>
        <v>161.21</v>
      </c>
      <c r="M40" s="283">
        <f>IF('Intl Priority'!$M$105&gt;ROUND(((1-IntPriorityDiscount-IntPriorityIncentive)*'Intl Priority'!M37),2),ROUND('Intl Priority'!$M$105*(1+International_Fuel_Surcharge),2),ROUND(((1-IntPriorityDiscount-IntPriorityIncentive)*'Intl Priority'!M37)*(1+International_Fuel_Surcharge),2))</f>
        <v>252.71</v>
      </c>
      <c r="N40" s="283">
        <f>IF('Intl Priority'!$N$105&gt;ROUND(((1-IntPriorityDiscount-IntPriorityIncentive)*'Intl Priority'!N37),2),ROUND('Intl Priority'!$N$105*(1+International_Fuel_Surcharge),2),ROUND(((1-IntPriorityDiscount-IntPriorityIncentive)*'Intl Priority'!N37)*(1+International_Fuel_Surcharge),2))</f>
        <v>237.11</v>
      </c>
      <c r="O40" s="283">
        <f>IF('Intl Priority'!$O$105&gt;ROUND(((1-IntPriorityDiscount-IntPriorityIncentive)*'Intl Priority'!O37),2),ROUND('Intl Priority'!$O$105*(1+International_Fuel_Surcharge),2),ROUND(((1-IntPriorityDiscount-IntPriorityIncentive)*'Intl Priority'!O37)*(1+International_Fuel_Surcharge),2))</f>
        <v>164.68</v>
      </c>
      <c r="P40" s="283">
        <f>IF('Intl Priority'!$P$105&gt;ROUND(((1-IntPriorityDiscount-IntPriorityIncentive)*'Intl Priority'!P37),2),ROUND('Intl Priority'!$P$105*(1+International_Fuel_Surcharge),2),ROUND(((1-IntPriorityDiscount-IntPriorityIncentive)*'Intl Priority'!P37)*(1+International_Fuel_Surcharge),2))</f>
        <v>177.54</v>
      </c>
      <c r="Q40" s="283">
        <f>IF('Intl Priority'!$Q$105&gt;ROUND(((1-PuertoRicoDiscount)*'Intl Priority'!Q37),2),ROUND('Intl Priority'!$Q$105*(1+International_Fuel_Surcharge),2),ROUND(((1-PuertoRicoDiscount)*'Intl Priority'!Q37)*(1+International_Fuel_Surcharge),2))</f>
        <v>219.22</v>
      </c>
      <c r="R40" s="138"/>
      <c r="S40" s="138"/>
      <c r="T40" s="138"/>
      <c r="U40" s="138"/>
      <c r="V40" s="138"/>
      <c r="W40" s="138"/>
      <c r="X40" s="138"/>
      <c r="Y40" s="138"/>
      <c r="Z40" s="138"/>
    </row>
    <row r="41" ht="12.75" customHeight="1">
      <c r="A41" s="274">
        <v>36.0</v>
      </c>
      <c r="B41" s="283">
        <f>IF('Intl Priority'!$B$105&gt;ROUND(((1-IntPriorityDiscount-IntPriorityIncentive)*'Intl Priority'!B38),2),ROUND('Intl Priority'!$B$105*(1+International_Fuel_Surcharge),2),ROUND(((1-IntPriorityDiscount-IntPriorityIncentive)*'Intl Priority'!B38)*(1+International_Fuel_Surcharge),2))</f>
        <v>79.55</v>
      </c>
      <c r="C41" s="283">
        <f>IF('Intl Priority'!$C$105&gt;ROUND(((1-IntPriorityDiscount-IntPriorityIncentive)*'Intl Priority'!C38),2),ROUND('Intl Priority'!$C$105*(1+International_Fuel_Surcharge),2),ROUND(((1-IntPriorityDiscount-IntPriorityIncentive)*'Intl Priority'!C38)*(1+International_Fuel_Surcharge),2))</f>
        <v>96.54</v>
      </c>
      <c r="D41" s="283">
        <f>IF('Intl Priority'!$D$105&gt;ROUND(((1-IntPriorityDiscount-IntPriorityIncentive)*'Intl Priority'!D38),2),ROUND('Intl Priority'!$D$105*(1+International_Fuel_Surcharge),2),ROUND(((1-IntPriorityDiscount-IntPriorityIncentive)*'Intl Priority'!D38)*(1+International_Fuel_Surcharge),2))</f>
        <v>98.9</v>
      </c>
      <c r="E41" s="283">
        <f>IF('Intl Priority'!$E$105&gt;ROUND(((1-IntPriorityDiscount-IntPriorityIncentive)*'Intl Priority'!E38),2),ROUND('Intl Priority'!$E$105*(1+International_Fuel_Surcharge),2),ROUND(((1-IntPriorityDiscount-IntPriorityIncentive)*'Intl Priority'!E38)*(1+International_Fuel_Surcharge),2))</f>
        <v>135.51</v>
      </c>
      <c r="F41" s="283">
        <f>IF('Intl Priority'!$F$105&gt;ROUND(((1-IntPriorityDiscount-IntPriorityIncentive)*'Intl Priority'!F38),2),ROUND('Intl Priority'!$F$105*(1+International_Fuel_Surcharge),2),ROUND(((1-IntPriorityDiscount-IntPriorityIncentive)*'Intl Priority'!F38)*(1+International_Fuel_Surcharge),2))</f>
        <v>243.89</v>
      </c>
      <c r="G41" s="283">
        <f>IF('Intl Priority'!$G$105&gt;ROUND(((1-IntPriorityDiscount-IntPriorityIncentive)*'Intl Priority'!G38),2),ROUND('Intl Priority'!$G$105*(1+International_Fuel_Surcharge),2),ROUND(((1-IntPriorityDiscount-IntPriorityIncentive)*'Intl Priority'!G38)*(1+International_Fuel_Surcharge),2))</f>
        <v>131.85</v>
      </c>
      <c r="H41" s="283">
        <f>IF('Intl Priority'!$H$105&gt;ROUND(((1-IntPriorityDiscount-IntPriorityIncentive)*'Intl Priority'!H38),2),ROUND('Intl Priority'!$H$105*(1+International_Fuel_Surcharge),2),ROUND(((1-IntPriorityDiscount-IntPriorityIncentive)*'Intl Priority'!H38)*(1+International_Fuel_Surcharge),2))</f>
        <v>138.21</v>
      </c>
      <c r="I41" s="283">
        <f>IF('Intl Priority'!$I$105&gt;ROUND(((1-IntPriorityDiscount-IntPriorityIncentive)*'Intl Priority'!I38),2),ROUND('Intl Priority'!$I$105*(1+International_Fuel_Surcharge),2),ROUND(((1-IntPriorityDiscount-IntPriorityIncentive)*'Intl Priority'!I38)*(1+International_Fuel_Surcharge),2))</f>
        <v>141.87</v>
      </c>
      <c r="J41" s="283">
        <f>IF('Intl Priority'!$J$105&gt;ROUND(((1-IntPriorityDiscount-IntPriorityIncentive)*'Intl Priority'!J38),2),ROUND('Intl Priority'!$J$105*(1+International_Fuel_Surcharge),2),ROUND(((1-IntPriorityDiscount-IntPriorityIncentive)*'Intl Priority'!J38)*(1+International_Fuel_Surcharge),2))</f>
        <v>97.91</v>
      </c>
      <c r="K41" s="283">
        <f>IF('Intl Priority'!$K$105&gt;ROUND(((1-IntPriorityDiscount-IntPriorityIncentive)*'Intl Priority'!K38),2),ROUND('Intl Priority'!$K$105*(1+International_Fuel_Surcharge),2),ROUND(((1-IntPriorityDiscount-IntPriorityIncentive)*'Intl Priority'!K38)*(1+International_Fuel_Surcharge),2))</f>
        <v>197.92</v>
      </c>
      <c r="L41" s="283">
        <f>IF('Intl Priority'!$L$105&gt;ROUND(((1-IntPriorityDiscount-IntPriorityIncentive)*'Intl Priority'!L38),2),ROUND('Intl Priority'!$L$105*(1+International_Fuel_Surcharge),2),ROUND(((1-IntPriorityDiscount-IntPriorityIncentive)*'Intl Priority'!L38)*(1+International_Fuel_Surcharge),2))</f>
        <v>161.27</v>
      </c>
      <c r="M41" s="283">
        <f>IF('Intl Priority'!$M$105&gt;ROUND(((1-IntPriorityDiscount-IntPriorityIncentive)*'Intl Priority'!M38),2),ROUND('Intl Priority'!$M$105*(1+International_Fuel_Surcharge),2),ROUND(((1-IntPriorityDiscount-IntPriorityIncentive)*'Intl Priority'!M38)*(1+International_Fuel_Surcharge),2))</f>
        <v>263.17</v>
      </c>
      <c r="N41" s="283">
        <f>IF('Intl Priority'!$N$105&gt;ROUND(((1-IntPriorityDiscount-IntPriorityIncentive)*'Intl Priority'!N38),2),ROUND('Intl Priority'!$N$105*(1+International_Fuel_Surcharge),2),ROUND(((1-IntPriorityDiscount-IntPriorityIncentive)*'Intl Priority'!N38)*(1+International_Fuel_Surcharge),2))</f>
        <v>237.17</v>
      </c>
      <c r="O41" s="283">
        <f>IF('Intl Priority'!$O$105&gt;ROUND(((1-IntPriorityDiscount-IntPriorityIncentive)*'Intl Priority'!O38),2),ROUND('Intl Priority'!$O$105*(1+International_Fuel_Surcharge),2),ROUND(((1-IntPriorityDiscount-IntPriorityIncentive)*'Intl Priority'!O38)*(1+International_Fuel_Surcharge),2))</f>
        <v>174.62</v>
      </c>
      <c r="P41" s="283">
        <f>IF('Intl Priority'!$P$105&gt;ROUND(((1-IntPriorityDiscount-IntPriorityIncentive)*'Intl Priority'!P38),2),ROUND('Intl Priority'!$P$105*(1+International_Fuel_Surcharge),2),ROUND(((1-IntPriorityDiscount-IntPriorityIncentive)*'Intl Priority'!P38)*(1+International_Fuel_Surcharge),2))</f>
        <v>183.83</v>
      </c>
      <c r="Q41" s="283">
        <f>IF('Intl Priority'!$Q$105&gt;ROUND(((1-PuertoRicoDiscount)*'Intl Priority'!Q38),2),ROUND('Intl Priority'!$Q$105*(1+International_Fuel_Surcharge),2),ROUND(((1-PuertoRicoDiscount)*'Intl Priority'!Q38)*(1+International_Fuel_Surcharge),2))</f>
        <v>223.49</v>
      </c>
      <c r="R41" s="138"/>
      <c r="S41" s="138"/>
      <c r="T41" s="138"/>
      <c r="U41" s="138"/>
      <c r="V41" s="138"/>
      <c r="W41" s="138"/>
      <c r="X41" s="138"/>
      <c r="Y41" s="138"/>
      <c r="Z41" s="138"/>
    </row>
    <row r="42" ht="12.75" customHeight="1">
      <c r="A42" s="274">
        <v>37.0</v>
      </c>
      <c r="B42" s="283">
        <f>IF('Intl Priority'!$B$105&gt;ROUND(((1-IntPriorityDiscount-IntPriorityIncentive)*'Intl Priority'!B39),2),ROUND('Intl Priority'!$B$105*(1+International_Fuel_Surcharge),2),ROUND(((1-IntPriorityDiscount-IntPriorityIncentive)*'Intl Priority'!B39)*(1+International_Fuel_Surcharge),2))</f>
        <v>88.1</v>
      </c>
      <c r="C42" s="283">
        <f>IF('Intl Priority'!$C$105&gt;ROUND(((1-IntPriorityDiscount-IntPriorityIncentive)*'Intl Priority'!C39),2),ROUND('Intl Priority'!$C$105*(1+International_Fuel_Surcharge),2),ROUND(((1-IntPriorityDiscount-IntPriorityIncentive)*'Intl Priority'!C39)*(1+International_Fuel_Surcharge),2))</f>
        <v>99.7</v>
      </c>
      <c r="D42" s="283">
        <f>IF('Intl Priority'!$D$105&gt;ROUND(((1-IntPriorityDiscount-IntPriorityIncentive)*'Intl Priority'!D39),2),ROUND('Intl Priority'!$D$105*(1+International_Fuel_Surcharge),2),ROUND(((1-IntPriorityDiscount-IntPriorityIncentive)*'Intl Priority'!D39)*(1+International_Fuel_Surcharge),2))</f>
        <v>98.97</v>
      </c>
      <c r="E42" s="283">
        <f>IF('Intl Priority'!$E$105&gt;ROUND(((1-IntPriorityDiscount-IntPriorityIncentive)*'Intl Priority'!E39),2),ROUND('Intl Priority'!$E$105*(1+International_Fuel_Surcharge),2),ROUND(((1-IntPriorityDiscount-IntPriorityIncentive)*'Intl Priority'!E39)*(1+International_Fuel_Surcharge),2))</f>
        <v>135.74</v>
      </c>
      <c r="F42" s="283">
        <f>IF('Intl Priority'!$F$105&gt;ROUND(((1-IntPriorityDiscount-IntPriorityIncentive)*'Intl Priority'!F39),2),ROUND('Intl Priority'!$F$105*(1+International_Fuel_Surcharge),2),ROUND(((1-IntPriorityDiscount-IntPriorityIncentive)*'Intl Priority'!F39)*(1+International_Fuel_Surcharge),2))</f>
        <v>249.66</v>
      </c>
      <c r="G42" s="283">
        <f>IF('Intl Priority'!$G$105&gt;ROUND(((1-IntPriorityDiscount-IntPriorityIncentive)*'Intl Priority'!G39),2),ROUND('Intl Priority'!$G$105*(1+International_Fuel_Surcharge),2),ROUND(((1-IntPriorityDiscount-IntPriorityIncentive)*'Intl Priority'!G39)*(1+International_Fuel_Surcharge),2))</f>
        <v>139.38</v>
      </c>
      <c r="H42" s="283">
        <f>IF('Intl Priority'!$H$105&gt;ROUND(((1-IntPriorityDiscount-IntPriorityIncentive)*'Intl Priority'!H39),2),ROUND('Intl Priority'!$H$105*(1+International_Fuel_Surcharge),2),ROUND(((1-IntPriorityDiscount-IntPriorityIncentive)*'Intl Priority'!H39)*(1+International_Fuel_Surcharge),2))</f>
        <v>140.85</v>
      </c>
      <c r="I42" s="283">
        <f>IF('Intl Priority'!$I$105&gt;ROUND(((1-IntPriorityDiscount-IntPriorityIncentive)*'Intl Priority'!I39),2),ROUND('Intl Priority'!$I$105*(1+International_Fuel_Surcharge),2),ROUND(((1-IntPriorityDiscount-IntPriorityIncentive)*'Intl Priority'!I39)*(1+International_Fuel_Surcharge),2))</f>
        <v>142.56</v>
      </c>
      <c r="J42" s="283">
        <f>IF('Intl Priority'!$J$105&gt;ROUND(((1-IntPriorityDiscount-IntPriorityIncentive)*'Intl Priority'!J39),2),ROUND('Intl Priority'!$J$105*(1+International_Fuel_Surcharge),2),ROUND(((1-IntPriorityDiscount-IntPriorityIncentive)*'Intl Priority'!J39)*(1+International_Fuel_Surcharge),2))</f>
        <v>103.37</v>
      </c>
      <c r="K42" s="283">
        <f>IF('Intl Priority'!$K$105&gt;ROUND(((1-IntPriorityDiscount-IntPriorityIncentive)*'Intl Priority'!K39),2),ROUND('Intl Priority'!$K$105*(1+International_Fuel_Surcharge),2),ROUND(((1-IntPriorityDiscount-IntPriorityIncentive)*'Intl Priority'!K39)*(1+International_Fuel_Surcharge),2))</f>
        <v>205.96</v>
      </c>
      <c r="L42" s="283">
        <f>IF('Intl Priority'!$L$105&gt;ROUND(((1-IntPriorityDiscount-IntPriorityIncentive)*'Intl Priority'!L39),2),ROUND('Intl Priority'!$L$105*(1+International_Fuel_Surcharge),2),ROUND(((1-IntPriorityDiscount-IntPriorityIncentive)*'Intl Priority'!L39)*(1+International_Fuel_Surcharge),2))</f>
        <v>161.32</v>
      </c>
      <c r="M42" s="283">
        <f>IF('Intl Priority'!$M$105&gt;ROUND(((1-IntPriorityDiscount-IntPriorityIncentive)*'Intl Priority'!M39),2),ROUND('Intl Priority'!$M$105*(1+International_Fuel_Surcharge),2),ROUND(((1-IntPriorityDiscount-IntPriorityIncentive)*'Intl Priority'!M39)*(1+International_Fuel_Surcharge),2))</f>
        <v>268.46</v>
      </c>
      <c r="N42" s="283">
        <f>IF('Intl Priority'!$N$105&gt;ROUND(((1-IntPriorityDiscount-IntPriorityIncentive)*'Intl Priority'!N39),2),ROUND('Intl Priority'!$N$105*(1+International_Fuel_Surcharge),2),ROUND(((1-IntPriorityDiscount-IntPriorityIncentive)*'Intl Priority'!N39)*(1+International_Fuel_Surcharge),2))</f>
        <v>237.21</v>
      </c>
      <c r="O42" s="283">
        <f>IF('Intl Priority'!$O$105&gt;ROUND(((1-IntPriorityDiscount-IntPriorityIncentive)*'Intl Priority'!O39),2),ROUND('Intl Priority'!$O$105*(1+International_Fuel_Surcharge),2),ROUND(((1-IntPriorityDiscount-IntPriorityIncentive)*'Intl Priority'!O39)*(1+International_Fuel_Surcharge),2))</f>
        <v>175.61</v>
      </c>
      <c r="P42" s="283">
        <f>IF('Intl Priority'!$P$105&gt;ROUND(((1-IntPriorityDiscount-IntPriorityIncentive)*'Intl Priority'!P39),2),ROUND('Intl Priority'!$P$105*(1+International_Fuel_Surcharge),2),ROUND(((1-IntPriorityDiscount-IntPriorityIncentive)*'Intl Priority'!P39)*(1+International_Fuel_Surcharge),2))</f>
        <v>184.45</v>
      </c>
      <c r="Q42" s="283">
        <f>IF('Intl Priority'!$Q$105&gt;ROUND(((1-PuertoRicoDiscount)*'Intl Priority'!Q39),2),ROUND('Intl Priority'!$Q$105*(1+International_Fuel_Surcharge),2),ROUND(((1-PuertoRicoDiscount)*'Intl Priority'!Q39)*(1+International_Fuel_Surcharge),2))</f>
        <v>228.31</v>
      </c>
      <c r="R42" s="138"/>
      <c r="S42" s="138"/>
      <c r="T42" s="138"/>
      <c r="U42" s="138"/>
      <c r="V42" s="138"/>
      <c r="W42" s="138"/>
      <c r="X42" s="138"/>
      <c r="Y42" s="138"/>
      <c r="Z42" s="138"/>
    </row>
    <row r="43" ht="12.75" customHeight="1">
      <c r="A43" s="274">
        <v>38.0</v>
      </c>
      <c r="B43" s="283">
        <f>IF('Intl Priority'!$B$105&gt;ROUND(((1-IntPriorityDiscount-IntPriorityIncentive)*'Intl Priority'!B40),2),ROUND('Intl Priority'!$B$105*(1+International_Fuel_Surcharge),2),ROUND(((1-IntPriorityDiscount-IntPriorityIncentive)*'Intl Priority'!B40)*(1+International_Fuel_Surcharge),2))</f>
        <v>89.24</v>
      </c>
      <c r="C43" s="283">
        <f>IF('Intl Priority'!$C$105&gt;ROUND(((1-IntPriorityDiscount-IntPriorityIncentive)*'Intl Priority'!C40),2),ROUND('Intl Priority'!$C$105*(1+International_Fuel_Surcharge),2),ROUND(((1-IntPriorityDiscount-IntPriorityIncentive)*'Intl Priority'!C40)*(1+International_Fuel_Surcharge),2))</f>
        <v>101.06</v>
      </c>
      <c r="D43" s="283">
        <f>IF('Intl Priority'!$D$105&gt;ROUND(((1-IntPriorityDiscount-IntPriorityIncentive)*'Intl Priority'!D40),2),ROUND('Intl Priority'!$D$105*(1+International_Fuel_Surcharge),2),ROUND(((1-IntPriorityDiscount-IntPriorityIncentive)*'Intl Priority'!D40)*(1+International_Fuel_Surcharge),2))</f>
        <v>99.23</v>
      </c>
      <c r="E43" s="283">
        <f>IF('Intl Priority'!$E$105&gt;ROUND(((1-IntPriorityDiscount-IntPriorityIncentive)*'Intl Priority'!E40),2),ROUND('Intl Priority'!$E$105*(1+International_Fuel_Surcharge),2),ROUND(((1-IntPriorityDiscount-IntPriorityIncentive)*'Intl Priority'!E40)*(1+International_Fuel_Surcharge),2))</f>
        <v>139.85</v>
      </c>
      <c r="F43" s="283">
        <f>IF('Intl Priority'!$F$105&gt;ROUND(((1-IntPriorityDiscount-IntPriorityIncentive)*'Intl Priority'!F40),2),ROUND('Intl Priority'!$F$105*(1+International_Fuel_Surcharge),2),ROUND(((1-IntPriorityDiscount-IntPriorityIncentive)*'Intl Priority'!F40)*(1+International_Fuel_Surcharge),2))</f>
        <v>250.27</v>
      </c>
      <c r="G43" s="283">
        <f>IF('Intl Priority'!$G$105&gt;ROUND(((1-IntPriorityDiscount-IntPriorityIncentive)*'Intl Priority'!G40),2),ROUND('Intl Priority'!$G$105*(1+International_Fuel_Surcharge),2),ROUND(((1-IntPriorityDiscount-IntPriorityIncentive)*'Intl Priority'!G40)*(1+International_Fuel_Surcharge),2))</f>
        <v>141.81</v>
      </c>
      <c r="H43" s="283">
        <f>IF('Intl Priority'!$H$105&gt;ROUND(((1-IntPriorityDiscount-IntPriorityIncentive)*'Intl Priority'!H40),2),ROUND('Intl Priority'!$H$105*(1+International_Fuel_Surcharge),2),ROUND(((1-IntPriorityDiscount-IntPriorityIncentive)*'Intl Priority'!H40)*(1+International_Fuel_Surcharge),2))</f>
        <v>143.36</v>
      </c>
      <c r="I43" s="283">
        <f>IF('Intl Priority'!$I$105&gt;ROUND(((1-IntPriorityDiscount-IntPriorityIncentive)*'Intl Priority'!I40),2),ROUND('Intl Priority'!$I$105*(1+International_Fuel_Surcharge),2),ROUND(((1-IntPriorityDiscount-IntPriorityIncentive)*'Intl Priority'!I40)*(1+International_Fuel_Surcharge),2))</f>
        <v>142.86</v>
      </c>
      <c r="J43" s="283">
        <f>IF('Intl Priority'!$J$105&gt;ROUND(((1-IntPriorityDiscount-IntPriorityIncentive)*'Intl Priority'!J40),2),ROUND('Intl Priority'!$J$105*(1+International_Fuel_Surcharge),2),ROUND(((1-IntPriorityDiscount-IntPriorityIncentive)*'Intl Priority'!J40)*(1+International_Fuel_Surcharge),2))</f>
        <v>103.92</v>
      </c>
      <c r="K43" s="283">
        <f>IF('Intl Priority'!$K$105&gt;ROUND(((1-IntPriorityDiscount-IntPriorityIncentive)*'Intl Priority'!K40),2),ROUND('Intl Priority'!$K$105*(1+International_Fuel_Surcharge),2),ROUND(((1-IntPriorityDiscount-IntPriorityIncentive)*'Intl Priority'!K40)*(1+International_Fuel_Surcharge),2))</f>
        <v>214.11</v>
      </c>
      <c r="L43" s="283">
        <f>IF('Intl Priority'!$L$105&gt;ROUND(((1-IntPriorityDiscount-IntPriorityIncentive)*'Intl Priority'!L40),2),ROUND('Intl Priority'!$L$105*(1+International_Fuel_Surcharge),2),ROUND(((1-IntPriorityDiscount-IntPriorityIncentive)*'Intl Priority'!L40)*(1+International_Fuel_Surcharge),2))</f>
        <v>161.77</v>
      </c>
      <c r="M43" s="283">
        <f>IF('Intl Priority'!$M$105&gt;ROUND(((1-IntPriorityDiscount-IntPriorityIncentive)*'Intl Priority'!M40),2),ROUND('Intl Priority'!$M$105*(1+International_Fuel_Surcharge),2),ROUND(((1-IntPriorityDiscount-IntPriorityIncentive)*'Intl Priority'!M40)*(1+International_Fuel_Surcharge),2))</f>
        <v>268.99</v>
      </c>
      <c r="N43" s="283">
        <f>IF('Intl Priority'!$N$105&gt;ROUND(((1-IntPriorityDiscount-IntPriorityIncentive)*'Intl Priority'!N40),2),ROUND('Intl Priority'!$N$105*(1+International_Fuel_Surcharge),2),ROUND(((1-IntPriorityDiscount-IntPriorityIncentive)*'Intl Priority'!N40)*(1+International_Fuel_Surcharge),2))</f>
        <v>237.26</v>
      </c>
      <c r="O43" s="283">
        <f>IF('Intl Priority'!$O$105&gt;ROUND(((1-IntPriorityDiscount-IntPriorityIncentive)*'Intl Priority'!O40),2),ROUND('Intl Priority'!$O$105*(1+International_Fuel_Surcharge),2),ROUND(((1-IntPriorityDiscount-IntPriorityIncentive)*'Intl Priority'!O40)*(1+International_Fuel_Surcharge),2))</f>
        <v>176.77</v>
      </c>
      <c r="P43" s="283">
        <f>IF('Intl Priority'!$P$105&gt;ROUND(((1-IntPriorityDiscount-IntPriorityIncentive)*'Intl Priority'!P40),2),ROUND('Intl Priority'!$P$105*(1+International_Fuel_Surcharge),2),ROUND(((1-IntPriorityDiscount-IntPriorityIncentive)*'Intl Priority'!P40)*(1+International_Fuel_Surcharge),2))</f>
        <v>185.64</v>
      </c>
      <c r="Q43" s="283">
        <f>IF('Intl Priority'!$Q$105&gt;ROUND(((1-PuertoRicoDiscount)*'Intl Priority'!Q40),2),ROUND('Intl Priority'!$Q$105*(1+International_Fuel_Surcharge),2),ROUND(((1-PuertoRicoDiscount)*'Intl Priority'!Q40)*(1+International_Fuel_Surcharge),2))</f>
        <v>232.52</v>
      </c>
      <c r="R43" s="34"/>
      <c r="S43" s="34"/>
      <c r="T43" s="34"/>
      <c r="U43" s="34"/>
      <c r="V43" s="34"/>
      <c r="W43" s="34"/>
      <c r="X43" s="34"/>
      <c r="Y43" s="34"/>
      <c r="Z43" s="34"/>
    </row>
    <row r="44" ht="12.75" customHeight="1">
      <c r="A44" s="274">
        <v>39.0</v>
      </c>
      <c r="B44" s="283">
        <f>IF('Intl Priority'!$B$105&gt;ROUND(((1-IntPriorityDiscount-IntPriorityIncentive)*'Intl Priority'!B41),2),ROUND('Intl Priority'!$B$105*(1+International_Fuel_Surcharge),2),ROUND(((1-IntPriorityDiscount-IntPriorityIncentive)*'Intl Priority'!B41)*(1+International_Fuel_Surcharge),2))</f>
        <v>90.86</v>
      </c>
      <c r="C44" s="283">
        <f>IF('Intl Priority'!$C$105&gt;ROUND(((1-IntPriorityDiscount-IntPriorityIncentive)*'Intl Priority'!C41),2),ROUND('Intl Priority'!$C$105*(1+International_Fuel_Surcharge),2),ROUND(((1-IntPriorityDiscount-IntPriorityIncentive)*'Intl Priority'!C41)*(1+International_Fuel_Surcharge),2))</f>
        <v>102.41</v>
      </c>
      <c r="D44" s="283">
        <f>IF('Intl Priority'!$D$105&gt;ROUND(((1-IntPriorityDiscount-IntPriorityIncentive)*'Intl Priority'!D41),2),ROUND('Intl Priority'!$D$105*(1+International_Fuel_Surcharge),2),ROUND(((1-IntPriorityDiscount-IntPriorityIncentive)*'Intl Priority'!D41)*(1+International_Fuel_Surcharge),2))</f>
        <v>101.43</v>
      </c>
      <c r="E44" s="283">
        <f>IF('Intl Priority'!$E$105&gt;ROUND(((1-IntPriorityDiscount-IntPriorityIncentive)*'Intl Priority'!E41),2),ROUND('Intl Priority'!$E$105*(1+International_Fuel_Surcharge),2),ROUND(((1-IntPriorityDiscount-IntPriorityIncentive)*'Intl Priority'!E41)*(1+International_Fuel_Surcharge),2))</f>
        <v>143.17</v>
      </c>
      <c r="F44" s="283">
        <f>IF('Intl Priority'!$F$105&gt;ROUND(((1-IntPriorityDiscount-IntPriorityIncentive)*'Intl Priority'!F41),2),ROUND('Intl Priority'!$F$105*(1+International_Fuel_Surcharge),2),ROUND(((1-IntPriorityDiscount-IntPriorityIncentive)*'Intl Priority'!F41)*(1+International_Fuel_Surcharge),2))</f>
        <v>250.33</v>
      </c>
      <c r="G44" s="283">
        <f>IF('Intl Priority'!$G$105&gt;ROUND(((1-IntPriorityDiscount-IntPriorityIncentive)*'Intl Priority'!G41),2),ROUND('Intl Priority'!$G$105*(1+International_Fuel_Surcharge),2),ROUND(((1-IntPriorityDiscount-IntPriorityIncentive)*'Intl Priority'!G41)*(1+International_Fuel_Surcharge),2))</f>
        <v>144.47</v>
      </c>
      <c r="H44" s="283">
        <f>IF('Intl Priority'!$H$105&gt;ROUND(((1-IntPriorityDiscount-IntPriorityIncentive)*'Intl Priority'!H41),2),ROUND('Intl Priority'!$H$105*(1+International_Fuel_Surcharge),2),ROUND(((1-IntPriorityDiscount-IntPriorityIncentive)*'Intl Priority'!H41)*(1+International_Fuel_Surcharge),2))</f>
        <v>145.99</v>
      </c>
      <c r="I44" s="283">
        <f>IF('Intl Priority'!$I$105&gt;ROUND(((1-IntPriorityDiscount-IntPriorityIncentive)*'Intl Priority'!I41),2),ROUND('Intl Priority'!$I$105*(1+International_Fuel_Surcharge),2),ROUND(((1-IntPriorityDiscount-IntPriorityIncentive)*'Intl Priority'!I41)*(1+International_Fuel_Surcharge),2))</f>
        <v>148.73</v>
      </c>
      <c r="J44" s="283">
        <f>IF('Intl Priority'!$J$105&gt;ROUND(((1-IntPriorityDiscount-IntPriorityIncentive)*'Intl Priority'!J41),2),ROUND('Intl Priority'!$J$105*(1+International_Fuel_Surcharge),2),ROUND(((1-IntPriorityDiscount-IntPriorityIncentive)*'Intl Priority'!J41)*(1+International_Fuel_Surcharge),2))</f>
        <v>106.04</v>
      </c>
      <c r="K44" s="283">
        <f>IF('Intl Priority'!$K$105&gt;ROUND(((1-IntPriorityDiscount-IntPriorityIncentive)*'Intl Priority'!K41),2),ROUND('Intl Priority'!$K$105*(1+International_Fuel_Surcharge),2),ROUND(((1-IntPriorityDiscount-IntPriorityIncentive)*'Intl Priority'!K41)*(1+International_Fuel_Surcharge),2))</f>
        <v>217.98</v>
      </c>
      <c r="L44" s="283">
        <f>IF('Intl Priority'!$L$105&gt;ROUND(((1-IntPriorityDiscount-IntPriorityIncentive)*'Intl Priority'!L41),2),ROUND('Intl Priority'!$L$105*(1+International_Fuel_Surcharge),2),ROUND(((1-IntPriorityDiscount-IntPriorityIncentive)*'Intl Priority'!L41)*(1+International_Fuel_Surcharge),2))</f>
        <v>170.86</v>
      </c>
      <c r="M44" s="283">
        <f>IF('Intl Priority'!$M$105&gt;ROUND(((1-IntPriorityDiscount-IntPriorityIncentive)*'Intl Priority'!M41),2),ROUND('Intl Priority'!$M$105*(1+International_Fuel_Surcharge),2),ROUND(((1-IntPriorityDiscount-IntPriorityIncentive)*'Intl Priority'!M41)*(1+International_Fuel_Surcharge),2))</f>
        <v>269.06</v>
      </c>
      <c r="N44" s="283">
        <f>IF('Intl Priority'!$N$105&gt;ROUND(((1-IntPriorityDiscount-IntPriorityIncentive)*'Intl Priority'!N41),2),ROUND('Intl Priority'!$N$105*(1+International_Fuel_Surcharge),2),ROUND(((1-IntPriorityDiscount-IntPriorityIncentive)*'Intl Priority'!N41)*(1+International_Fuel_Surcharge),2))</f>
        <v>238.17</v>
      </c>
      <c r="O44" s="283">
        <f>IF('Intl Priority'!$O$105&gt;ROUND(((1-IntPriorityDiscount-IntPriorityIncentive)*'Intl Priority'!O41),2),ROUND('Intl Priority'!$O$105*(1+International_Fuel_Surcharge),2),ROUND(((1-IntPriorityDiscount-IntPriorityIncentive)*'Intl Priority'!O41)*(1+International_Fuel_Surcharge),2))</f>
        <v>185.79</v>
      </c>
      <c r="P44" s="283">
        <f>IF('Intl Priority'!$P$105&gt;ROUND(((1-IntPriorityDiscount-IntPriorityIncentive)*'Intl Priority'!P41),2),ROUND('Intl Priority'!$P$105*(1+International_Fuel_Surcharge),2),ROUND(((1-IntPriorityDiscount-IntPriorityIncentive)*'Intl Priority'!P41)*(1+International_Fuel_Surcharge),2))</f>
        <v>190.87</v>
      </c>
      <c r="Q44" s="283">
        <f>IF('Intl Priority'!$Q$105&gt;ROUND(((1-PuertoRicoDiscount)*'Intl Priority'!Q41),2),ROUND('Intl Priority'!$Q$105*(1+International_Fuel_Surcharge),2),ROUND(((1-PuertoRicoDiscount)*'Intl Priority'!Q41)*(1+International_Fuel_Surcharge),2))</f>
        <v>237.06</v>
      </c>
      <c r="R44" s="138"/>
      <c r="S44" s="138"/>
      <c r="T44" s="138"/>
      <c r="U44" s="138"/>
      <c r="V44" s="138"/>
      <c r="W44" s="138"/>
      <c r="X44" s="138"/>
      <c r="Y44" s="138"/>
      <c r="Z44" s="138"/>
    </row>
    <row r="45" ht="12.75" customHeight="1">
      <c r="A45" s="274">
        <v>40.0</v>
      </c>
      <c r="B45" s="283">
        <f>IF('Intl Priority'!$B$105&gt;ROUND(((1-IntPriorityDiscount-IntPriorityIncentive)*'Intl Priority'!B42),2),ROUND('Intl Priority'!$B$105*(1+International_Fuel_Surcharge),2),ROUND(((1-IntPriorityDiscount-IntPriorityIncentive)*'Intl Priority'!B42)*(1+International_Fuel_Surcharge),2))</f>
        <v>92.5</v>
      </c>
      <c r="C45" s="283">
        <f>IF('Intl Priority'!$C$105&gt;ROUND(((1-IntPriorityDiscount-IntPriorityIncentive)*'Intl Priority'!C42),2),ROUND('Intl Priority'!$C$105*(1+International_Fuel_Surcharge),2),ROUND(((1-IntPriorityDiscount-IntPriorityIncentive)*'Intl Priority'!C42)*(1+International_Fuel_Surcharge),2))</f>
        <v>103.77</v>
      </c>
      <c r="D45" s="283">
        <f>IF('Intl Priority'!$D$105&gt;ROUND(((1-IntPriorityDiscount-IntPriorityIncentive)*'Intl Priority'!D42),2),ROUND('Intl Priority'!$D$105*(1+International_Fuel_Surcharge),2),ROUND(((1-IntPriorityDiscount-IntPriorityIncentive)*'Intl Priority'!D42)*(1+International_Fuel_Surcharge),2))</f>
        <v>101.66</v>
      </c>
      <c r="E45" s="283">
        <f>IF('Intl Priority'!$E$105&gt;ROUND(((1-IntPriorityDiscount-IntPriorityIncentive)*'Intl Priority'!E42),2),ROUND('Intl Priority'!$E$105*(1+International_Fuel_Surcharge),2),ROUND(((1-IntPriorityDiscount-IntPriorityIncentive)*'Intl Priority'!E42)*(1+International_Fuel_Surcharge),2))</f>
        <v>145.45</v>
      </c>
      <c r="F45" s="283">
        <f>IF('Intl Priority'!$F$105&gt;ROUND(((1-IntPriorityDiscount-IntPriorityIncentive)*'Intl Priority'!F42),2),ROUND('Intl Priority'!$F$105*(1+International_Fuel_Surcharge),2),ROUND(((1-IntPriorityDiscount-IntPriorityIncentive)*'Intl Priority'!F42)*(1+International_Fuel_Surcharge),2))</f>
        <v>250.38</v>
      </c>
      <c r="G45" s="283">
        <f>IF('Intl Priority'!$G$105&gt;ROUND(((1-IntPriorityDiscount-IntPriorityIncentive)*'Intl Priority'!G42),2),ROUND('Intl Priority'!$G$105*(1+International_Fuel_Surcharge),2),ROUND(((1-IntPriorityDiscount-IntPriorityIncentive)*'Intl Priority'!G42)*(1+International_Fuel_Surcharge),2))</f>
        <v>144.74</v>
      </c>
      <c r="H45" s="283">
        <f>IF('Intl Priority'!$H$105&gt;ROUND(((1-IntPriorityDiscount-IntPriorityIncentive)*'Intl Priority'!H42),2),ROUND('Intl Priority'!$H$105*(1+International_Fuel_Surcharge),2),ROUND(((1-IntPriorityDiscount-IntPriorityIncentive)*'Intl Priority'!H42)*(1+International_Fuel_Surcharge),2))</f>
        <v>146.26</v>
      </c>
      <c r="I45" s="283">
        <f>IF('Intl Priority'!$I$105&gt;ROUND(((1-IntPriorityDiscount-IntPriorityIncentive)*'Intl Priority'!I42),2),ROUND('Intl Priority'!$I$105*(1+International_Fuel_Surcharge),2),ROUND(((1-IntPriorityDiscount-IntPriorityIncentive)*'Intl Priority'!I42)*(1+International_Fuel_Surcharge),2))</f>
        <v>155.6</v>
      </c>
      <c r="J45" s="283">
        <f>IF('Intl Priority'!$J$105&gt;ROUND(((1-IntPriorityDiscount-IntPriorityIncentive)*'Intl Priority'!J42),2),ROUND('Intl Priority'!$J$105*(1+International_Fuel_Surcharge),2),ROUND(((1-IntPriorityDiscount-IntPriorityIncentive)*'Intl Priority'!J42)*(1+International_Fuel_Surcharge),2))</f>
        <v>108.17</v>
      </c>
      <c r="K45" s="283">
        <f>IF('Intl Priority'!$K$105&gt;ROUND(((1-IntPriorityDiscount-IntPriorityIncentive)*'Intl Priority'!K42),2),ROUND('Intl Priority'!$K$105*(1+International_Fuel_Surcharge),2),ROUND(((1-IntPriorityDiscount-IntPriorityIncentive)*'Intl Priority'!K42)*(1+International_Fuel_Surcharge),2))</f>
        <v>218.36</v>
      </c>
      <c r="L45" s="283">
        <f>IF('Intl Priority'!$L$105&gt;ROUND(((1-IntPriorityDiscount-IntPriorityIncentive)*'Intl Priority'!L42),2),ROUND('Intl Priority'!$L$105*(1+International_Fuel_Surcharge),2),ROUND(((1-IntPriorityDiscount-IntPriorityIncentive)*'Intl Priority'!L42)*(1+International_Fuel_Surcharge),2))</f>
        <v>171.77</v>
      </c>
      <c r="M45" s="283">
        <f>IF('Intl Priority'!$M$105&gt;ROUND(((1-IntPriorityDiscount-IntPriorityIncentive)*'Intl Priority'!M42),2),ROUND('Intl Priority'!$M$105*(1+International_Fuel_Surcharge),2),ROUND(((1-IntPriorityDiscount-IntPriorityIncentive)*'Intl Priority'!M42)*(1+International_Fuel_Surcharge),2))</f>
        <v>269.11</v>
      </c>
      <c r="N45" s="283">
        <f>IF('Intl Priority'!$N$105&gt;ROUND(((1-IntPriorityDiscount-IntPriorityIncentive)*'Intl Priority'!N42),2),ROUND('Intl Priority'!$N$105*(1+International_Fuel_Surcharge),2),ROUND(((1-IntPriorityDiscount-IntPriorityIncentive)*'Intl Priority'!N42)*(1+International_Fuel_Surcharge),2))</f>
        <v>256.27</v>
      </c>
      <c r="O45" s="283">
        <f>IF('Intl Priority'!$O$105&gt;ROUND(((1-IntPriorityDiscount-IntPriorityIncentive)*'Intl Priority'!O42),2),ROUND('Intl Priority'!$O$105*(1+International_Fuel_Surcharge),2),ROUND(((1-IntPriorityDiscount-IntPriorityIncentive)*'Intl Priority'!O42)*(1+International_Fuel_Surcharge),2))</f>
        <v>186.76</v>
      </c>
      <c r="P45" s="283">
        <f>IF('Intl Priority'!$P$105&gt;ROUND(((1-IntPriorityDiscount-IntPriorityIncentive)*'Intl Priority'!P42),2),ROUND('Intl Priority'!$P$105*(1+International_Fuel_Surcharge),2),ROUND(((1-IntPriorityDiscount-IntPriorityIncentive)*'Intl Priority'!P42)*(1+International_Fuel_Surcharge),2))</f>
        <v>191.4</v>
      </c>
      <c r="Q45" s="283">
        <f>IF('Intl Priority'!$Q$105&gt;ROUND(((1-PuertoRicoDiscount)*'Intl Priority'!Q42),2),ROUND('Intl Priority'!$Q$105*(1+International_Fuel_Surcharge),2),ROUND(((1-PuertoRicoDiscount)*'Intl Priority'!Q42)*(1+International_Fuel_Surcharge),2))</f>
        <v>241.83</v>
      </c>
      <c r="R45" s="138"/>
      <c r="S45" s="138"/>
      <c r="T45" s="138"/>
      <c r="U45" s="138"/>
      <c r="V45" s="138"/>
      <c r="W45" s="138"/>
      <c r="X45" s="138"/>
      <c r="Y45" s="138"/>
      <c r="Z45" s="138"/>
    </row>
    <row r="46" ht="12.75" customHeight="1">
      <c r="A46" s="274">
        <v>41.0</v>
      </c>
      <c r="B46" s="283">
        <f>IF('Intl Priority'!$B$105&gt;ROUND(((1-IntPriorityDiscount-IntPriorityIncentive)*'Intl Priority'!B43),2),ROUND('Intl Priority'!$B$105*(1+International_Fuel_Surcharge),2),ROUND(((1-IntPriorityDiscount-IntPriorityIncentive)*'Intl Priority'!B43)*(1+International_Fuel_Surcharge),2))</f>
        <v>94.13</v>
      </c>
      <c r="C46" s="283">
        <f>IF('Intl Priority'!$C$105&gt;ROUND(((1-IntPriorityDiscount-IntPriorityIncentive)*'Intl Priority'!C43),2),ROUND('Intl Priority'!$C$105*(1+International_Fuel_Surcharge),2),ROUND(((1-IntPriorityDiscount-IntPriorityIncentive)*'Intl Priority'!C43)*(1+International_Fuel_Surcharge),2))</f>
        <v>105.14</v>
      </c>
      <c r="D46" s="283">
        <f>IF('Intl Priority'!$D$105&gt;ROUND(((1-IntPriorityDiscount-IntPriorityIncentive)*'Intl Priority'!D43),2),ROUND('Intl Priority'!$D$105*(1+International_Fuel_Surcharge),2),ROUND(((1-IntPriorityDiscount-IntPriorityIncentive)*'Intl Priority'!D43)*(1+International_Fuel_Surcharge),2))</f>
        <v>102.69</v>
      </c>
      <c r="E46" s="283">
        <f>IF('Intl Priority'!$E$105&gt;ROUND(((1-IntPriorityDiscount-IntPriorityIncentive)*'Intl Priority'!E43),2),ROUND('Intl Priority'!$E$105*(1+International_Fuel_Surcharge),2),ROUND(((1-IntPriorityDiscount-IntPriorityIncentive)*'Intl Priority'!E43)*(1+International_Fuel_Surcharge),2))</f>
        <v>147.96</v>
      </c>
      <c r="F46" s="283">
        <f>IF('Intl Priority'!$F$105&gt;ROUND(((1-IntPriorityDiscount-IntPriorityIncentive)*'Intl Priority'!F43),2),ROUND('Intl Priority'!$F$105*(1+International_Fuel_Surcharge),2),ROUND(((1-IntPriorityDiscount-IntPriorityIncentive)*'Intl Priority'!F43)*(1+International_Fuel_Surcharge),2))</f>
        <v>250.46</v>
      </c>
      <c r="G46" s="283">
        <f>IF('Intl Priority'!$G$105&gt;ROUND(((1-IntPriorityDiscount-IntPriorityIncentive)*'Intl Priority'!G43),2),ROUND('Intl Priority'!$G$105*(1+International_Fuel_Surcharge),2),ROUND(((1-IntPriorityDiscount-IntPriorityIncentive)*'Intl Priority'!G43)*(1+International_Fuel_Surcharge),2))</f>
        <v>149.15</v>
      </c>
      <c r="H46" s="283">
        <f>IF('Intl Priority'!$H$105&gt;ROUND(((1-IntPriorityDiscount-IntPriorityIncentive)*'Intl Priority'!H43),2),ROUND('Intl Priority'!$H$105*(1+International_Fuel_Surcharge),2),ROUND(((1-IntPriorityDiscount-IntPriorityIncentive)*'Intl Priority'!H43)*(1+International_Fuel_Surcharge),2))</f>
        <v>146.59</v>
      </c>
      <c r="I46" s="283">
        <f>IF('Intl Priority'!$I$105&gt;ROUND(((1-IntPriorityDiscount-IntPriorityIncentive)*'Intl Priority'!I43),2),ROUND('Intl Priority'!$I$105*(1+International_Fuel_Surcharge),2),ROUND(((1-IntPriorityDiscount-IntPriorityIncentive)*'Intl Priority'!I43)*(1+International_Fuel_Surcharge),2))</f>
        <v>158.65</v>
      </c>
      <c r="J46" s="283">
        <f>IF('Intl Priority'!$J$105&gt;ROUND(((1-IntPriorityDiscount-IntPriorityIncentive)*'Intl Priority'!J43),2),ROUND('Intl Priority'!$J$105*(1+International_Fuel_Surcharge),2),ROUND(((1-IntPriorityDiscount-IntPriorityIncentive)*'Intl Priority'!J43)*(1+International_Fuel_Surcharge),2))</f>
        <v>108.38</v>
      </c>
      <c r="K46" s="283">
        <f>IF('Intl Priority'!$K$105&gt;ROUND(((1-IntPriorityDiscount-IntPriorityIncentive)*'Intl Priority'!K43),2),ROUND('Intl Priority'!$K$105*(1+International_Fuel_Surcharge),2),ROUND(((1-IntPriorityDiscount-IntPriorityIncentive)*'Intl Priority'!K43)*(1+International_Fuel_Surcharge),2))</f>
        <v>222.59</v>
      </c>
      <c r="L46" s="283">
        <f>IF('Intl Priority'!$L$105&gt;ROUND(((1-IntPriorityDiscount-IntPriorityIncentive)*'Intl Priority'!L43),2),ROUND('Intl Priority'!$L$105*(1+International_Fuel_Surcharge),2),ROUND(((1-IntPriorityDiscount-IntPriorityIncentive)*'Intl Priority'!L43)*(1+International_Fuel_Surcharge),2))</f>
        <v>175.22</v>
      </c>
      <c r="M46" s="283">
        <f>IF('Intl Priority'!$M$105&gt;ROUND(((1-IntPriorityDiscount-IntPriorityIncentive)*'Intl Priority'!M43),2),ROUND('Intl Priority'!$M$105*(1+International_Fuel_Surcharge),2),ROUND(((1-IntPriorityDiscount-IntPriorityIncentive)*'Intl Priority'!M43)*(1+International_Fuel_Surcharge),2))</f>
        <v>269.39</v>
      </c>
      <c r="N46" s="283">
        <f>IF('Intl Priority'!$N$105&gt;ROUND(((1-IntPriorityDiscount-IntPriorityIncentive)*'Intl Priority'!N43),2),ROUND('Intl Priority'!$N$105*(1+International_Fuel_Surcharge),2),ROUND(((1-IntPriorityDiscount-IntPriorityIncentive)*'Intl Priority'!N43)*(1+International_Fuel_Surcharge),2))</f>
        <v>262.08</v>
      </c>
      <c r="O46" s="283">
        <f>IF('Intl Priority'!$O$105&gt;ROUND(((1-IntPriorityDiscount-IntPriorityIncentive)*'Intl Priority'!O43),2),ROUND('Intl Priority'!$O$105*(1+International_Fuel_Surcharge),2),ROUND(((1-IntPriorityDiscount-IntPriorityIncentive)*'Intl Priority'!O43)*(1+International_Fuel_Surcharge),2))</f>
        <v>187.28</v>
      </c>
      <c r="P46" s="283">
        <f>IF('Intl Priority'!$P$105&gt;ROUND(((1-IntPriorityDiscount-IntPriorityIncentive)*'Intl Priority'!P43),2),ROUND('Intl Priority'!$P$105*(1+International_Fuel_Surcharge),2),ROUND(((1-IntPriorityDiscount-IntPriorityIncentive)*'Intl Priority'!P43)*(1+International_Fuel_Surcharge),2))</f>
        <v>201.51</v>
      </c>
      <c r="Q46" s="283">
        <f>IF('Intl Priority'!$Q$105&gt;ROUND(((1-PuertoRicoDiscount)*'Intl Priority'!Q43),2),ROUND('Intl Priority'!$Q$105*(1+International_Fuel_Surcharge),2),ROUND(((1-PuertoRicoDiscount)*'Intl Priority'!Q43)*(1+International_Fuel_Surcharge),2))</f>
        <v>246.59</v>
      </c>
      <c r="R46" s="138"/>
      <c r="S46" s="138"/>
      <c r="T46" s="138"/>
      <c r="U46" s="138"/>
      <c r="V46" s="138"/>
      <c r="W46" s="138"/>
      <c r="X46" s="138"/>
      <c r="Y46" s="138"/>
      <c r="Z46" s="138"/>
    </row>
    <row r="47" ht="12.75" customHeight="1">
      <c r="A47" s="274">
        <v>42.0</v>
      </c>
      <c r="B47" s="283">
        <f>IF('Intl Priority'!$B$105&gt;ROUND(((1-IntPriorityDiscount-IntPriorityIncentive)*'Intl Priority'!B44),2),ROUND('Intl Priority'!$B$105*(1+International_Fuel_Surcharge),2),ROUND(((1-IntPriorityDiscount-IntPriorityIncentive)*'Intl Priority'!B44)*(1+International_Fuel_Surcharge),2))</f>
        <v>95.62</v>
      </c>
      <c r="C47" s="283">
        <f>IF('Intl Priority'!$C$105&gt;ROUND(((1-IntPriorityDiscount-IntPriorityIncentive)*'Intl Priority'!C44),2),ROUND('Intl Priority'!$C$105*(1+International_Fuel_Surcharge),2),ROUND(((1-IntPriorityDiscount-IntPriorityIncentive)*'Intl Priority'!C44)*(1+International_Fuel_Surcharge),2))</f>
        <v>106.79</v>
      </c>
      <c r="D47" s="283">
        <f>IF('Intl Priority'!$D$105&gt;ROUND(((1-IntPriorityDiscount-IntPriorityIncentive)*'Intl Priority'!D44),2),ROUND('Intl Priority'!$D$105*(1+International_Fuel_Surcharge),2),ROUND(((1-IntPriorityDiscount-IntPriorityIncentive)*'Intl Priority'!D44)*(1+International_Fuel_Surcharge),2))</f>
        <v>107.11</v>
      </c>
      <c r="E47" s="283">
        <f>IF('Intl Priority'!$E$105&gt;ROUND(((1-IntPriorityDiscount-IntPriorityIncentive)*'Intl Priority'!E44),2),ROUND('Intl Priority'!$E$105*(1+International_Fuel_Surcharge),2),ROUND(((1-IntPriorityDiscount-IntPriorityIncentive)*'Intl Priority'!E44)*(1+International_Fuel_Surcharge),2))</f>
        <v>149.84</v>
      </c>
      <c r="F47" s="283">
        <f>IF('Intl Priority'!$F$105&gt;ROUND(((1-IntPriorityDiscount-IntPriorityIncentive)*'Intl Priority'!F44),2),ROUND('Intl Priority'!$F$105*(1+International_Fuel_Surcharge),2),ROUND(((1-IntPriorityDiscount-IntPriorityIncentive)*'Intl Priority'!F44)*(1+International_Fuel_Surcharge),2))</f>
        <v>251.31</v>
      </c>
      <c r="G47" s="283">
        <f>IF('Intl Priority'!$G$105&gt;ROUND(((1-IntPriorityDiscount-IntPriorityIncentive)*'Intl Priority'!G44),2),ROUND('Intl Priority'!$G$105*(1+International_Fuel_Surcharge),2),ROUND(((1-IntPriorityDiscount-IntPriorityIncentive)*'Intl Priority'!G44)*(1+International_Fuel_Surcharge),2))</f>
        <v>151.5</v>
      </c>
      <c r="H47" s="283">
        <f>IF('Intl Priority'!$H$105&gt;ROUND(((1-IntPriorityDiscount-IntPriorityIncentive)*'Intl Priority'!H44),2),ROUND('Intl Priority'!$H$105*(1+International_Fuel_Surcharge),2),ROUND(((1-IntPriorityDiscount-IntPriorityIncentive)*'Intl Priority'!H44)*(1+International_Fuel_Surcharge),2))</f>
        <v>153.1</v>
      </c>
      <c r="I47" s="283">
        <f>IF('Intl Priority'!$I$105&gt;ROUND(((1-IntPriorityDiscount-IntPriorityIncentive)*'Intl Priority'!I44),2),ROUND('Intl Priority'!$I$105*(1+International_Fuel_Surcharge),2),ROUND(((1-IntPriorityDiscount-IntPriorityIncentive)*'Intl Priority'!I44)*(1+International_Fuel_Surcharge),2))</f>
        <v>159.04</v>
      </c>
      <c r="J47" s="283">
        <f>IF('Intl Priority'!$J$105&gt;ROUND(((1-IntPriorityDiscount-IntPriorityIncentive)*'Intl Priority'!J44),2),ROUND('Intl Priority'!$J$105*(1+International_Fuel_Surcharge),2),ROUND(((1-IntPriorityDiscount-IntPriorityIncentive)*'Intl Priority'!J44)*(1+International_Fuel_Surcharge),2))</f>
        <v>108.76</v>
      </c>
      <c r="K47" s="283">
        <f>IF('Intl Priority'!$K$105&gt;ROUND(((1-IntPriorityDiscount-IntPriorityIncentive)*'Intl Priority'!K44),2),ROUND('Intl Priority'!$K$105*(1+International_Fuel_Surcharge),2),ROUND(((1-IntPriorityDiscount-IntPriorityIncentive)*'Intl Priority'!K44)*(1+International_Fuel_Surcharge),2))</f>
        <v>226.83</v>
      </c>
      <c r="L47" s="283">
        <f>IF('Intl Priority'!$L$105&gt;ROUND(((1-IntPriorityDiscount-IntPriorityIncentive)*'Intl Priority'!L44),2),ROUND('Intl Priority'!$L$105*(1+International_Fuel_Surcharge),2),ROUND(((1-IntPriorityDiscount-IntPriorityIncentive)*'Intl Priority'!L44)*(1+International_Fuel_Surcharge),2))</f>
        <v>180.89</v>
      </c>
      <c r="M47" s="283">
        <f>IF('Intl Priority'!$M$105&gt;ROUND(((1-IntPriorityDiscount-IntPriorityIncentive)*'Intl Priority'!M44),2),ROUND('Intl Priority'!$M$105*(1+International_Fuel_Surcharge),2),ROUND(((1-IntPriorityDiscount-IntPriorityIncentive)*'Intl Priority'!M44)*(1+International_Fuel_Surcharge),2))</f>
        <v>274.92</v>
      </c>
      <c r="N47" s="283">
        <f>IF('Intl Priority'!$N$105&gt;ROUND(((1-IntPriorityDiscount-IntPriorityIncentive)*'Intl Priority'!N44),2),ROUND('Intl Priority'!$N$105*(1+International_Fuel_Surcharge),2),ROUND(((1-IntPriorityDiscount-IntPriorityIncentive)*'Intl Priority'!N44)*(1+International_Fuel_Surcharge),2))</f>
        <v>264.7</v>
      </c>
      <c r="O47" s="283">
        <f>IF('Intl Priority'!$O$105&gt;ROUND(((1-IntPriorityDiscount-IntPriorityIncentive)*'Intl Priority'!O44),2),ROUND('Intl Priority'!$O$105*(1+International_Fuel_Surcharge),2),ROUND(((1-IntPriorityDiscount-IntPriorityIncentive)*'Intl Priority'!O44)*(1+International_Fuel_Surcharge),2))</f>
        <v>192.95</v>
      </c>
      <c r="P47" s="283">
        <f>IF('Intl Priority'!$P$105&gt;ROUND(((1-IntPriorityDiscount-IntPriorityIncentive)*'Intl Priority'!P44),2),ROUND('Intl Priority'!$P$105*(1+International_Fuel_Surcharge),2),ROUND(((1-IntPriorityDiscount-IntPriorityIncentive)*'Intl Priority'!P44)*(1+International_Fuel_Surcharge),2))</f>
        <v>206.06</v>
      </c>
      <c r="Q47" s="283">
        <f>IF('Intl Priority'!$Q$105&gt;ROUND(((1-PuertoRicoDiscount)*'Intl Priority'!Q44),2),ROUND('Intl Priority'!$Q$105*(1+International_Fuel_Surcharge),2),ROUND(((1-PuertoRicoDiscount)*'Intl Priority'!Q44)*(1+International_Fuel_Surcharge),2))</f>
        <v>251.6</v>
      </c>
      <c r="R47" s="138"/>
      <c r="S47" s="138"/>
      <c r="T47" s="138"/>
      <c r="U47" s="138"/>
      <c r="V47" s="138"/>
      <c r="W47" s="138"/>
      <c r="X47" s="138"/>
      <c r="Y47" s="138"/>
      <c r="Z47" s="138"/>
    </row>
    <row r="48" ht="12.75" customHeight="1">
      <c r="A48" s="274">
        <v>43.0</v>
      </c>
      <c r="B48" s="283">
        <f>IF('Intl Priority'!$B$105&gt;ROUND(((1-IntPriorityDiscount-IntPriorityIncentive)*'Intl Priority'!B45),2),ROUND('Intl Priority'!$B$105*(1+International_Fuel_Surcharge),2),ROUND(((1-IntPriorityDiscount-IntPriorityIncentive)*'Intl Priority'!B45)*(1+International_Fuel_Surcharge),2))</f>
        <v>95.77</v>
      </c>
      <c r="C48" s="283">
        <f>IF('Intl Priority'!$C$105&gt;ROUND(((1-IntPriorityDiscount-IntPriorityIncentive)*'Intl Priority'!C45),2),ROUND('Intl Priority'!$C$105*(1+International_Fuel_Surcharge),2),ROUND(((1-IntPriorityDiscount-IntPriorityIncentive)*'Intl Priority'!C45)*(1+International_Fuel_Surcharge),2))</f>
        <v>109.05</v>
      </c>
      <c r="D48" s="283">
        <f>IF('Intl Priority'!$D$105&gt;ROUND(((1-IntPriorityDiscount-IntPriorityIncentive)*'Intl Priority'!D45),2),ROUND('Intl Priority'!$D$105*(1+International_Fuel_Surcharge),2),ROUND(((1-IntPriorityDiscount-IntPriorityIncentive)*'Intl Priority'!D45)*(1+International_Fuel_Surcharge),2))</f>
        <v>110.74</v>
      </c>
      <c r="E48" s="283">
        <f>IF('Intl Priority'!$E$105&gt;ROUND(((1-IntPriorityDiscount-IntPriorityIncentive)*'Intl Priority'!E45),2),ROUND('Intl Priority'!$E$105*(1+International_Fuel_Surcharge),2),ROUND(((1-IntPriorityDiscount-IntPriorityIncentive)*'Intl Priority'!E45)*(1+International_Fuel_Surcharge),2))</f>
        <v>152.85</v>
      </c>
      <c r="F48" s="283">
        <f>IF('Intl Priority'!$F$105&gt;ROUND(((1-IntPriorityDiscount-IntPriorityIncentive)*'Intl Priority'!F45),2),ROUND('Intl Priority'!$F$105*(1+International_Fuel_Surcharge),2),ROUND(((1-IntPriorityDiscount-IntPriorityIncentive)*'Intl Priority'!F45)*(1+International_Fuel_Surcharge),2))</f>
        <v>261.15</v>
      </c>
      <c r="G48" s="283">
        <f>IF('Intl Priority'!$G$105&gt;ROUND(((1-IntPriorityDiscount-IntPriorityIncentive)*'Intl Priority'!G45),2),ROUND('Intl Priority'!$G$105*(1+International_Fuel_Surcharge),2),ROUND(((1-IntPriorityDiscount-IntPriorityIncentive)*'Intl Priority'!G45)*(1+International_Fuel_Surcharge),2))</f>
        <v>153.97</v>
      </c>
      <c r="H48" s="283">
        <f>IF('Intl Priority'!$H$105&gt;ROUND(((1-IntPriorityDiscount-IntPriorityIncentive)*'Intl Priority'!H45),2),ROUND('Intl Priority'!$H$105*(1+International_Fuel_Surcharge),2),ROUND(((1-IntPriorityDiscount-IntPriorityIncentive)*'Intl Priority'!H45)*(1+International_Fuel_Surcharge),2))</f>
        <v>153.75</v>
      </c>
      <c r="I48" s="283">
        <f>IF('Intl Priority'!$I$105&gt;ROUND(((1-IntPriorityDiscount-IntPriorityIncentive)*'Intl Priority'!I45),2),ROUND('Intl Priority'!$I$105*(1+International_Fuel_Surcharge),2),ROUND(((1-IntPriorityDiscount-IntPriorityIncentive)*'Intl Priority'!I45)*(1+International_Fuel_Surcharge),2))</f>
        <v>166.75</v>
      </c>
      <c r="J48" s="283">
        <f>IF('Intl Priority'!$J$105&gt;ROUND(((1-IntPriorityDiscount-IntPriorityIncentive)*'Intl Priority'!J45),2),ROUND('Intl Priority'!$J$105*(1+International_Fuel_Surcharge),2),ROUND(((1-IntPriorityDiscount-IntPriorityIncentive)*'Intl Priority'!J45)*(1+International_Fuel_Surcharge),2))</f>
        <v>116.37</v>
      </c>
      <c r="K48" s="283">
        <f>IF('Intl Priority'!$K$105&gt;ROUND(((1-IntPriorityDiscount-IntPriorityIncentive)*'Intl Priority'!K45),2),ROUND('Intl Priority'!$K$105*(1+International_Fuel_Surcharge),2),ROUND(((1-IntPriorityDiscount-IntPriorityIncentive)*'Intl Priority'!K45)*(1+International_Fuel_Surcharge),2))</f>
        <v>231.07</v>
      </c>
      <c r="L48" s="283">
        <f>IF('Intl Priority'!$L$105&gt;ROUND(((1-IntPriorityDiscount-IntPriorityIncentive)*'Intl Priority'!L45),2),ROUND('Intl Priority'!$L$105*(1+International_Fuel_Surcharge),2),ROUND(((1-IntPriorityDiscount-IntPriorityIncentive)*'Intl Priority'!L45)*(1+International_Fuel_Surcharge),2))</f>
        <v>191.89</v>
      </c>
      <c r="M48" s="283">
        <f>IF('Intl Priority'!$M$105&gt;ROUND(((1-IntPriorityDiscount-IntPriorityIncentive)*'Intl Priority'!M45),2),ROUND('Intl Priority'!$M$105*(1+International_Fuel_Surcharge),2),ROUND(((1-IntPriorityDiscount-IntPriorityIncentive)*'Intl Priority'!M45)*(1+International_Fuel_Surcharge),2))</f>
        <v>275.47</v>
      </c>
      <c r="N48" s="283">
        <f>IF('Intl Priority'!$N$105&gt;ROUND(((1-IntPriorityDiscount-IntPriorityIncentive)*'Intl Priority'!N45),2),ROUND('Intl Priority'!$N$105*(1+International_Fuel_Surcharge),2),ROUND(((1-IntPriorityDiscount-IntPriorityIncentive)*'Intl Priority'!N45)*(1+International_Fuel_Surcharge),2))</f>
        <v>287.19</v>
      </c>
      <c r="O48" s="283">
        <f>IF('Intl Priority'!$O$105&gt;ROUND(((1-IntPriorityDiscount-IntPriorityIncentive)*'Intl Priority'!O45),2),ROUND('Intl Priority'!$O$105*(1+International_Fuel_Surcharge),2),ROUND(((1-IntPriorityDiscount-IntPriorityIncentive)*'Intl Priority'!O45)*(1+International_Fuel_Surcharge),2))</f>
        <v>193.52</v>
      </c>
      <c r="P48" s="283">
        <f>IF('Intl Priority'!$P$105&gt;ROUND(((1-IntPriorityDiscount-IntPriorityIncentive)*'Intl Priority'!P45),2),ROUND('Intl Priority'!$P$105*(1+International_Fuel_Surcharge),2),ROUND(((1-IntPriorityDiscount-IntPriorityIncentive)*'Intl Priority'!P45)*(1+International_Fuel_Surcharge),2))</f>
        <v>208.95</v>
      </c>
      <c r="Q48" s="283">
        <f>IF('Intl Priority'!$Q$105&gt;ROUND(((1-PuertoRicoDiscount)*'Intl Priority'!Q45),2),ROUND('Intl Priority'!$Q$105*(1+International_Fuel_Surcharge),2),ROUND(((1-PuertoRicoDiscount)*'Intl Priority'!Q45)*(1+International_Fuel_Surcharge),2))</f>
        <v>256.71</v>
      </c>
      <c r="R48" s="138"/>
      <c r="S48" s="138"/>
      <c r="T48" s="138"/>
      <c r="U48" s="138"/>
      <c r="V48" s="138"/>
      <c r="W48" s="138"/>
      <c r="X48" s="138"/>
      <c r="Y48" s="138"/>
      <c r="Z48" s="138"/>
    </row>
    <row r="49" ht="12.75" customHeight="1">
      <c r="A49" s="274">
        <v>44.0</v>
      </c>
      <c r="B49" s="283">
        <f>IF('Intl Priority'!$B$105&gt;ROUND(((1-IntPriorityDiscount-IntPriorityIncentive)*'Intl Priority'!B46),2),ROUND('Intl Priority'!$B$105*(1+International_Fuel_Surcharge),2),ROUND(((1-IntPriorityDiscount-IntPriorityIncentive)*'Intl Priority'!B46)*(1+International_Fuel_Surcharge),2))</f>
        <v>98.28</v>
      </c>
      <c r="C49" s="283">
        <f>IF('Intl Priority'!$C$105&gt;ROUND(((1-IntPriorityDiscount-IntPriorityIncentive)*'Intl Priority'!C46),2),ROUND('Intl Priority'!$C$105*(1+International_Fuel_Surcharge),2),ROUND(((1-IntPriorityDiscount-IntPriorityIncentive)*'Intl Priority'!C46)*(1+International_Fuel_Surcharge),2))</f>
        <v>110.72</v>
      </c>
      <c r="D49" s="283">
        <f>IF('Intl Priority'!$D$105&gt;ROUND(((1-IntPriorityDiscount-IntPriorityIncentive)*'Intl Priority'!D46),2),ROUND('Intl Priority'!$D$105*(1+International_Fuel_Surcharge),2),ROUND(((1-IntPriorityDiscount-IntPriorityIncentive)*'Intl Priority'!D46)*(1+International_Fuel_Surcharge),2))</f>
        <v>111.1</v>
      </c>
      <c r="E49" s="283">
        <f>IF('Intl Priority'!$E$105&gt;ROUND(((1-IntPriorityDiscount-IntPriorityIncentive)*'Intl Priority'!E46),2),ROUND('Intl Priority'!$E$105*(1+International_Fuel_Surcharge),2),ROUND(((1-IntPriorityDiscount-IntPriorityIncentive)*'Intl Priority'!E46)*(1+International_Fuel_Surcharge),2))</f>
        <v>159.14</v>
      </c>
      <c r="F49" s="283">
        <f>IF('Intl Priority'!$F$105&gt;ROUND(((1-IntPriorityDiscount-IntPriorityIncentive)*'Intl Priority'!F46),2),ROUND('Intl Priority'!$F$105*(1+International_Fuel_Surcharge),2),ROUND(((1-IntPriorityDiscount-IntPriorityIncentive)*'Intl Priority'!F46)*(1+International_Fuel_Surcharge),2))</f>
        <v>269.41</v>
      </c>
      <c r="G49" s="283">
        <f>IF('Intl Priority'!$G$105&gt;ROUND(((1-IntPriorityDiscount-IntPriorityIncentive)*'Intl Priority'!G46),2),ROUND('Intl Priority'!$G$105*(1+International_Fuel_Surcharge),2),ROUND(((1-IntPriorityDiscount-IntPriorityIncentive)*'Intl Priority'!G46)*(1+International_Fuel_Surcharge),2))</f>
        <v>156.32</v>
      </c>
      <c r="H49" s="283">
        <f>IF('Intl Priority'!$H$105&gt;ROUND(((1-IntPriorityDiscount-IntPriorityIncentive)*'Intl Priority'!H46),2),ROUND('Intl Priority'!$H$105*(1+International_Fuel_Surcharge),2),ROUND(((1-IntPriorityDiscount-IntPriorityIncentive)*'Intl Priority'!H46)*(1+International_Fuel_Surcharge),2))</f>
        <v>157.97</v>
      </c>
      <c r="I49" s="283">
        <f>IF('Intl Priority'!$I$105&gt;ROUND(((1-IntPriorityDiscount-IntPriorityIncentive)*'Intl Priority'!I46),2),ROUND('Intl Priority'!$I$105*(1+International_Fuel_Surcharge),2),ROUND(((1-IntPriorityDiscount-IntPriorityIncentive)*'Intl Priority'!I46)*(1+International_Fuel_Surcharge),2))</f>
        <v>170.25</v>
      </c>
      <c r="J49" s="283">
        <f>IF('Intl Priority'!$J$105&gt;ROUND(((1-IntPriorityDiscount-IntPriorityIncentive)*'Intl Priority'!J46),2),ROUND('Intl Priority'!$J$105*(1+International_Fuel_Surcharge),2),ROUND(((1-IntPriorityDiscount-IntPriorityIncentive)*'Intl Priority'!J46)*(1+International_Fuel_Surcharge),2))</f>
        <v>118.57</v>
      </c>
      <c r="K49" s="283">
        <f>IF('Intl Priority'!$K$105&gt;ROUND(((1-IntPriorityDiscount-IntPriorityIncentive)*'Intl Priority'!K46),2),ROUND('Intl Priority'!$K$105*(1+International_Fuel_Surcharge),2),ROUND(((1-IntPriorityDiscount-IntPriorityIncentive)*'Intl Priority'!K46)*(1+International_Fuel_Surcharge),2))</f>
        <v>235.3</v>
      </c>
      <c r="L49" s="283">
        <f>IF('Intl Priority'!$L$105&gt;ROUND(((1-IntPriorityDiscount-IntPriorityIncentive)*'Intl Priority'!L46),2),ROUND('Intl Priority'!$L$105*(1+International_Fuel_Surcharge),2),ROUND(((1-IntPriorityDiscount-IntPriorityIncentive)*'Intl Priority'!L46)*(1+International_Fuel_Surcharge),2))</f>
        <v>200.33</v>
      </c>
      <c r="M49" s="283">
        <f>IF('Intl Priority'!$M$105&gt;ROUND(((1-IntPriorityDiscount-IntPriorityIncentive)*'Intl Priority'!M46),2),ROUND('Intl Priority'!$M$105*(1+International_Fuel_Surcharge),2),ROUND(((1-IntPriorityDiscount-IntPriorityIncentive)*'Intl Priority'!M46)*(1+International_Fuel_Surcharge),2))</f>
        <v>275.67</v>
      </c>
      <c r="N49" s="283">
        <f>IF('Intl Priority'!$N$105&gt;ROUND(((1-IntPriorityDiscount-IntPriorityIncentive)*'Intl Priority'!N46),2),ROUND('Intl Priority'!$N$105*(1+International_Fuel_Surcharge),2),ROUND(((1-IntPriorityDiscount-IntPriorityIncentive)*'Intl Priority'!N46)*(1+International_Fuel_Surcharge),2))</f>
        <v>289.44</v>
      </c>
      <c r="O49" s="283">
        <f>IF('Intl Priority'!$O$105&gt;ROUND(((1-IntPriorityDiscount-IntPriorityIncentive)*'Intl Priority'!O46),2),ROUND('Intl Priority'!$O$105*(1+International_Fuel_Surcharge),2),ROUND(((1-IntPriorityDiscount-IntPriorityIncentive)*'Intl Priority'!O46)*(1+International_Fuel_Surcharge),2))</f>
        <v>204.87</v>
      </c>
      <c r="P49" s="283">
        <f>IF('Intl Priority'!$P$105&gt;ROUND(((1-IntPriorityDiscount-IntPriorityIncentive)*'Intl Priority'!P46),2),ROUND('Intl Priority'!$P$105*(1+International_Fuel_Surcharge),2),ROUND(((1-IntPriorityDiscount-IntPriorityIncentive)*'Intl Priority'!P46)*(1+International_Fuel_Surcharge),2))</f>
        <v>209.78</v>
      </c>
      <c r="Q49" s="283">
        <f>IF('Intl Priority'!$Q$105&gt;ROUND(((1-PuertoRicoDiscount)*'Intl Priority'!Q46),2),ROUND('Intl Priority'!$Q$105*(1+International_Fuel_Surcharge),2),ROUND(((1-PuertoRicoDiscount)*'Intl Priority'!Q46)*(1+International_Fuel_Surcharge),2))</f>
        <v>262.25</v>
      </c>
      <c r="R49" s="138"/>
      <c r="S49" s="138"/>
      <c r="T49" s="138"/>
      <c r="U49" s="138"/>
      <c r="V49" s="138"/>
      <c r="W49" s="138"/>
      <c r="X49" s="138"/>
      <c r="Y49" s="138"/>
      <c r="Z49" s="138"/>
    </row>
    <row r="50" ht="12.75" customHeight="1">
      <c r="A50" s="274">
        <v>45.0</v>
      </c>
      <c r="B50" s="283">
        <f>IF('Intl Priority'!$B$105&gt;ROUND(((1-IntPriorityDiscount-IntPriorityIncentive)*'Intl Priority'!B47),2),ROUND('Intl Priority'!$B$105*(1+International_Fuel_Surcharge),2),ROUND(((1-IntPriorityDiscount-IntPriorityIncentive)*'Intl Priority'!B47)*(1+International_Fuel_Surcharge),2))</f>
        <v>98.53</v>
      </c>
      <c r="C50" s="283">
        <f>IF('Intl Priority'!$C$105&gt;ROUND(((1-IntPriorityDiscount-IntPriorityIncentive)*'Intl Priority'!C47),2),ROUND('Intl Priority'!$C$105*(1+International_Fuel_Surcharge),2),ROUND(((1-IntPriorityDiscount-IntPriorityIncentive)*'Intl Priority'!C47)*(1+International_Fuel_Surcharge),2))</f>
        <v>112.07</v>
      </c>
      <c r="D50" s="283">
        <f>IF('Intl Priority'!$D$105&gt;ROUND(((1-IntPriorityDiscount-IntPriorityIncentive)*'Intl Priority'!D47),2),ROUND('Intl Priority'!$D$105*(1+International_Fuel_Surcharge),2),ROUND(((1-IntPriorityDiscount-IntPriorityIncentive)*'Intl Priority'!D47)*(1+International_Fuel_Surcharge),2))</f>
        <v>111.41</v>
      </c>
      <c r="E50" s="283">
        <f>IF('Intl Priority'!$E$105&gt;ROUND(((1-IntPriorityDiscount-IntPriorityIncentive)*'Intl Priority'!E47),2),ROUND('Intl Priority'!$E$105*(1+International_Fuel_Surcharge),2),ROUND(((1-IntPriorityDiscount-IntPriorityIncentive)*'Intl Priority'!E47)*(1+International_Fuel_Surcharge),2))</f>
        <v>160.84</v>
      </c>
      <c r="F50" s="283">
        <f>IF('Intl Priority'!$F$105&gt;ROUND(((1-IntPriorityDiscount-IntPriorityIncentive)*'Intl Priority'!F47),2),ROUND('Intl Priority'!$F$105*(1+International_Fuel_Surcharge),2),ROUND(((1-IntPriorityDiscount-IntPriorityIncentive)*'Intl Priority'!F47)*(1+International_Fuel_Surcharge),2))</f>
        <v>270.71</v>
      </c>
      <c r="G50" s="283">
        <f>IF('Intl Priority'!$G$105&gt;ROUND(((1-IntPriorityDiscount-IntPriorityIncentive)*'Intl Priority'!G47),2),ROUND('Intl Priority'!$G$105*(1+International_Fuel_Surcharge),2),ROUND(((1-IntPriorityDiscount-IntPriorityIncentive)*'Intl Priority'!G47)*(1+International_Fuel_Surcharge),2))</f>
        <v>158.8</v>
      </c>
      <c r="H50" s="283">
        <f>IF('Intl Priority'!$H$105&gt;ROUND(((1-IntPriorityDiscount-IntPriorityIncentive)*'Intl Priority'!H47),2),ROUND('Intl Priority'!$H$105*(1+International_Fuel_Surcharge),2),ROUND(((1-IntPriorityDiscount-IntPriorityIncentive)*'Intl Priority'!H47)*(1+International_Fuel_Surcharge),2))</f>
        <v>160.48</v>
      </c>
      <c r="I50" s="283">
        <f>IF('Intl Priority'!$I$105&gt;ROUND(((1-IntPriorityDiscount-IntPriorityIncentive)*'Intl Priority'!I47),2),ROUND('Intl Priority'!$I$105*(1+International_Fuel_Surcharge),2),ROUND(((1-IntPriorityDiscount-IntPriorityIncentive)*'Intl Priority'!I47)*(1+International_Fuel_Surcharge),2))</f>
        <v>177.46</v>
      </c>
      <c r="J50" s="283">
        <f>IF('Intl Priority'!$J$105&gt;ROUND(((1-IntPriorityDiscount-IntPriorityIncentive)*'Intl Priority'!J47),2),ROUND('Intl Priority'!$J$105*(1+International_Fuel_Surcharge),2),ROUND(((1-IntPriorityDiscount-IntPriorityIncentive)*'Intl Priority'!J47)*(1+International_Fuel_Surcharge),2))</f>
        <v>118.97</v>
      </c>
      <c r="K50" s="283">
        <f>IF('Intl Priority'!$K$105&gt;ROUND(((1-IntPriorityDiscount-IntPriorityIncentive)*'Intl Priority'!K47),2),ROUND('Intl Priority'!$K$105*(1+International_Fuel_Surcharge),2),ROUND(((1-IntPriorityDiscount-IntPriorityIncentive)*'Intl Priority'!K47)*(1+International_Fuel_Surcharge),2))</f>
        <v>239.53</v>
      </c>
      <c r="L50" s="283">
        <f>IF('Intl Priority'!$L$105&gt;ROUND(((1-IntPriorityDiscount-IntPriorityIncentive)*'Intl Priority'!L47),2),ROUND('Intl Priority'!$L$105*(1+International_Fuel_Surcharge),2),ROUND(((1-IntPriorityDiscount-IntPriorityIncentive)*'Intl Priority'!L47)*(1+International_Fuel_Surcharge),2))</f>
        <v>203.91</v>
      </c>
      <c r="M50" s="283">
        <f>IF('Intl Priority'!$M$105&gt;ROUND(((1-IntPriorityDiscount-IntPriorityIncentive)*'Intl Priority'!M47),2),ROUND('Intl Priority'!$M$105*(1+International_Fuel_Surcharge),2),ROUND(((1-IntPriorityDiscount-IntPriorityIncentive)*'Intl Priority'!M47)*(1+International_Fuel_Surcharge),2))</f>
        <v>275.72</v>
      </c>
      <c r="N50" s="283">
        <f>IF('Intl Priority'!$N$105&gt;ROUND(((1-IntPriorityDiscount-IntPriorityIncentive)*'Intl Priority'!N47),2),ROUND('Intl Priority'!$N$105*(1+International_Fuel_Surcharge),2),ROUND(((1-IntPriorityDiscount-IntPriorityIncentive)*'Intl Priority'!N47)*(1+International_Fuel_Surcharge),2))</f>
        <v>290.02</v>
      </c>
      <c r="O50" s="283">
        <f>IF('Intl Priority'!$O$105&gt;ROUND(((1-IntPriorityDiscount-IntPriorityIncentive)*'Intl Priority'!O47),2),ROUND('Intl Priority'!$O$105*(1+International_Fuel_Surcharge),2),ROUND(((1-IntPriorityDiscount-IntPriorityIncentive)*'Intl Priority'!O47)*(1+International_Fuel_Surcharge),2))</f>
        <v>206.71</v>
      </c>
      <c r="P50" s="283">
        <f>IF('Intl Priority'!$P$105&gt;ROUND(((1-IntPriorityDiscount-IntPriorityIncentive)*'Intl Priority'!P47),2),ROUND('Intl Priority'!$P$105*(1+International_Fuel_Surcharge),2),ROUND(((1-IntPriorityDiscount-IntPriorityIncentive)*'Intl Priority'!P47)*(1+International_Fuel_Surcharge),2))</f>
        <v>209.87</v>
      </c>
      <c r="Q50" s="283">
        <f>IF('Intl Priority'!$Q$105&gt;ROUND(((1-PuertoRicoDiscount)*'Intl Priority'!Q47),2),ROUND('Intl Priority'!$Q$105*(1+International_Fuel_Surcharge),2),ROUND(((1-PuertoRicoDiscount)*'Intl Priority'!Q47)*(1+International_Fuel_Surcharge),2))</f>
        <v>266.45</v>
      </c>
      <c r="R50" s="138"/>
      <c r="S50" s="138"/>
      <c r="T50" s="138"/>
      <c r="U50" s="138"/>
      <c r="V50" s="138"/>
      <c r="W50" s="138"/>
      <c r="X50" s="138"/>
      <c r="Y50" s="138"/>
      <c r="Z50" s="138"/>
    </row>
    <row r="51" ht="12.75" customHeight="1">
      <c r="A51" s="274">
        <v>46.0</v>
      </c>
      <c r="B51" s="283">
        <f>IF('Intl Priority'!$B$105&gt;ROUND(((1-IntPriorityDiscount-IntPriorityIncentive)*'Intl Priority'!B48),2),ROUND('Intl Priority'!$B$105*(1+International_Fuel_Surcharge),2),ROUND(((1-IntPriorityDiscount-IntPriorityIncentive)*'Intl Priority'!B48)*(1+International_Fuel_Surcharge),2))</f>
        <v>100.91</v>
      </c>
      <c r="C51" s="283">
        <f>IF('Intl Priority'!$C$105&gt;ROUND(((1-IntPriorityDiscount-IntPriorityIncentive)*'Intl Priority'!C48),2),ROUND('Intl Priority'!$C$105*(1+International_Fuel_Surcharge),2),ROUND(((1-IntPriorityDiscount-IntPriorityIncentive)*'Intl Priority'!C48)*(1+International_Fuel_Surcharge),2))</f>
        <v>114.49</v>
      </c>
      <c r="D51" s="283">
        <f>IF('Intl Priority'!$D$105&gt;ROUND(((1-IntPriorityDiscount-IntPriorityIncentive)*'Intl Priority'!D48),2),ROUND('Intl Priority'!$D$105*(1+International_Fuel_Surcharge),2),ROUND(((1-IntPriorityDiscount-IntPriorityIncentive)*'Intl Priority'!D48)*(1+International_Fuel_Surcharge),2))</f>
        <v>116.1</v>
      </c>
      <c r="E51" s="283">
        <f>IF('Intl Priority'!$E$105&gt;ROUND(((1-IntPriorityDiscount-IntPriorityIncentive)*'Intl Priority'!E48),2),ROUND('Intl Priority'!$E$105*(1+International_Fuel_Surcharge),2),ROUND(((1-IntPriorityDiscount-IntPriorityIncentive)*'Intl Priority'!E48)*(1+International_Fuel_Surcharge),2))</f>
        <v>164.15</v>
      </c>
      <c r="F51" s="283">
        <f>IF('Intl Priority'!$F$105&gt;ROUND(((1-IntPriorityDiscount-IntPriorityIncentive)*'Intl Priority'!F48),2),ROUND('Intl Priority'!$F$105*(1+International_Fuel_Surcharge),2),ROUND(((1-IntPriorityDiscount-IntPriorityIncentive)*'Intl Priority'!F48)*(1+International_Fuel_Surcharge),2))</f>
        <v>296.69</v>
      </c>
      <c r="G51" s="283">
        <f>IF('Intl Priority'!$G$105&gt;ROUND(((1-IntPriorityDiscount-IntPriorityIncentive)*'Intl Priority'!G48),2),ROUND('Intl Priority'!$G$105*(1+International_Fuel_Surcharge),2),ROUND(((1-IntPriorityDiscount-IntPriorityIncentive)*'Intl Priority'!G48)*(1+International_Fuel_Surcharge),2))</f>
        <v>161.23</v>
      </c>
      <c r="H51" s="283">
        <f>IF('Intl Priority'!$H$105&gt;ROUND(((1-IntPriorityDiscount-IntPriorityIncentive)*'Intl Priority'!H48),2),ROUND('Intl Priority'!$H$105*(1+International_Fuel_Surcharge),2),ROUND(((1-IntPriorityDiscount-IntPriorityIncentive)*'Intl Priority'!H48)*(1+International_Fuel_Surcharge),2))</f>
        <v>162.14</v>
      </c>
      <c r="I51" s="283">
        <f>IF('Intl Priority'!$I$105&gt;ROUND(((1-IntPriorityDiscount-IntPriorityIncentive)*'Intl Priority'!I48),2),ROUND('Intl Priority'!$I$105*(1+International_Fuel_Surcharge),2),ROUND(((1-IntPriorityDiscount-IntPriorityIncentive)*'Intl Priority'!I48)*(1+International_Fuel_Surcharge),2))</f>
        <v>178.19</v>
      </c>
      <c r="J51" s="283">
        <f>IF('Intl Priority'!$J$105&gt;ROUND(((1-IntPriorityDiscount-IntPriorityIncentive)*'Intl Priority'!J48),2),ROUND('Intl Priority'!$J$105*(1+International_Fuel_Surcharge),2),ROUND(((1-IntPriorityDiscount-IntPriorityIncentive)*'Intl Priority'!J48)*(1+International_Fuel_Surcharge),2))</f>
        <v>126.97</v>
      </c>
      <c r="K51" s="283">
        <f>IF('Intl Priority'!$K$105&gt;ROUND(((1-IntPriorityDiscount-IntPriorityIncentive)*'Intl Priority'!K48),2),ROUND('Intl Priority'!$K$105*(1+International_Fuel_Surcharge),2),ROUND(((1-IntPriorityDiscount-IntPriorityIncentive)*'Intl Priority'!K48)*(1+International_Fuel_Surcharge),2))</f>
        <v>247.23</v>
      </c>
      <c r="L51" s="283">
        <f>IF('Intl Priority'!$L$105&gt;ROUND(((1-IntPriorityDiscount-IntPriorityIncentive)*'Intl Priority'!L48),2),ROUND('Intl Priority'!$L$105*(1+International_Fuel_Surcharge),2),ROUND(((1-IntPriorityDiscount-IntPriorityIncentive)*'Intl Priority'!L48)*(1+International_Fuel_Surcharge),2))</f>
        <v>205.37</v>
      </c>
      <c r="M51" s="283">
        <f>IF('Intl Priority'!$M$105&gt;ROUND(((1-IntPriorityDiscount-IntPriorityIncentive)*'Intl Priority'!M48),2),ROUND('Intl Priority'!$M$105*(1+International_Fuel_Surcharge),2),ROUND(((1-IntPriorityDiscount-IntPriorityIncentive)*'Intl Priority'!M48)*(1+International_Fuel_Surcharge),2))</f>
        <v>275.77</v>
      </c>
      <c r="N51" s="283">
        <f>IF('Intl Priority'!$N$105&gt;ROUND(((1-IntPriorityDiscount-IntPriorityIncentive)*'Intl Priority'!N48),2),ROUND('Intl Priority'!$N$105*(1+International_Fuel_Surcharge),2),ROUND(((1-IntPriorityDiscount-IntPriorityIncentive)*'Intl Priority'!N48)*(1+International_Fuel_Surcharge),2))</f>
        <v>301.59</v>
      </c>
      <c r="O51" s="283">
        <f>IF('Intl Priority'!$O$105&gt;ROUND(((1-IntPriorityDiscount-IntPriorityIncentive)*'Intl Priority'!O48),2),ROUND('Intl Priority'!$O$105*(1+International_Fuel_Surcharge),2),ROUND(((1-IntPriorityDiscount-IntPriorityIncentive)*'Intl Priority'!O48)*(1+International_Fuel_Surcharge),2))</f>
        <v>208.64</v>
      </c>
      <c r="P51" s="283">
        <f>IF('Intl Priority'!$P$105&gt;ROUND(((1-IntPriorityDiscount-IntPriorityIncentive)*'Intl Priority'!P48),2),ROUND('Intl Priority'!$P$105*(1+International_Fuel_Surcharge),2),ROUND(((1-IntPriorityDiscount-IntPriorityIncentive)*'Intl Priority'!P48)*(1+International_Fuel_Surcharge),2))</f>
        <v>209.91</v>
      </c>
      <c r="Q51" s="283">
        <f>IF('Intl Priority'!$Q$105&gt;ROUND(((1-PuertoRicoDiscount)*'Intl Priority'!Q48),2),ROUND('Intl Priority'!$Q$105*(1+International_Fuel_Surcharge),2),ROUND(((1-PuertoRicoDiscount)*'Intl Priority'!Q48)*(1+International_Fuel_Surcharge),2))</f>
        <v>271.06</v>
      </c>
      <c r="R51" s="138"/>
      <c r="S51" s="138"/>
      <c r="T51" s="138"/>
      <c r="U51" s="138"/>
      <c r="V51" s="138"/>
      <c r="W51" s="138"/>
      <c r="X51" s="138"/>
      <c r="Y51" s="138"/>
      <c r="Z51" s="138"/>
    </row>
    <row r="52" ht="12.75" customHeight="1">
      <c r="A52" s="274">
        <v>47.0</v>
      </c>
      <c r="B52" s="283">
        <f>IF('Intl Priority'!$B$105&gt;ROUND(((1-IntPriorityDiscount-IntPriorityIncentive)*'Intl Priority'!B49),2),ROUND('Intl Priority'!$B$105*(1+International_Fuel_Surcharge),2),ROUND(((1-IntPriorityDiscount-IntPriorityIncentive)*'Intl Priority'!B49)*(1+International_Fuel_Surcharge),2))</f>
        <v>102.42</v>
      </c>
      <c r="C52" s="283">
        <f>IF('Intl Priority'!$C$105&gt;ROUND(((1-IntPriorityDiscount-IntPriorityIncentive)*'Intl Priority'!C49),2),ROUND('Intl Priority'!$C$105*(1+International_Fuel_Surcharge),2),ROUND(((1-IntPriorityDiscount-IntPriorityIncentive)*'Intl Priority'!C49)*(1+International_Fuel_Surcharge),2))</f>
        <v>115.69</v>
      </c>
      <c r="D52" s="283">
        <f>IF('Intl Priority'!$D$105&gt;ROUND(((1-IntPriorityDiscount-IntPriorityIncentive)*'Intl Priority'!D49),2),ROUND('Intl Priority'!$D$105*(1+International_Fuel_Surcharge),2),ROUND(((1-IntPriorityDiscount-IntPriorityIncentive)*'Intl Priority'!D49)*(1+International_Fuel_Surcharge),2))</f>
        <v>118.01</v>
      </c>
      <c r="E52" s="283">
        <f>IF('Intl Priority'!$E$105&gt;ROUND(((1-IntPriorityDiscount-IntPriorityIncentive)*'Intl Priority'!E49),2),ROUND('Intl Priority'!$E$105*(1+International_Fuel_Surcharge),2),ROUND(((1-IntPriorityDiscount-IntPriorityIncentive)*'Intl Priority'!E49)*(1+International_Fuel_Surcharge),2))</f>
        <v>166.99</v>
      </c>
      <c r="F52" s="283">
        <f>IF('Intl Priority'!$F$105&gt;ROUND(((1-IntPriorityDiscount-IntPriorityIncentive)*'Intl Priority'!F49),2),ROUND('Intl Priority'!$F$105*(1+International_Fuel_Surcharge),2),ROUND(((1-IntPriorityDiscount-IntPriorityIncentive)*'Intl Priority'!F49)*(1+International_Fuel_Surcharge),2))</f>
        <v>299.29</v>
      </c>
      <c r="G52" s="283">
        <f>IF('Intl Priority'!$G$105&gt;ROUND(((1-IntPriorityDiscount-IntPriorityIncentive)*'Intl Priority'!G49),2),ROUND('Intl Priority'!$G$105*(1+International_Fuel_Surcharge),2),ROUND(((1-IntPriorityDiscount-IntPriorityIncentive)*'Intl Priority'!G49)*(1+International_Fuel_Surcharge),2))</f>
        <v>163.07</v>
      </c>
      <c r="H52" s="283">
        <f>IF('Intl Priority'!$H$105&gt;ROUND(((1-IntPriorityDiscount-IntPriorityIncentive)*'Intl Priority'!H49),2),ROUND('Intl Priority'!$H$105*(1+International_Fuel_Surcharge),2),ROUND(((1-IntPriorityDiscount-IntPriorityIncentive)*'Intl Priority'!H49)*(1+International_Fuel_Surcharge),2))</f>
        <v>164.79</v>
      </c>
      <c r="I52" s="283">
        <f>IF('Intl Priority'!$I$105&gt;ROUND(((1-IntPriorityDiscount-IntPriorityIncentive)*'Intl Priority'!I49),2),ROUND('Intl Priority'!$I$105*(1+International_Fuel_Surcharge),2),ROUND(((1-IntPriorityDiscount-IntPriorityIncentive)*'Intl Priority'!I49)*(1+International_Fuel_Surcharge),2))</f>
        <v>178.65</v>
      </c>
      <c r="J52" s="283">
        <f>IF('Intl Priority'!$J$105&gt;ROUND(((1-IntPriorityDiscount-IntPriorityIncentive)*'Intl Priority'!J49),2),ROUND('Intl Priority'!$J$105*(1+International_Fuel_Surcharge),2),ROUND(((1-IntPriorityDiscount-IntPriorityIncentive)*'Intl Priority'!J49)*(1+International_Fuel_Surcharge),2))</f>
        <v>127.78</v>
      </c>
      <c r="K52" s="283">
        <f>IF('Intl Priority'!$K$105&gt;ROUND(((1-IntPriorityDiscount-IntPriorityIncentive)*'Intl Priority'!K49),2),ROUND('Intl Priority'!$K$105*(1+International_Fuel_Surcharge),2),ROUND(((1-IntPriorityDiscount-IntPriorityIncentive)*'Intl Priority'!K49)*(1+International_Fuel_Surcharge),2))</f>
        <v>248.01</v>
      </c>
      <c r="L52" s="283">
        <f>IF('Intl Priority'!$L$105&gt;ROUND(((1-IntPriorityDiscount-IntPriorityIncentive)*'Intl Priority'!L49),2),ROUND('Intl Priority'!$L$105*(1+International_Fuel_Surcharge),2),ROUND(((1-IntPriorityDiscount-IntPriorityIncentive)*'Intl Priority'!L49)*(1+International_Fuel_Surcharge),2))</f>
        <v>205.52</v>
      </c>
      <c r="M52" s="283">
        <f>IF('Intl Priority'!$M$105&gt;ROUND(((1-IntPriorityDiscount-IntPriorityIncentive)*'Intl Priority'!M49),2),ROUND('Intl Priority'!$M$105*(1+International_Fuel_Surcharge),2),ROUND(((1-IntPriorityDiscount-IntPriorityIncentive)*'Intl Priority'!M49)*(1+International_Fuel_Surcharge),2))</f>
        <v>275.93</v>
      </c>
      <c r="N52" s="283">
        <f>IF('Intl Priority'!$N$105&gt;ROUND(((1-IntPriorityDiscount-IntPriorityIncentive)*'Intl Priority'!N49),2),ROUND('Intl Priority'!$N$105*(1+International_Fuel_Surcharge),2),ROUND(((1-IntPriorityDiscount-IntPriorityIncentive)*'Intl Priority'!N49)*(1+International_Fuel_Surcharge),2))</f>
        <v>304.1</v>
      </c>
      <c r="O52" s="283">
        <f>IF('Intl Priority'!$O$105&gt;ROUND(((1-IntPriorityDiscount-IntPriorityIncentive)*'Intl Priority'!O49),2),ROUND('Intl Priority'!$O$105*(1+International_Fuel_Surcharge),2),ROUND(((1-IntPriorityDiscount-IntPriorityIncentive)*'Intl Priority'!O49)*(1+International_Fuel_Surcharge),2))</f>
        <v>208.83</v>
      </c>
      <c r="P52" s="283">
        <f>IF('Intl Priority'!$P$105&gt;ROUND(((1-IntPriorityDiscount-IntPriorityIncentive)*'Intl Priority'!P49),2),ROUND('Intl Priority'!$P$105*(1+International_Fuel_Surcharge),2),ROUND(((1-IntPriorityDiscount-IntPriorityIncentive)*'Intl Priority'!P49)*(1+International_Fuel_Surcharge),2))</f>
        <v>209.95</v>
      </c>
      <c r="Q52" s="283">
        <f>IF('Intl Priority'!$Q$105&gt;ROUND(((1-PuertoRicoDiscount)*'Intl Priority'!Q49),2),ROUND('Intl Priority'!$Q$105*(1+International_Fuel_Surcharge),2),ROUND(((1-PuertoRicoDiscount)*'Intl Priority'!Q49)*(1+International_Fuel_Surcharge),2))</f>
        <v>275.3</v>
      </c>
      <c r="R52" s="138"/>
      <c r="S52" s="138"/>
      <c r="T52" s="138"/>
      <c r="U52" s="138"/>
      <c r="V52" s="138"/>
      <c r="W52" s="138"/>
      <c r="X52" s="138"/>
      <c r="Y52" s="138"/>
      <c r="Z52" s="138"/>
    </row>
    <row r="53" ht="12.75" customHeight="1">
      <c r="A53" s="274">
        <v>48.0</v>
      </c>
      <c r="B53" s="283">
        <f>IF('Intl Priority'!$B$105&gt;ROUND(((1-IntPriorityDiscount-IntPriorityIncentive)*'Intl Priority'!B50),2),ROUND('Intl Priority'!$B$105*(1+International_Fuel_Surcharge),2),ROUND(((1-IntPriorityDiscount-IntPriorityIncentive)*'Intl Priority'!B50)*(1+International_Fuel_Surcharge),2))</f>
        <v>103.79</v>
      </c>
      <c r="C53" s="283">
        <f>IF('Intl Priority'!$C$105&gt;ROUND(((1-IntPriorityDiscount-IntPriorityIncentive)*'Intl Priority'!C50),2),ROUND('Intl Priority'!$C$105*(1+International_Fuel_Surcharge),2),ROUND(((1-IntPriorityDiscount-IntPriorityIncentive)*'Intl Priority'!C50)*(1+International_Fuel_Surcharge),2))</f>
        <v>117.84</v>
      </c>
      <c r="D53" s="283">
        <f>IF('Intl Priority'!$D$105&gt;ROUND(((1-IntPriorityDiscount-IntPriorityIncentive)*'Intl Priority'!D50),2),ROUND('Intl Priority'!$D$105*(1+International_Fuel_Surcharge),2),ROUND(((1-IntPriorityDiscount-IntPriorityIncentive)*'Intl Priority'!D50)*(1+International_Fuel_Surcharge),2))</f>
        <v>119.54</v>
      </c>
      <c r="E53" s="283">
        <f>IF('Intl Priority'!$E$105&gt;ROUND(((1-IntPriorityDiscount-IntPriorityIncentive)*'Intl Priority'!E50),2),ROUND('Intl Priority'!$E$105*(1+International_Fuel_Surcharge),2),ROUND(((1-IntPriorityDiscount-IntPriorityIncentive)*'Intl Priority'!E50)*(1+International_Fuel_Surcharge),2))</f>
        <v>167.34</v>
      </c>
      <c r="F53" s="283">
        <f>IF('Intl Priority'!$F$105&gt;ROUND(((1-IntPriorityDiscount-IntPriorityIncentive)*'Intl Priority'!F50),2),ROUND('Intl Priority'!$F$105*(1+International_Fuel_Surcharge),2),ROUND(((1-IntPriorityDiscount-IntPriorityIncentive)*'Intl Priority'!F50)*(1+International_Fuel_Surcharge),2))</f>
        <v>308.85</v>
      </c>
      <c r="G53" s="283">
        <f>IF('Intl Priority'!$G$105&gt;ROUND(((1-IntPriorityDiscount-IntPriorityIncentive)*'Intl Priority'!G50),2),ROUND('Intl Priority'!$G$105*(1+International_Fuel_Surcharge),2),ROUND(((1-IntPriorityDiscount-IntPriorityIncentive)*'Intl Priority'!G50)*(1+International_Fuel_Surcharge),2))</f>
        <v>165.55</v>
      </c>
      <c r="H53" s="283">
        <f>IF('Intl Priority'!$H$105&gt;ROUND(((1-IntPriorityDiscount-IntPriorityIncentive)*'Intl Priority'!H50),2),ROUND('Intl Priority'!$H$105*(1+International_Fuel_Surcharge),2),ROUND(((1-IntPriorityDiscount-IntPriorityIncentive)*'Intl Priority'!H50)*(1+International_Fuel_Surcharge),2))</f>
        <v>165.06</v>
      </c>
      <c r="I53" s="283">
        <f>IF('Intl Priority'!$I$105&gt;ROUND(((1-IntPriorityDiscount-IntPriorityIncentive)*'Intl Priority'!I50),2),ROUND('Intl Priority'!$I$105*(1+International_Fuel_Surcharge),2),ROUND(((1-IntPriorityDiscount-IntPriorityIncentive)*'Intl Priority'!I50)*(1+International_Fuel_Surcharge),2))</f>
        <v>187.98</v>
      </c>
      <c r="J53" s="283">
        <f>IF('Intl Priority'!$J$105&gt;ROUND(((1-IntPriorityDiscount-IntPriorityIncentive)*'Intl Priority'!J50),2),ROUND('Intl Priority'!$J$105*(1+International_Fuel_Surcharge),2),ROUND(((1-IntPriorityDiscount-IntPriorityIncentive)*'Intl Priority'!J50)*(1+International_Fuel_Surcharge),2))</f>
        <v>127.86</v>
      </c>
      <c r="K53" s="283">
        <f>IF('Intl Priority'!$K$105&gt;ROUND(((1-IntPriorityDiscount-IntPriorityIncentive)*'Intl Priority'!K50),2),ROUND('Intl Priority'!$K$105*(1+International_Fuel_Surcharge),2),ROUND(((1-IntPriorityDiscount-IntPriorityIncentive)*'Intl Priority'!K50)*(1+International_Fuel_Surcharge),2))</f>
        <v>252.24</v>
      </c>
      <c r="L53" s="283">
        <f>IF('Intl Priority'!$L$105&gt;ROUND(((1-IntPriorityDiscount-IntPriorityIncentive)*'Intl Priority'!L50),2),ROUND('Intl Priority'!$L$105*(1+International_Fuel_Surcharge),2),ROUND(((1-IntPriorityDiscount-IntPriorityIncentive)*'Intl Priority'!L50)*(1+International_Fuel_Surcharge),2))</f>
        <v>205.56</v>
      </c>
      <c r="M53" s="283">
        <f>IF('Intl Priority'!$M$105&gt;ROUND(((1-IntPriorityDiscount-IntPriorityIncentive)*'Intl Priority'!M50),2),ROUND('Intl Priority'!$M$105*(1+International_Fuel_Surcharge),2),ROUND(((1-IntPriorityDiscount-IntPriorityIncentive)*'Intl Priority'!M50)*(1+International_Fuel_Surcharge),2))</f>
        <v>279.1</v>
      </c>
      <c r="N53" s="283">
        <f>IF('Intl Priority'!$N$105&gt;ROUND(((1-IntPriorityDiscount-IntPriorityIncentive)*'Intl Priority'!N50),2),ROUND('Intl Priority'!$N$105*(1+International_Fuel_Surcharge),2),ROUND(((1-IntPriorityDiscount-IntPriorityIncentive)*'Intl Priority'!N50)*(1+International_Fuel_Surcharge),2))</f>
        <v>304.35</v>
      </c>
      <c r="O53" s="283">
        <f>IF('Intl Priority'!$O$105&gt;ROUND(((1-IntPriorityDiscount-IntPriorityIncentive)*'Intl Priority'!O50),2),ROUND('Intl Priority'!$O$105*(1+International_Fuel_Surcharge),2),ROUND(((1-IntPriorityDiscount-IntPriorityIncentive)*'Intl Priority'!O50)*(1+International_Fuel_Surcharge),2))</f>
        <v>209.1</v>
      </c>
      <c r="P53" s="283">
        <f>IF('Intl Priority'!$P$105&gt;ROUND(((1-IntPriorityDiscount-IntPriorityIncentive)*'Intl Priority'!P50),2),ROUND('Intl Priority'!$P$105*(1+International_Fuel_Surcharge),2),ROUND(((1-IntPriorityDiscount-IntPriorityIncentive)*'Intl Priority'!P50)*(1+International_Fuel_Surcharge),2))</f>
        <v>209.99</v>
      </c>
      <c r="Q53" s="283">
        <f>IF('Intl Priority'!$Q$105&gt;ROUND(((1-PuertoRicoDiscount)*'Intl Priority'!Q50),2),ROUND('Intl Priority'!$Q$105*(1+International_Fuel_Surcharge),2),ROUND(((1-PuertoRicoDiscount)*'Intl Priority'!Q50)*(1+International_Fuel_Surcharge),2))</f>
        <v>280.43</v>
      </c>
      <c r="R53" s="138"/>
      <c r="S53" s="138"/>
      <c r="T53" s="138"/>
      <c r="U53" s="138"/>
      <c r="V53" s="138"/>
      <c r="W53" s="138"/>
      <c r="X53" s="138"/>
      <c r="Y53" s="138"/>
      <c r="Z53" s="138"/>
    </row>
    <row r="54" ht="12.75" customHeight="1">
      <c r="A54" s="274">
        <v>49.0</v>
      </c>
      <c r="B54" s="283">
        <f>IF('Intl Priority'!$B$105&gt;ROUND(((1-IntPriorityDiscount-IntPriorityIncentive)*'Intl Priority'!B51),2),ROUND('Intl Priority'!$B$105*(1+International_Fuel_Surcharge),2),ROUND(((1-IntPriorityDiscount-IntPriorityIncentive)*'Intl Priority'!B51)*(1+International_Fuel_Surcharge),2))</f>
        <v>103.95</v>
      </c>
      <c r="C54" s="283">
        <f>IF('Intl Priority'!$C$105&gt;ROUND(((1-IntPriorityDiscount-IntPriorityIncentive)*'Intl Priority'!C51),2),ROUND('Intl Priority'!$C$105*(1+International_Fuel_Surcharge),2),ROUND(((1-IntPriorityDiscount-IntPriorityIncentive)*'Intl Priority'!C51)*(1+International_Fuel_Surcharge),2))</f>
        <v>118.98</v>
      </c>
      <c r="D54" s="283">
        <f>IF('Intl Priority'!$D$105&gt;ROUND(((1-IntPriorityDiscount-IntPriorityIncentive)*'Intl Priority'!D51),2),ROUND('Intl Priority'!$D$105*(1+International_Fuel_Surcharge),2),ROUND(((1-IntPriorityDiscount-IntPriorityIncentive)*'Intl Priority'!D51)*(1+International_Fuel_Surcharge),2))</f>
        <v>119.7</v>
      </c>
      <c r="E54" s="283">
        <f>IF('Intl Priority'!$E$105&gt;ROUND(((1-IntPriorityDiscount-IntPriorityIncentive)*'Intl Priority'!E51),2),ROUND('Intl Priority'!$E$105*(1+International_Fuel_Surcharge),2),ROUND(((1-IntPriorityDiscount-IntPriorityIncentive)*'Intl Priority'!E51)*(1+International_Fuel_Surcharge),2))</f>
        <v>171.7</v>
      </c>
      <c r="F54" s="283">
        <f>IF('Intl Priority'!$F$105&gt;ROUND(((1-IntPriorityDiscount-IntPriorityIncentive)*'Intl Priority'!F51),2),ROUND('Intl Priority'!$F$105*(1+International_Fuel_Surcharge),2),ROUND(((1-IntPriorityDiscount-IntPriorityIncentive)*'Intl Priority'!F51)*(1+International_Fuel_Surcharge),2))</f>
        <v>314.57</v>
      </c>
      <c r="G54" s="283">
        <f>IF('Intl Priority'!$G$105&gt;ROUND(((1-IntPriorityDiscount-IntPriorityIncentive)*'Intl Priority'!G51),2),ROUND('Intl Priority'!$G$105*(1+International_Fuel_Surcharge),2),ROUND(((1-IntPriorityDiscount-IntPriorityIncentive)*'Intl Priority'!G51)*(1+International_Fuel_Surcharge),2))</f>
        <v>168.16</v>
      </c>
      <c r="H54" s="283">
        <f>IF('Intl Priority'!$H$105&gt;ROUND(((1-IntPriorityDiscount-IntPriorityIncentive)*'Intl Priority'!H51),2),ROUND('Intl Priority'!$H$105*(1+International_Fuel_Surcharge),2),ROUND(((1-IntPriorityDiscount-IntPriorityIncentive)*'Intl Priority'!H51)*(1+International_Fuel_Surcharge),2))</f>
        <v>169.94</v>
      </c>
      <c r="I54" s="283">
        <f>IF('Intl Priority'!$I$105&gt;ROUND(((1-IntPriorityDiscount-IntPriorityIncentive)*'Intl Priority'!I51),2),ROUND('Intl Priority'!$I$105*(1+International_Fuel_Surcharge),2),ROUND(((1-IntPriorityDiscount-IntPriorityIncentive)*'Intl Priority'!I51)*(1+International_Fuel_Surcharge),2))</f>
        <v>188.91</v>
      </c>
      <c r="J54" s="283">
        <f>IF('Intl Priority'!$J$105&gt;ROUND(((1-IntPriorityDiscount-IntPriorityIncentive)*'Intl Priority'!J51),2),ROUND('Intl Priority'!$J$105*(1+International_Fuel_Surcharge),2),ROUND(((1-IntPriorityDiscount-IntPriorityIncentive)*'Intl Priority'!J51)*(1+International_Fuel_Surcharge),2))</f>
        <v>128.13</v>
      </c>
      <c r="K54" s="283">
        <f>IF('Intl Priority'!$K$105&gt;ROUND(((1-IntPriorityDiscount-IntPriorityIncentive)*'Intl Priority'!K51),2),ROUND('Intl Priority'!$K$105*(1+International_Fuel_Surcharge),2),ROUND(((1-IntPriorityDiscount-IntPriorityIncentive)*'Intl Priority'!K51)*(1+International_Fuel_Surcharge),2))</f>
        <v>256.32</v>
      </c>
      <c r="L54" s="283">
        <f>IF('Intl Priority'!$L$105&gt;ROUND(((1-IntPriorityDiscount-IntPriorityIncentive)*'Intl Priority'!L51),2),ROUND('Intl Priority'!$L$105*(1+International_Fuel_Surcharge),2),ROUND(((1-IntPriorityDiscount-IntPriorityIncentive)*'Intl Priority'!L51)*(1+International_Fuel_Surcharge),2))</f>
        <v>206.38</v>
      </c>
      <c r="M54" s="283">
        <f>IF('Intl Priority'!$M$105&gt;ROUND(((1-IntPriorityDiscount-IntPriorityIncentive)*'Intl Priority'!M51),2),ROUND('Intl Priority'!$M$105*(1+International_Fuel_Surcharge),2),ROUND(((1-IntPriorityDiscount-IntPriorityIncentive)*'Intl Priority'!M51)*(1+International_Fuel_Surcharge),2))</f>
        <v>279.42</v>
      </c>
      <c r="N54" s="283">
        <f>IF('Intl Priority'!$N$105&gt;ROUND(((1-IntPriorityDiscount-IntPriorityIncentive)*'Intl Priority'!N51),2),ROUND('Intl Priority'!$N$105*(1+International_Fuel_Surcharge),2),ROUND(((1-IntPriorityDiscount-IntPriorityIncentive)*'Intl Priority'!N51)*(1+International_Fuel_Surcharge),2))</f>
        <v>304.41</v>
      </c>
      <c r="O54" s="283">
        <f>IF('Intl Priority'!$O$105&gt;ROUND(((1-IntPriorityDiscount-IntPriorityIncentive)*'Intl Priority'!O51),2),ROUND('Intl Priority'!$O$105*(1+International_Fuel_Surcharge),2),ROUND(((1-IntPriorityDiscount-IntPriorityIncentive)*'Intl Priority'!O51)*(1+International_Fuel_Surcharge),2))</f>
        <v>214.46</v>
      </c>
      <c r="P54" s="283">
        <f>IF('Intl Priority'!$P$105&gt;ROUND(((1-IntPriorityDiscount-IntPriorityIncentive)*'Intl Priority'!P51),2),ROUND('Intl Priority'!$P$105*(1+International_Fuel_Surcharge),2),ROUND(((1-IntPriorityDiscount-IntPriorityIncentive)*'Intl Priority'!P51)*(1+International_Fuel_Surcharge),2))</f>
        <v>210.1</v>
      </c>
      <c r="Q54" s="283">
        <f>IF('Intl Priority'!$Q$105&gt;ROUND(((1-PuertoRicoDiscount)*'Intl Priority'!Q51),2),ROUND('Intl Priority'!$Q$105*(1+International_Fuel_Surcharge),2),ROUND(((1-PuertoRicoDiscount)*'Intl Priority'!Q51)*(1+International_Fuel_Surcharge),2))</f>
        <v>285.48</v>
      </c>
      <c r="R54" s="138"/>
      <c r="S54" s="138"/>
      <c r="T54" s="138"/>
      <c r="U54" s="138"/>
      <c r="V54" s="138"/>
      <c r="W54" s="138"/>
      <c r="X54" s="138"/>
      <c r="Y54" s="138"/>
      <c r="Z54" s="138"/>
    </row>
    <row r="55" ht="12.75" customHeight="1">
      <c r="A55" s="274">
        <v>50.0</v>
      </c>
      <c r="B55" s="283">
        <f>IF('Intl Priority'!$B$105&gt;ROUND(((1-IntPriorityDiscount-IntPriorityIncentive)*'Intl Priority'!B52),2),ROUND('Intl Priority'!$B$105*(1+International_Fuel_Surcharge),2),ROUND(((1-IntPriorityDiscount-IntPriorityIncentive)*'Intl Priority'!B52)*(1+International_Fuel_Surcharge),2))</f>
        <v>106.8</v>
      </c>
      <c r="C55" s="283">
        <f>IF('Intl Priority'!$C$105&gt;ROUND(((1-IntPriorityDiscount-IntPriorityIncentive)*'Intl Priority'!C52),2),ROUND('Intl Priority'!$C$105*(1+International_Fuel_Surcharge),2),ROUND(((1-IntPriorityDiscount-IntPriorityIncentive)*'Intl Priority'!C52)*(1+International_Fuel_Surcharge),2))</f>
        <v>119.54</v>
      </c>
      <c r="D55" s="283">
        <f>IF('Intl Priority'!$D$105&gt;ROUND(((1-IntPriorityDiscount-IntPriorityIncentive)*'Intl Priority'!D52),2),ROUND('Intl Priority'!$D$105*(1+International_Fuel_Surcharge),2),ROUND(((1-IntPriorityDiscount-IntPriorityIncentive)*'Intl Priority'!D52)*(1+International_Fuel_Surcharge),2))</f>
        <v>119.91</v>
      </c>
      <c r="E55" s="283">
        <f>IF('Intl Priority'!$E$105&gt;ROUND(((1-IntPriorityDiscount-IntPriorityIncentive)*'Intl Priority'!E52),2),ROUND('Intl Priority'!$E$105*(1+International_Fuel_Surcharge),2),ROUND(((1-IntPriorityDiscount-IntPriorityIncentive)*'Intl Priority'!E52)*(1+International_Fuel_Surcharge),2))</f>
        <v>172.79</v>
      </c>
      <c r="F55" s="283">
        <f>IF('Intl Priority'!$F$105&gt;ROUND(((1-IntPriorityDiscount-IntPriorityIncentive)*'Intl Priority'!F52),2),ROUND('Intl Priority'!$F$105*(1+International_Fuel_Surcharge),2),ROUND(((1-IntPriorityDiscount-IntPriorityIncentive)*'Intl Priority'!F52)*(1+International_Fuel_Surcharge),2))</f>
        <v>317.89</v>
      </c>
      <c r="G55" s="283">
        <f>IF('Intl Priority'!$G$105&gt;ROUND(((1-IntPriorityDiscount-IntPriorityIncentive)*'Intl Priority'!G52),2),ROUND('Intl Priority'!$G$105*(1+International_Fuel_Surcharge),2),ROUND(((1-IntPriorityDiscount-IntPriorityIncentive)*'Intl Priority'!G52)*(1+International_Fuel_Surcharge),2))</f>
        <v>171.12</v>
      </c>
      <c r="H55" s="283">
        <f>IF('Intl Priority'!$H$105&gt;ROUND(((1-IntPriorityDiscount-IntPriorityIncentive)*'Intl Priority'!H52),2),ROUND('Intl Priority'!$H$105*(1+International_Fuel_Surcharge),2),ROUND(((1-IntPriorityDiscount-IntPriorityIncentive)*'Intl Priority'!H52)*(1+International_Fuel_Surcharge),2))</f>
        <v>172.94</v>
      </c>
      <c r="I55" s="283">
        <f>IF('Intl Priority'!$I$105&gt;ROUND(((1-IntPriorityDiscount-IntPriorityIncentive)*'Intl Priority'!I52),2),ROUND('Intl Priority'!$I$105*(1+International_Fuel_Surcharge),2),ROUND(((1-IntPriorityDiscount-IntPriorityIncentive)*'Intl Priority'!I52)*(1+International_Fuel_Surcharge),2))</f>
        <v>191.63</v>
      </c>
      <c r="J55" s="283">
        <f>IF('Intl Priority'!$J$105&gt;ROUND(((1-IntPriorityDiscount-IntPriorityIncentive)*'Intl Priority'!J52),2),ROUND('Intl Priority'!$J$105*(1+International_Fuel_Surcharge),2),ROUND(((1-IntPriorityDiscount-IntPriorityIncentive)*'Intl Priority'!J52)*(1+International_Fuel_Surcharge),2))</f>
        <v>133.52</v>
      </c>
      <c r="K55" s="283">
        <f>IF('Intl Priority'!$K$105&gt;ROUND(((1-IntPriorityDiscount-IntPriorityIncentive)*'Intl Priority'!K52),2),ROUND('Intl Priority'!$K$105*(1+International_Fuel_Surcharge),2),ROUND(((1-IntPriorityDiscount-IntPriorityIncentive)*'Intl Priority'!K52)*(1+International_Fuel_Surcharge),2))</f>
        <v>261.21</v>
      </c>
      <c r="L55" s="283">
        <f>IF('Intl Priority'!$L$105&gt;ROUND(((1-IntPriorityDiscount-IntPriorityIncentive)*'Intl Priority'!L52),2),ROUND('Intl Priority'!$L$105*(1+International_Fuel_Surcharge),2),ROUND(((1-IntPriorityDiscount-IntPriorityIncentive)*'Intl Priority'!L52)*(1+International_Fuel_Surcharge),2))</f>
        <v>222.78</v>
      </c>
      <c r="M55" s="283">
        <f>IF('Intl Priority'!$M$105&gt;ROUND(((1-IntPriorityDiscount-IntPriorityIncentive)*'Intl Priority'!M52),2),ROUND('Intl Priority'!$M$105*(1+International_Fuel_Surcharge),2),ROUND(((1-IntPriorityDiscount-IntPriorityIncentive)*'Intl Priority'!M52)*(1+International_Fuel_Surcharge),2))</f>
        <v>282.38</v>
      </c>
      <c r="N55" s="283">
        <f>IF('Intl Priority'!$N$105&gt;ROUND(((1-IntPriorityDiscount-IntPriorityIncentive)*'Intl Priority'!N52),2),ROUND('Intl Priority'!$N$105*(1+International_Fuel_Surcharge),2),ROUND(((1-IntPriorityDiscount-IntPriorityIncentive)*'Intl Priority'!N52)*(1+International_Fuel_Surcharge),2))</f>
        <v>305.64</v>
      </c>
      <c r="O55" s="283">
        <f>IF('Intl Priority'!$O$105&gt;ROUND(((1-IntPriorityDiscount-IntPriorityIncentive)*'Intl Priority'!O52),2),ROUND('Intl Priority'!$O$105*(1+International_Fuel_Surcharge),2),ROUND(((1-IntPriorityDiscount-IntPriorityIncentive)*'Intl Priority'!O52)*(1+International_Fuel_Surcharge),2))</f>
        <v>215.73</v>
      </c>
      <c r="P55" s="283">
        <f>IF('Intl Priority'!$P$105&gt;ROUND(((1-IntPriorityDiscount-IntPriorityIncentive)*'Intl Priority'!P52),2),ROUND('Intl Priority'!$P$105*(1+International_Fuel_Surcharge),2),ROUND(((1-IntPriorityDiscount-IntPriorityIncentive)*'Intl Priority'!P52)*(1+International_Fuel_Surcharge),2))</f>
        <v>212.16</v>
      </c>
      <c r="Q55" s="283">
        <f>IF('Intl Priority'!$Q$105&gt;ROUND(((1-PuertoRicoDiscount)*'Intl Priority'!Q52),2),ROUND('Intl Priority'!$Q$105*(1+International_Fuel_Surcharge),2),ROUND(((1-PuertoRicoDiscount)*'Intl Priority'!Q52)*(1+International_Fuel_Surcharge),2))</f>
        <v>285.57</v>
      </c>
      <c r="R55" s="138"/>
      <c r="S55" s="138"/>
      <c r="T55" s="138"/>
      <c r="U55" s="138"/>
      <c r="V55" s="138"/>
      <c r="W55" s="138"/>
      <c r="X55" s="138"/>
      <c r="Y55" s="138"/>
      <c r="Z55" s="138"/>
    </row>
    <row r="56" ht="12.75" customHeight="1">
      <c r="A56" s="274">
        <v>52.0</v>
      </c>
      <c r="B56" s="283">
        <f>IF('Intl Priority'!$B$105&gt;ROUND(((1-IntPriorityDiscount-IntPriorityIncentive)*'Intl Priority'!B53),2),ROUND('Intl Priority'!$B$105*(1+International_Fuel_Surcharge),2),ROUND(((1-IntPriorityDiscount-IntPriorityIncentive)*'Intl Priority'!B53)*(1+International_Fuel_Surcharge),2))</f>
        <v>107.08</v>
      </c>
      <c r="C56" s="283">
        <f>IF('Intl Priority'!$C$105&gt;ROUND(((1-IntPriorityDiscount-IntPriorityIncentive)*'Intl Priority'!C53),2),ROUND('Intl Priority'!$C$105*(1+International_Fuel_Surcharge),2),ROUND(((1-IntPriorityDiscount-IntPriorityIncentive)*'Intl Priority'!C53)*(1+International_Fuel_Surcharge),2))</f>
        <v>121.73</v>
      </c>
      <c r="D56" s="283">
        <f>IF('Intl Priority'!$D$105&gt;ROUND(((1-IntPriorityDiscount-IntPriorityIncentive)*'Intl Priority'!D53),2),ROUND('Intl Priority'!$D$105*(1+International_Fuel_Surcharge),2),ROUND(((1-IntPriorityDiscount-IntPriorityIncentive)*'Intl Priority'!D53)*(1+International_Fuel_Surcharge),2))</f>
        <v>121.7</v>
      </c>
      <c r="E56" s="283">
        <f>IF('Intl Priority'!$E$105&gt;ROUND(((1-IntPriorityDiscount-IntPriorityIncentive)*'Intl Priority'!E53),2),ROUND('Intl Priority'!$E$105*(1+International_Fuel_Surcharge),2),ROUND(((1-IntPriorityDiscount-IntPriorityIncentive)*'Intl Priority'!E53)*(1+International_Fuel_Surcharge),2))</f>
        <v>177.63</v>
      </c>
      <c r="F56" s="283">
        <f>IF('Intl Priority'!$F$105&gt;ROUND(((1-IntPriorityDiscount-IntPriorityIncentive)*'Intl Priority'!F53),2),ROUND('Intl Priority'!$F$105*(1+International_Fuel_Surcharge),2),ROUND(((1-IntPriorityDiscount-IntPriorityIncentive)*'Intl Priority'!F53)*(1+International_Fuel_Surcharge),2))</f>
        <v>326.13</v>
      </c>
      <c r="G56" s="283">
        <f>IF('Intl Priority'!$G$105&gt;ROUND(((1-IntPriorityDiscount-IntPriorityIncentive)*'Intl Priority'!G53),2),ROUND('Intl Priority'!$G$105*(1+International_Fuel_Surcharge),2),ROUND(((1-IntPriorityDiscount-IntPriorityIncentive)*'Intl Priority'!G53)*(1+International_Fuel_Surcharge),2))</f>
        <v>171.42</v>
      </c>
      <c r="H56" s="283">
        <f>IF('Intl Priority'!$H$105&gt;ROUND(((1-IntPriorityDiscount-IntPriorityIncentive)*'Intl Priority'!H53),2),ROUND('Intl Priority'!$H$105*(1+International_Fuel_Surcharge),2),ROUND(((1-IntPriorityDiscount-IntPriorityIncentive)*'Intl Priority'!H53)*(1+International_Fuel_Surcharge),2))</f>
        <v>173.24</v>
      </c>
      <c r="I56" s="283">
        <f>IF('Intl Priority'!$I$105&gt;ROUND(((1-IntPriorityDiscount-IntPriorityIncentive)*'Intl Priority'!I53),2),ROUND('Intl Priority'!$I$105*(1+International_Fuel_Surcharge),2),ROUND(((1-IntPriorityDiscount-IntPriorityIncentive)*'Intl Priority'!I53)*(1+International_Fuel_Surcharge),2))</f>
        <v>192.33</v>
      </c>
      <c r="J56" s="283">
        <f>IF('Intl Priority'!$J$105&gt;ROUND(((1-IntPriorityDiscount-IntPriorityIncentive)*'Intl Priority'!J53),2),ROUND('Intl Priority'!$J$105*(1+International_Fuel_Surcharge),2),ROUND(((1-IntPriorityDiscount-IntPriorityIncentive)*'Intl Priority'!J53)*(1+International_Fuel_Surcharge),2))</f>
        <v>141.26</v>
      </c>
      <c r="K56" s="283">
        <f>IF('Intl Priority'!$K$105&gt;ROUND(((1-IntPriorityDiscount-IntPriorityIncentive)*'Intl Priority'!K53),2),ROUND('Intl Priority'!$K$105*(1+International_Fuel_Surcharge),2),ROUND(((1-IntPriorityDiscount-IntPriorityIncentive)*'Intl Priority'!K53)*(1+International_Fuel_Surcharge),2))</f>
        <v>261.7</v>
      </c>
      <c r="L56" s="283">
        <f>IF('Intl Priority'!$L$105&gt;ROUND(((1-IntPriorityDiscount-IntPriorityIncentive)*'Intl Priority'!L53),2),ROUND('Intl Priority'!$L$105*(1+International_Fuel_Surcharge),2),ROUND(((1-IntPriorityDiscount-IntPriorityIncentive)*'Intl Priority'!L53)*(1+International_Fuel_Surcharge),2))</f>
        <v>225.71</v>
      </c>
      <c r="M56" s="283">
        <f>IF('Intl Priority'!$M$105&gt;ROUND(((1-IntPriorityDiscount-IntPriorityIncentive)*'Intl Priority'!M53),2),ROUND('Intl Priority'!$M$105*(1+International_Fuel_Surcharge),2),ROUND(((1-IntPriorityDiscount-IntPriorityIncentive)*'Intl Priority'!M53)*(1+International_Fuel_Surcharge),2))</f>
        <v>320.34</v>
      </c>
      <c r="N56" s="283">
        <f>IF('Intl Priority'!$N$105&gt;ROUND(((1-IntPriorityDiscount-IntPriorityIncentive)*'Intl Priority'!N53),2),ROUND('Intl Priority'!$N$105*(1+International_Fuel_Surcharge),2),ROUND(((1-IntPriorityDiscount-IntPriorityIncentive)*'Intl Priority'!N53)*(1+International_Fuel_Surcharge),2))</f>
        <v>307.02</v>
      </c>
      <c r="O56" s="283">
        <f>IF('Intl Priority'!$O$105&gt;ROUND(((1-IntPriorityDiscount-IntPriorityIncentive)*'Intl Priority'!O53),2),ROUND('Intl Priority'!$O$105*(1+International_Fuel_Surcharge),2),ROUND(((1-IntPriorityDiscount-IntPriorityIncentive)*'Intl Priority'!O53)*(1+International_Fuel_Surcharge),2))</f>
        <v>215.86</v>
      </c>
      <c r="P56" s="283">
        <f>IF('Intl Priority'!$P$105&gt;ROUND(((1-IntPriorityDiscount-IntPriorityIncentive)*'Intl Priority'!P53),2),ROUND('Intl Priority'!$P$105*(1+International_Fuel_Surcharge),2),ROUND(((1-IntPriorityDiscount-IntPriorityIncentive)*'Intl Priority'!P53)*(1+International_Fuel_Surcharge),2))</f>
        <v>237.53</v>
      </c>
      <c r="Q56" s="283">
        <f>IF('Intl Priority'!$Q$105&gt;ROUND(((1-PuertoRicoDiscount)*'Intl Priority'!Q53),2),ROUND('Intl Priority'!$Q$105*(1+International_Fuel_Surcharge),2),ROUND(((1-PuertoRicoDiscount)*'Intl Priority'!Q53)*(1+International_Fuel_Surcharge),2))</f>
        <v>296.34</v>
      </c>
      <c r="R56" s="138"/>
      <c r="S56" s="138"/>
      <c r="T56" s="138"/>
      <c r="U56" s="138"/>
      <c r="V56" s="138"/>
      <c r="W56" s="138"/>
      <c r="X56" s="138"/>
      <c r="Y56" s="138"/>
      <c r="Z56" s="138"/>
    </row>
    <row r="57" ht="12.75" customHeight="1">
      <c r="A57" s="274">
        <v>54.0</v>
      </c>
      <c r="B57" s="283">
        <f>IF('Intl Priority'!$B$105&gt;ROUND(((1-IntPriorityDiscount-IntPriorityIncentive)*'Intl Priority'!B54),2),ROUND('Intl Priority'!$B$105*(1+International_Fuel_Surcharge),2),ROUND(((1-IntPriorityDiscount-IntPriorityIncentive)*'Intl Priority'!B54)*(1+International_Fuel_Surcharge),2))</f>
        <v>107.14</v>
      </c>
      <c r="C57" s="283">
        <f>IF('Intl Priority'!$C$105&gt;ROUND(((1-IntPriorityDiscount-IntPriorityIncentive)*'Intl Priority'!C54),2),ROUND('Intl Priority'!$C$105*(1+International_Fuel_Surcharge),2),ROUND(((1-IntPriorityDiscount-IntPriorityIncentive)*'Intl Priority'!C54)*(1+International_Fuel_Surcharge),2))</f>
        <v>123.14</v>
      </c>
      <c r="D57" s="283">
        <f>IF('Intl Priority'!$D$105&gt;ROUND(((1-IntPriorityDiscount-IntPriorityIncentive)*'Intl Priority'!D54),2),ROUND('Intl Priority'!$D$105*(1+International_Fuel_Surcharge),2),ROUND(((1-IntPriorityDiscount-IntPriorityIncentive)*'Intl Priority'!D54)*(1+International_Fuel_Surcharge),2))</f>
        <v>121.94</v>
      </c>
      <c r="E57" s="283">
        <f>IF('Intl Priority'!$E$105&gt;ROUND(((1-IntPriorityDiscount-IntPriorityIncentive)*'Intl Priority'!E54),2),ROUND('Intl Priority'!$E$105*(1+International_Fuel_Surcharge),2),ROUND(((1-IntPriorityDiscount-IntPriorityIncentive)*'Intl Priority'!E54)*(1+International_Fuel_Surcharge),2))</f>
        <v>179.79</v>
      </c>
      <c r="F57" s="283">
        <f>IF('Intl Priority'!$F$105&gt;ROUND(((1-IntPriorityDiscount-IntPriorityIncentive)*'Intl Priority'!F54),2),ROUND('Intl Priority'!$F$105*(1+International_Fuel_Surcharge),2),ROUND(((1-IntPriorityDiscount-IntPriorityIncentive)*'Intl Priority'!F54)*(1+International_Fuel_Surcharge),2))</f>
        <v>326.96</v>
      </c>
      <c r="G57" s="283">
        <f>IF('Intl Priority'!$G$105&gt;ROUND(((1-IntPriorityDiscount-IntPriorityIncentive)*'Intl Priority'!G54),2),ROUND('Intl Priority'!$G$105*(1+International_Fuel_Surcharge),2),ROUND(((1-IntPriorityDiscount-IntPriorityIncentive)*'Intl Priority'!G54)*(1+International_Fuel_Surcharge),2))</f>
        <v>171.57</v>
      </c>
      <c r="H57" s="283">
        <f>IF('Intl Priority'!$H$105&gt;ROUND(((1-IntPriorityDiscount-IntPriorityIncentive)*'Intl Priority'!H54),2),ROUND('Intl Priority'!$H$105*(1+International_Fuel_Surcharge),2),ROUND(((1-IntPriorityDiscount-IntPriorityIncentive)*'Intl Priority'!H54)*(1+International_Fuel_Surcharge),2))</f>
        <v>176.03</v>
      </c>
      <c r="I57" s="283">
        <f>IF('Intl Priority'!$I$105&gt;ROUND(((1-IntPriorityDiscount-IntPriorityIncentive)*'Intl Priority'!I54),2),ROUND('Intl Priority'!$I$105*(1+International_Fuel_Surcharge),2),ROUND(((1-IntPriorityDiscount-IntPriorityIncentive)*'Intl Priority'!I54)*(1+International_Fuel_Surcharge),2))</f>
        <v>193.08</v>
      </c>
      <c r="J57" s="283">
        <f>IF('Intl Priority'!$J$105&gt;ROUND(((1-IntPriorityDiscount-IntPriorityIncentive)*'Intl Priority'!J54),2),ROUND('Intl Priority'!$J$105*(1+International_Fuel_Surcharge),2),ROUND(((1-IntPriorityDiscount-IntPriorityIncentive)*'Intl Priority'!J54)*(1+International_Fuel_Surcharge),2))</f>
        <v>142.67</v>
      </c>
      <c r="K57" s="283">
        <f>IF('Intl Priority'!$K$105&gt;ROUND(((1-IntPriorityDiscount-IntPriorityIncentive)*'Intl Priority'!K54),2),ROUND('Intl Priority'!$K$105*(1+International_Fuel_Surcharge),2),ROUND(((1-IntPriorityDiscount-IntPriorityIncentive)*'Intl Priority'!K54)*(1+International_Fuel_Surcharge),2))</f>
        <v>271.43</v>
      </c>
      <c r="L57" s="283">
        <f>IF('Intl Priority'!$L$105&gt;ROUND(((1-IntPriorityDiscount-IntPriorityIncentive)*'Intl Priority'!L54),2),ROUND('Intl Priority'!$L$105*(1+International_Fuel_Surcharge),2),ROUND(((1-IntPriorityDiscount-IntPriorityIncentive)*'Intl Priority'!L54)*(1+International_Fuel_Surcharge),2))</f>
        <v>226.01</v>
      </c>
      <c r="M57" s="283">
        <f>IF('Intl Priority'!$M$105&gt;ROUND(((1-IntPriorityDiscount-IntPriorityIncentive)*'Intl Priority'!M54),2),ROUND('Intl Priority'!$M$105*(1+International_Fuel_Surcharge),2),ROUND(((1-IntPriorityDiscount-IntPriorityIncentive)*'Intl Priority'!M54)*(1+International_Fuel_Surcharge),2))</f>
        <v>324.13</v>
      </c>
      <c r="N57" s="283">
        <f>IF('Intl Priority'!$N$105&gt;ROUND(((1-IntPriorityDiscount-IntPriorityIncentive)*'Intl Priority'!N54),2),ROUND('Intl Priority'!$N$105*(1+International_Fuel_Surcharge),2),ROUND(((1-IntPriorityDiscount-IntPriorityIncentive)*'Intl Priority'!N54)*(1+International_Fuel_Surcharge),2))</f>
        <v>333.92</v>
      </c>
      <c r="O57" s="283">
        <f>IF('Intl Priority'!$O$105&gt;ROUND(((1-IntPriorityDiscount-IntPriorityIncentive)*'Intl Priority'!O54),2),ROUND('Intl Priority'!$O$105*(1+International_Fuel_Surcharge),2),ROUND(((1-IntPriorityDiscount-IntPriorityIncentive)*'Intl Priority'!O54)*(1+International_Fuel_Surcharge),2))</f>
        <v>216.28</v>
      </c>
      <c r="P57" s="283">
        <f>IF('Intl Priority'!$P$105&gt;ROUND(((1-IntPriorityDiscount-IntPriorityIncentive)*'Intl Priority'!P54),2),ROUND('Intl Priority'!$P$105*(1+International_Fuel_Surcharge),2),ROUND(((1-IntPriorityDiscount-IntPriorityIncentive)*'Intl Priority'!P54)*(1+International_Fuel_Surcharge),2))</f>
        <v>240.07</v>
      </c>
      <c r="Q57" s="283">
        <f>IF('Intl Priority'!$Q$105&gt;ROUND(((1-PuertoRicoDiscount)*'Intl Priority'!Q54),2),ROUND('Intl Priority'!$Q$105*(1+International_Fuel_Surcharge),2),ROUND(((1-PuertoRicoDiscount)*'Intl Priority'!Q54)*(1+International_Fuel_Surcharge),2))</f>
        <v>302.32</v>
      </c>
      <c r="R57" s="138"/>
      <c r="S57" s="138"/>
      <c r="T57" s="138"/>
      <c r="U57" s="138"/>
      <c r="V57" s="138"/>
      <c r="W57" s="138"/>
      <c r="X57" s="138"/>
      <c r="Y57" s="138"/>
      <c r="Z57" s="138"/>
    </row>
    <row r="58" ht="12.75" customHeight="1">
      <c r="A58" s="274">
        <v>56.0</v>
      </c>
      <c r="B58" s="283">
        <f>IF('Intl Priority'!$B$105&gt;ROUND(((1-IntPriorityDiscount-IntPriorityIncentive)*'Intl Priority'!B55),2),ROUND('Intl Priority'!$B$105*(1+International_Fuel_Surcharge),2),ROUND(((1-IntPriorityDiscount-IntPriorityIncentive)*'Intl Priority'!B55)*(1+International_Fuel_Surcharge),2))</f>
        <v>107.18</v>
      </c>
      <c r="C58" s="283">
        <f>IF('Intl Priority'!$C$105&gt;ROUND(((1-IntPriorityDiscount-IntPriorityIncentive)*'Intl Priority'!C55),2),ROUND('Intl Priority'!$C$105*(1+International_Fuel_Surcharge),2),ROUND(((1-IntPriorityDiscount-IntPriorityIncentive)*'Intl Priority'!C55)*(1+International_Fuel_Surcharge),2))</f>
        <v>123.99</v>
      </c>
      <c r="D58" s="283">
        <f>IF('Intl Priority'!$D$105&gt;ROUND(((1-IntPriorityDiscount-IntPriorityIncentive)*'Intl Priority'!D55),2),ROUND('Intl Priority'!$D$105*(1+International_Fuel_Surcharge),2),ROUND(((1-IntPriorityDiscount-IntPriorityIncentive)*'Intl Priority'!D55)*(1+International_Fuel_Surcharge),2))</f>
        <v>126.66</v>
      </c>
      <c r="E58" s="283">
        <f>IF('Intl Priority'!$E$105&gt;ROUND(((1-IntPriorityDiscount-IntPriorityIncentive)*'Intl Priority'!E55),2),ROUND('Intl Priority'!$E$105*(1+International_Fuel_Surcharge),2),ROUND(((1-IntPriorityDiscount-IntPriorityIncentive)*'Intl Priority'!E55)*(1+International_Fuel_Surcharge),2))</f>
        <v>180</v>
      </c>
      <c r="F58" s="283">
        <f>IF('Intl Priority'!$F$105&gt;ROUND(((1-IntPriorityDiscount-IntPriorityIncentive)*'Intl Priority'!F55),2),ROUND('Intl Priority'!$F$105*(1+International_Fuel_Surcharge),2),ROUND(((1-IntPriorityDiscount-IntPriorityIncentive)*'Intl Priority'!F55)*(1+International_Fuel_Surcharge),2))</f>
        <v>327.04</v>
      </c>
      <c r="G58" s="283">
        <f>IF('Intl Priority'!$G$105&gt;ROUND(((1-IntPriorityDiscount-IntPriorityIncentive)*'Intl Priority'!G55),2),ROUND('Intl Priority'!$G$105*(1+International_Fuel_Surcharge),2),ROUND(((1-IntPriorityDiscount-IntPriorityIncentive)*'Intl Priority'!G55)*(1+International_Fuel_Surcharge),2))</f>
        <v>174.47</v>
      </c>
      <c r="H58" s="283">
        <f>IF('Intl Priority'!$H$105&gt;ROUND(((1-IntPriorityDiscount-IntPriorityIncentive)*'Intl Priority'!H55),2),ROUND('Intl Priority'!$H$105*(1+International_Fuel_Surcharge),2),ROUND(((1-IntPriorityDiscount-IntPriorityIncentive)*'Intl Priority'!H55)*(1+International_Fuel_Surcharge),2))</f>
        <v>176.31</v>
      </c>
      <c r="I58" s="283">
        <f>IF('Intl Priority'!$I$105&gt;ROUND(((1-IntPriorityDiscount-IntPriorityIncentive)*'Intl Priority'!I55),2),ROUND('Intl Priority'!$I$105*(1+International_Fuel_Surcharge),2),ROUND(((1-IntPriorityDiscount-IntPriorityIncentive)*'Intl Priority'!I55)*(1+International_Fuel_Surcharge),2))</f>
        <v>203.48</v>
      </c>
      <c r="J58" s="283">
        <f>IF('Intl Priority'!$J$105&gt;ROUND(((1-IntPriorityDiscount-IntPriorityIncentive)*'Intl Priority'!J55),2),ROUND('Intl Priority'!$J$105*(1+International_Fuel_Surcharge),2),ROUND(((1-IntPriorityDiscount-IntPriorityIncentive)*'Intl Priority'!J55)*(1+International_Fuel_Surcharge),2))</f>
        <v>142.82</v>
      </c>
      <c r="K58" s="283">
        <f>IF('Intl Priority'!$K$105&gt;ROUND(((1-IntPriorityDiscount-IntPriorityIncentive)*'Intl Priority'!K55),2),ROUND('Intl Priority'!$K$105*(1+International_Fuel_Surcharge),2),ROUND(((1-IntPriorityDiscount-IntPriorityIncentive)*'Intl Priority'!K55)*(1+International_Fuel_Surcharge),2))</f>
        <v>272.42</v>
      </c>
      <c r="L58" s="283">
        <f>IF('Intl Priority'!$L$105&gt;ROUND(((1-IntPriorityDiscount-IntPriorityIncentive)*'Intl Priority'!L55),2),ROUND('Intl Priority'!$L$105*(1+International_Fuel_Surcharge),2),ROUND(((1-IntPriorityDiscount-IntPriorityIncentive)*'Intl Priority'!L55)*(1+International_Fuel_Surcharge),2))</f>
        <v>231.89</v>
      </c>
      <c r="M58" s="283">
        <f>IF('Intl Priority'!$M$105&gt;ROUND(((1-IntPriorityDiscount-IntPriorityIncentive)*'Intl Priority'!M55),2),ROUND('Intl Priority'!$M$105*(1+International_Fuel_Surcharge),2),ROUND(((1-IntPriorityDiscount-IntPriorityIncentive)*'Intl Priority'!M55)*(1+International_Fuel_Surcharge),2))</f>
        <v>325.95</v>
      </c>
      <c r="N58" s="283">
        <f>IF('Intl Priority'!$N$105&gt;ROUND(((1-IntPriorityDiscount-IntPriorityIncentive)*'Intl Priority'!N55),2),ROUND('Intl Priority'!$N$105*(1+International_Fuel_Surcharge),2),ROUND(((1-IntPriorityDiscount-IntPriorityIncentive)*'Intl Priority'!N55)*(1+International_Fuel_Surcharge),2))</f>
        <v>336.62</v>
      </c>
      <c r="O58" s="283">
        <f>IF('Intl Priority'!$O$105&gt;ROUND(((1-IntPriorityDiscount-IntPriorityIncentive)*'Intl Priority'!O55),2),ROUND('Intl Priority'!$O$105*(1+International_Fuel_Surcharge),2),ROUND(((1-IntPriorityDiscount-IntPriorityIncentive)*'Intl Priority'!O55)*(1+International_Fuel_Surcharge),2))</f>
        <v>224.54</v>
      </c>
      <c r="P58" s="283">
        <f>IF('Intl Priority'!$P$105&gt;ROUND(((1-IntPriorityDiscount-IntPriorityIncentive)*'Intl Priority'!P55),2),ROUND('Intl Priority'!$P$105*(1+International_Fuel_Surcharge),2),ROUND(((1-IntPriorityDiscount-IntPriorityIncentive)*'Intl Priority'!P55)*(1+International_Fuel_Surcharge),2))</f>
        <v>249.52</v>
      </c>
      <c r="Q58" s="283">
        <f>IF('Intl Priority'!$Q$105&gt;ROUND(((1-PuertoRicoDiscount)*'Intl Priority'!Q55),2),ROUND('Intl Priority'!$Q$105*(1+International_Fuel_Surcharge),2),ROUND(((1-PuertoRicoDiscount)*'Intl Priority'!Q55)*(1+International_Fuel_Surcharge),2))</f>
        <v>307.4</v>
      </c>
      <c r="R58" s="138"/>
      <c r="S58" s="138"/>
      <c r="T58" s="138"/>
      <c r="U58" s="138"/>
      <c r="V58" s="138"/>
      <c r="W58" s="138"/>
      <c r="X58" s="138"/>
      <c r="Y58" s="138"/>
      <c r="Z58" s="138"/>
    </row>
    <row r="59" ht="12.75" customHeight="1">
      <c r="A59" s="274">
        <v>58.0</v>
      </c>
      <c r="B59" s="283">
        <f>IF('Intl Priority'!$B$105&gt;ROUND(((1-IntPriorityDiscount-IntPriorityIncentive)*'Intl Priority'!B56),2),ROUND('Intl Priority'!$B$105*(1+International_Fuel_Surcharge),2),ROUND(((1-IntPriorityDiscount-IntPriorityIncentive)*'Intl Priority'!B56)*(1+International_Fuel_Surcharge),2))</f>
        <v>107.24</v>
      </c>
      <c r="C59" s="283">
        <f>IF('Intl Priority'!$C$105&gt;ROUND(((1-IntPriorityDiscount-IntPriorityIncentive)*'Intl Priority'!C56),2),ROUND('Intl Priority'!$C$105*(1+International_Fuel_Surcharge),2),ROUND(((1-IntPriorityDiscount-IntPriorityIncentive)*'Intl Priority'!C56)*(1+International_Fuel_Surcharge),2))</f>
        <v>125.02</v>
      </c>
      <c r="D59" s="283">
        <f>IF('Intl Priority'!$D$105&gt;ROUND(((1-IntPriorityDiscount-IntPriorityIncentive)*'Intl Priority'!D56),2),ROUND('Intl Priority'!$D$105*(1+International_Fuel_Surcharge),2),ROUND(((1-IntPriorityDiscount-IntPriorityIncentive)*'Intl Priority'!D56)*(1+International_Fuel_Surcharge),2))</f>
        <v>127.92</v>
      </c>
      <c r="E59" s="283">
        <f>IF('Intl Priority'!$E$105&gt;ROUND(((1-IntPriorityDiscount-IntPriorityIncentive)*'Intl Priority'!E56),2),ROUND('Intl Priority'!$E$105*(1+International_Fuel_Surcharge),2),ROUND(((1-IntPriorityDiscount-IntPriorityIncentive)*'Intl Priority'!E56)*(1+International_Fuel_Surcharge),2))</f>
        <v>183.63</v>
      </c>
      <c r="F59" s="283">
        <f>IF('Intl Priority'!$F$105&gt;ROUND(((1-IntPriorityDiscount-IntPriorityIncentive)*'Intl Priority'!F56),2),ROUND('Intl Priority'!$F$105*(1+International_Fuel_Surcharge),2),ROUND(((1-IntPriorityDiscount-IntPriorityIncentive)*'Intl Priority'!F56)*(1+International_Fuel_Surcharge),2))</f>
        <v>327.43</v>
      </c>
      <c r="G59" s="283">
        <f>IF('Intl Priority'!$G$105&gt;ROUND(((1-IntPriorityDiscount-IntPriorityIncentive)*'Intl Priority'!G56),2),ROUND('Intl Priority'!$G$105*(1+International_Fuel_Surcharge),2),ROUND(((1-IntPriorityDiscount-IntPriorityIncentive)*'Intl Priority'!G56)*(1+International_Fuel_Surcharge),2))</f>
        <v>177.21</v>
      </c>
      <c r="H59" s="283">
        <f>IF('Intl Priority'!$H$105&gt;ROUND(((1-IntPriorityDiscount-IntPriorityIncentive)*'Intl Priority'!H56),2),ROUND('Intl Priority'!$H$105*(1+International_Fuel_Surcharge),2),ROUND(((1-IntPriorityDiscount-IntPriorityIncentive)*'Intl Priority'!H56)*(1+International_Fuel_Surcharge),2))</f>
        <v>176.49</v>
      </c>
      <c r="I59" s="283">
        <f>IF('Intl Priority'!$I$105&gt;ROUND(((1-IntPriorityDiscount-IntPriorityIncentive)*'Intl Priority'!I56),2),ROUND('Intl Priority'!$I$105*(1+International_Fuel_Surcharge),2),ROUND(((1-IntPriorityDiscount-IntPriorityIncentive)*'Intl Priority'!I56)*(1+International_Fuel_Surcharge),2))</f>
        <v>204.52</v>
      </c>
      <c r="J59" s="283">
        <f>IF('Intl Priority'!$J$105&gt;ROUND(((1-IntPriorityDiscount-IntPriorityIncentive)*'Intl Priority'!J56),2),ROUND('Intl Priority'!$J$105*(1+International_Fuel_Surcharge),2),ROUND(((1-IntPriorityDiscount-IntPriorityIncentive)*'Intl Priority'!J56)*(1+International_Fuel_Surcharge),2))</f>
        <v>142.87</v>
      </c>
      <c r="K59" s="283">
        <f>IF('Intl Priority'!$K$105&gt;ROUND(((1-IntPriorityDiscount-IntPriorityIncentive)*'Intl Priority'!K56),2),ROUND('Intl Priority'!$K$105*(1+International_Fuel_Surcharge),2),ROUND(((1-IntPriorityDiscount-IntPriorityIncentive)*'Intl Priority'!K56)*(1+International_Fuel_Surcharge),2))</f>
        <v>275.83</v>
      </c>
      <c r="L59" s="283">
        <f>IF('Intl Priority'!$L$105&gt;ROUND(((1-IntPriorityDiscount-IntPriorityIncentive)*'Intl Priority'!L56),2),ROUND('Intl Priority'!$L$105*(1+International_Fuel_Surcharge),2),ROUND(((1-IntPriorityDiscount-IntPriorityIncentive)*'Intl Priority'!L56)*(1+International_Fuel_Surcharge),2))</f>
        <v>232.48</v>
      </c>
      <c r="M59" s="283">
        <f>IF('Intl Priority'!$M$105&gt;ROUND(((1-IntPriorityDiscount-IntPriorityIncentive)*'Intl Priority'!M56),2),ROUND('Intl Priority'!$M$105*(1+International_Fuel_Surcharge),2),ROUND(((1-IntPriorityDiscount-IntPriorityIncentive)*'Intl Priority'!M56)*(1+International_Fuel_Surcharge),2))</f>
        <v>326.33</v>
      </c>
      <c r="N59" s="283">
        <f>IF('Intl Priority'!$N$105&gt;ROUND(((1-IntPriorityDiscount-IntPriorityIncentive)*'Intl Priority'!N56),2),ROUND('Intl Priority'!$N$105*(1+International_Fuel_Surcharge),2),ROUND(((1-IntPriorityDiscount-IntPriorityIncentive)*'Intl Priority'!N56)*(1+International_Fuel_Surcharge),2))</f>
        <v>336.89</v>
      </c>
      <c r="O59" s="283">
        <f>IF('Intl Priority'!$O$105&gt;ROUND(((1-IntPriorityDiscount-IntPriorityIncentive)*'Intl Priority'!O56),2),ROUND('Intl Priority'!$O$105*(1+International_Fuel_Surcharge),2),ROUND(((1-IntPriorityDiscount-IntPriorityIncentive)*'Intl Priority'!O56)*(1+International_Fuel_Surcharge),2))</f>
        <v>225.37</v>
      </c>
      <c r="P59" s="283">
        <f>IF('Intl Priority'!$P$105&gt;ROUND(((1-IntPriorityDiscount-IntPriorityIncentive)*'Intl Priority'!P56),2),ROUND('Intl Priority'!$P$105*(1+International_Fuel_Surcharge),2),ROUND(((1-IntPriorityDiscount-IntPriorityIncentive)*'Intl Priority'!P56)*(1+International_Fuel_Surcharge),2))</f>
        <v>250.46</v>
      </c>
      <c r="Q59" s="283">
        <f>IF('Intl Priority'!$Q$105&gt;ROUND(((1-PuertoRicoDiscount)*'Intl Priority'!Q56),2),ROUND('Intl Priority'!$Q$105*(1+International_Fuel_Surcharge),2),ROUND(((1-PuertoRicoDiscount)*'Intl Priority'!Q56)*(1+International_Fuel_Surcharge),2))</f>
        <v>313.16</v>
      </c>
      <c r="R59" s="138"/>
      <c r="S59" s="138"/>
      <c r="T59" s="138"/>
      <c r="U59" s="138"/>
      <c r="V59" s="138"/>
      <c r="W59" s="138"/>
      <c r="X59" s="138"/>
      <c r="Y59" s="138"/>
      <c r="Z59" s="138"/>
    </row>
    <row r="60" ht="12.75" customHeight="1">
      <c r="A60" s="274">
        <v>60.0</v>
      </c>
      <c r="B60" s="283">
        <f>IF('Intl Priority'!$B$105&gt;ROUND(((1-IntPriorityDiscount-IntPriorityIncentive)*'Intl Priority'!B57),2),ROUND('Intl Priority'!$B$105*(1+International_Fuel_Surcharge),2),ROUND(((1-IntPriorityDiscount-IntPriorityIncentive)*'Intl Priority'!B57)*(1+International_Fuel_Surcharge),2))</f>
        <v>107.29</v>
      </c>
      <c r="C60" s="283">
        <f>IF('Intl Priority'!$C$105&gt;ROUND(((1-IntPriorityDiscount-IntPriorityIncentive)*'Intl Priority'!C57),2),ROUND('Intl Priority'!$C$105*(1+International_Fuel_Surcharge),2),ROUND(((1-IntPriorityDiscount-IntPriorityIncentive)*'Intl Priority'!C57)*(1+International_Fuel_Surcharge),2))</f>
        <v>126.22</v>
      </c>
      <c r="D60" s="283">
        <f>IF('Intl Priority'!$D$105&gt;ROUND(((1-IntPriorityDiscount-IntPriorityIncentive)*'Intl Priority'!D57),2),ROUND('Intl Priority'!$D$105*(1+International_Fuel_Surcharge),2),ROUND(((1-IntPriorityDiscount-IntPriorityIncentive)*'Intl Priority'!D57)*(1+International_Fuel_Surcharge),2))</f>
        <v>129.19</v>
      </c>
      <c r="E60" s="283">
        <f>IF('Intl Priority'!$E$105&gt;ROUND(((1-IntPriorityDiscount-IntPriorityIncentive)*'Intl Priority'!E57),2),ROUND('Intl Priority'!$E$105*(1+International_Fuel_Surcharge),2),ROUND(((1-IntPriorityDiscount-IntPriorityIncentive)*'Intl Priority'!E57)*(1+International_Fuel_Surcharge),2))</f>
        <v>186.5</v>
      </c>
      <c r="F60" s="283">
        <f>IF('Intl Priority'!$F$105&gt;ROUND(((1-IntPriorityDiscount-IntPriorityIncentive)*'Intl Priority'!F57),2),ROUND('Intl Priority'!$F$105*(1+International_Fuel_Surcharge),2),ROUND(((1-IntPriorityDiscount-IntPriorityIncentive)*'Intl Priority'!F57)*(1+International_Fuel_Surcharge),2))</f>
        <v>333.02</v>
      </c>
      <c r="G60" s="283">
        <f>IF('Intl Priority'!$G$105&gt;ROUND(((1-IntPriorityDiscount-IntPriorityIncentive)*'Intl Priority'!G57),2),ROUND('Intl Priority'!$G$105*(1+International_Fuel_Surcharge),2),ROUND(((1-IntPriorityDiscount-IntPriorityIncentive)*'Intl Priority'!G57)*(1+International_Fuel_Surcharge),2))</f>
        <v>179.96</v>
      </c>
      <c r="H60" s="283">
        <f>IF('Intl Priority'!$H$105&gt;ROUND(((1-IntPriorityDiscount-IntPriorityIncentive)*'Intl Priority'!H57),2),ROUND('Intl Priority'!$H$105*(1+International_Fuel_Surcharge),2),ROUND(((1-IntPriorityDiscount-IntPriorityIncentive)*'Intl Priority'!H57)*(1+International_Fuel_Surcharge),2))</f>
        <v>179.92</v>
      </c>
      <c r="I60" s="283">
        <f>IF('Intl Priority'!$I$105&gt;ROUND(((1-IntPriorityDiscount-IntPriorityIncentive)*'Intl Priority'!I57),2),ROUND('Intl Priority'!$I$105*(1+International_Fuel_Surcharge),2),ROUND(((1-IntPriorityDiscount-IntPriorityIncentive)*'Intl Priority'!I57)*(1+International_Fuel_Surcharge),2))</f>
        <v>204.8</v>
      </c>
      <c r="J60" s="283">
        <f>IF('Intl Priority'!$J$105&gt;ROUND(((1-IntPriorityDiscount-IntPriorityIncentive)*'Intl Priority'!J57),2),ROUND('Intl Priority'!$J$105*(1+International_Fuel_Surcharge),2),ROUND(((1-IntPriorityDiscount-IntPriorityIncentive)*'Intl Priority'!J57)*(1+International_Fuel_Surcharge),2))</f>
        <v>143.67</v>
      </c>
      <c r="K60" s="283">
        <f>IF('Intl Priority'!$K$105&gt;ROUND(((1-IntPriorityDiscount-IntPriorityIncentive)*'Intl Priority'!K57),2),ROUND('Intl Priority'!$K$105*(1+International_Fuel_Surcharge),2),ROUND(((1-IntPriorityDiscount-IntPriorityIncentive)*'Intl Priority'!K57)*(1+International_Fuel_Surcharge),2))</f>
        <v>281.05</v>
      </c>
      <c r="L60" s="283">
        <f>IF('Intl Priority'!$L$105&gt;ROUND(((1-IntPriorityDiscount-IntPriorityIncentive)*'Intl Priority'!L57),2),ROUND('Intl Priority'!$L$105*(1+International_Fuel_Surcharge),2),ROUND(((1-IntPriorityDiscount-IntPriorityIncentive)*'Intl Priority'!L57)*(1+International_Fuel_Surcharge),2))</f>
        <v>232.53</v>
      </c>
      <c r="M60" s="283">
        <f>IF('Intl Priority'!$M$105&gt;ROUND(((1-IntPriorityDiscount-IntPriorityIncentive)*'Intl Priority'!M57),2),ROUND('Intl Priority'!$M$105*(1+International_Fuel_Surcharge),2),ROUND(((1-IntPriorityDiscount-IntPriorityIncentive)*'Intl Priority'!M57)*(1+International_Fuel_Surcharge),2))</f>
        <v>333.89</v>
      </c>
      <c r="N60" s="283">
        <f>IF('Intl Priority'!$N$105&gt;ROUND(((1-IntPriorityDiscount-IntPriorityIncentive)*'Intl Priority'!N57),2),ROUND('Intl Priority'!$N$105*(1+International_Fuel_Surcharge),2),ROUND(((1-IntPriorityDiscount-IntPriorityIncentive)*'Intl Priority'!N57)*(1+International_Fuel_Surcharge),2))</f>
        <v>336.93</v>
      </c>
      <c r="O60" s="283">
        <f>IF('Intl Priority'!$O$105&gt;ROUND(((1-IntPriorityDiscount-IntPriorityIncentive)*'Intl Priority'!O57),2),ROUND('Intl Priority'!$O$105*(1+International_Fuel_Surcharge),2),ROUND(((1-IntPriorityDiscount-IntPriorityIncentive)*'Intl Priority'!O57)*(1+International_Fuel_Surcharge),2))</f>
        <v>230.41</v>
      </c>
      <c r="P60" s="283">
        <f>IF('Intl Priority'!$P$105&gt;ROUND(((1-IntPriorityDiscount-IntPriorityIncentive)*'Intl Priority'!P57),2),ROUND('Intl Priority'!$P$105*(1+International_Fuel_Surcharge),2),ROUND(((1-IntPriorityDiscount-IntPriorityIncentive)*'Intl Priority'!P57)*(1+International_Fuel_Surcharge),2))</f>
        <v>252.19</v>
      </c>
      <c r="Q60" s="283">
        <f>IF('Intl Priority'!$Q$105&gt;ROUND(((1-PuertoRicoDiscount)*'Intl Priority'!Q57),2),ROUND('Intl Priority'!$Q$105*(1+International_Fuel_Surcharge),2),ROUND(((1-PuertoRicoDiscount)*'Intl Priority'!Q57)*(1+International_Fuel_Surcharge),2))</f>
        <v>318.01</v>
      </c>
      <c r="R60" s="138"/>
      <c r="S60" s="138"/>
      <c r="T60" s="138"/>
      <c r="U60" s="138"/>
      <c r="V60" s="138"/>
      <c r="W60" s="138"/>
      <c r="X60" s="138"/>
      <c r="Y60" s="138"/>
      <c r="Z60" s="138"/>
    </row>
    <row r="61" ht="12.75" customHeight="1">
      <c r="A61" s="274">
        <v>62.0</v>
      </c>
      <c r="B61" s="283">
        <f>IF('Intl Priority'!$B$105&gt;ROUND(((1-IntPriorityDiscount-IntPriorityIncentive)*'Intl Priority'!B58),2),ROUND('Intl Priority'!$B$105*(1+International_Fuel_Surcharge),2),ROUND(((1-IntPriorityDiscount-IntPriorityIncentive)*'Intl Priority'!B58)*(1+International_Fuel_Surcharge),2))</f>
        <v>107.34</v>
      </c>
      <c r="C61" s="283">
        <f>IF('Intl Priority'!$C$105&gt;ROUND(((1-IntPriorityDiscount-IntPriorityIncentive)*'Intl Priority'!C58),2),ROUND('Intl Priority'!$C$105*(1+International_Fuel_Surcharge),2),ROUND(((1-IntPriorityDiscount-IntPriorityIncentive)*'Intl Priority'!C58)*(1+International_Fuel_Surcharge),2))</f>
        <v>127.42</v>
      </c>
      <c r="D61" s="283">
        <f>IF('Intl Priority'!$D$105&gt;ROUND(((1-IntPriorityDiscount-IntPriorityIncentive)*'Intl Priority'!D58),2),ROUND('Intl Priority'!$D$105*(1+International_Fuel_Surcharge),2),ROUND(((1-IntPriorityDiscount-IntPriorityIncentive)*'Intl Priority'!D58)*(1+International_Fuel_Surcharge),2))</f>
        <v>130.47</v>
      </c>
      <c r="E61" s="283">
        <f>IF('Intl Priority'!$E$105&gt;ROUND(((1-IntPriorityDiscount-IntPriorityIncentive)*'Intl Priority'!E58),2),ROUND('Intl Priority'!$E$105*(1+International_Fuel_Surcharge),2),ROUND(((1-IntPriorityDiscount-IntPriorityIncentive)*'Intl Priority'!E58)*(1+International_Fuel_Surcharge),2))</f>
        <v>189.37</v>
      </c>
      <c r="F61" s="283">
        <f>IF('Intl Priority'!$F$105&gt;ROUND(((1-IntPriorityDiscount-IntPriorityIncentive)*'Intl Priority'!F58),2),ROUND('Intl Priority'!$F$105*(1+International_Fuel_Surcharge),2),ROUND(((1-IntPriorityDiscount-IntPriorityIncentive)*'Intl Priority'!F58)*(1+International_Fuel_Surcharge),2))</f>
        <v>338.6</v>
      </c>
      <c r="G61" s="283">
        <f>IF('Intl Priority'!$G$105&gt;ROUND(((1-IntPriorityDiscount-IntPriorityIncentive)*'Intl Priority'!G58),2),ROUND('Intl Priority'!$G$105*(1+International_Fuel_Surcharge),2),ROUND(((1-IntPriorityDiscount-IntPriorityIncentive)*'Intl Priority'!G58)*(1+International_Fuel_Surcharge),2))</f>
        <v>182.72</v>
      </c>
      <c r="H61" s="283">
        <f>IF('Intl Priority'!$H$105&gt;ROUND(((1-IntPriorityDiscount-IntPriorityIncentive)*'Intl Priority'!H58),2),ROUND('Intl Priority'!$H$105*(1+International_Fuel_Surcharge),2),ROUND(((1-IntPriorityDiscount-IntPriorityIncentive)*'Intl Priority'!H58)*(1+International_Fuel_Surcharge),2))</f>
        <v>183.36</v>
      </c>
      <c r="I61" s="283">
        <f>IF('Intl Priority'!$I$105&gt;ROUND(((1-IntPriorityDiscount-IntPriorityIncentive)*'Intl Priority'!I58),2),ROUND('Intl Priority'!$I$105*(1+International_Fuel_Surcharge),2),ROUND(((1-IntPriorityDiscount-IntPriorityIncentive)*'Intl Priority'!I58)*(1+International_Fuel_Surcharge),2))</f>
        <v>205.07</v>
      </c>
      <c r="J61" s="283">
        <f>IF('Intl Priority'!$J$105&gt;ROUND(((1-IntPriorityDiscount-IntPriorityIncentive)*'Intl Priority'!J58),2),ROUND('Intl Priority'!$J$105*(1+International_Fuel_Surcharge),2),ROUND(((1-IntPriorityDiscount-IntPriorityIncentive)*'Intl Priority'!J58)*(1+International_Fuel_Surcharge),2))</f>
        <v>144.48</v>
      </c>
      <c r="K61" s="283">
        <f>IF('Intl Priority'!$K$105&gt;ROUND(((1-IntPriorityDiscount-IntPriorityIncentive)*'Intl Priority'!K58),2),ROUND('Intl Priority'!$K$105*(1+International_Fuel_Surcharge),2),ROUND(((1-IntPriorityDiscount-IntPriorityIncentive)*'Intl Priority'!K58)*(1+International_Fuel_Surcharge),2))</f>
        <v>286.27</v>
      </c>
      <c r="L61" s="283">
        <f>IF('Intl Priority'!$L$105&gt;ROUND(((1-IntPriorityDiscount-IntPriorityIncentive)*'Intl Priority'!L58),2),ROUND('Intl Priority'!$L$105*(1+International_Fuel_Surcharge),2),ROUND(((1-IntPriorityDiscount-IntPriorityIncentive)*'Intl Priority'!L58)*(1+International_Fuel_Surcharge),2))</f>
        <v>232.59</v>
      </c>
      <c r="M61" s="283">
        <f>IF('Intl Priority'!$M$105&gt;ROUND(((1-IntPriorityDiscount-IntPriorityIncentive)*'Intl Priority'!M58),2),ROUND('Intl Priority'!$M$105*(1+International_Fuel_Surcharge),2),ROUND(((1-IntPriorityDiscount-IntPriorityIncentive)*'Intl Priority'!M58)*(1+International_Fuel_Surcharge),2))</f>
        <v>341.46</v>
      </c>
      <c r="N61" s="283">
        <f>IF('Intl Priority'!$N$105&gt;ROUND(((1-IntPriorityDiscount-IntPriorityIncentive)*'Intl Priority'!N58),2),ROUND('Intl Priority'!$N$105*(1+International_Fuel_Surcharge),2),ROUND(((1-IntPriorityDiscount-IntPriorityIncentive)*'Intl Priority'!N58)*(1+International_Fuel_Surcharge),2))</f>
        <v>336.98</v>
      </c>
      <c r="O61" s="283">
        <f>IF('Intl Priority'!$O$105&gt;ROUND(((1-IntPriorityDiscount-IntPriorityIncentive)*'Intl Priority'!O58),2),ROUND('Intl Priority'!$O$105*(1+International_Fuel_Surcharge),2),ROUND(((1-IntPriorityDiscount-IntPriorityIncentive)*'Intl Priority'!O58)*(1+International_Fuel_Surcharge),2))</f>
        <v>235.45</v>
      </c>
      <c r="P61" s="283">
        <f>IF('Intl Priority'!$P$105&gt;ROUND(((1-IntPriorityDiscount-IntPriorityIncentive)*'Intl Priority'!P58),2),ROUND('Intl Priority'!$P$105*(1+International_Fuel_Surcharge),2),ROUND(((1-IntPriorityDiscount-IntPriorityIncentive)*'Intl Priority'!P58)*(1+International_Fuel_Surcharge),2))</f>
        <v>253.91</v>
      </c>
      <c r="Q61" s="283">
        <f>IF('Intl Priority'!$Q$105&gt;ROUND(((1-PuertoRicoDiscount)*'Intl Priority'!Q58),2),ROUND('Intl Priority'!$Q$105*(1+International_Fuel_Surcharge),2),ROUND(((1-PuertoRicoDiscount)*'Intl Priority'!Q58)*(1+International_Fuel_Surcharge),2))</f>
        <v>323.09</v>
      </c>
      <c r="R61" s="138"/>
      <c r="S61" s="138"/>
      <c r="T61" s="138"/>
      <c r="U61" s="138"/>
      <c r="V61" s="138"/>
      <c r="W61" s="138"/>
      <c r="X61" s="138"/>
      <c r="Y61" s="138"/>
      <c r="Z61" s="138"/>
    </row>
    <row r="62" ht="12.75" customHeight="1">
      <c r="A62" s="274">
        <v>64.0</v>
      </c>
      <c r="B62" s="283">
        <f>IF('Intl Priority'!$B$105&gt;ROUND(((1-IntPriorityDiscount-IntPriorityIncentive)*'Intl Priority'!B59),2),ROUND('Intl Priority'!$B$105*(1+International_Fuel_Surcharge),2),ROUND(((1-IntPriorityDiscount-IntPriorityIncentive)*'Intl Priority'!B59)*(1+International_Fuel_Surcharge),2))</f>
        <v>107.39</v>
      </c>
      <c r="C62" s="283">
        <f>IF('Intl Priority'!$C$105&gt;ROUND(((1-IntPriorityDiscount-IntPriorityIncentive)*'Intl Priority'!C59),2),ROUND('Intl Priority'!$C$105*(1+International_Fuel_Surcharge),2),ROUND(((1-IntPriorityDiscount-IntPriorityIncentive)*'Intl Priority'!C59)*(1+International_Fuel_Surcharge),2))</f>
        <v>128.62</v>
      </c>
      <c r="D62" s="283">
        <f>IF('Intl Priority'!$D$105&gt;ROUND(((1-IntPriorityDiscount-IntPriorityIncentive)*'Intl Priority'!D59),2),ROUND('Intl Priority'!$D$105*(1+International_Fuel_Surcharge),2),ROUND(((1-IntPriorityDiscount-IntPriorityIncentive)*'Intl Priority'!D59)*(1+International_Fuel_Surcharge),2))</f>
        <v>131.74</v>
      </c>
      <c r="E62" s="283">
        <f>IF('Intl Priority'!$E$105&gt;ROUND(((1-IntPriorityDiscount-IntPriorityIncentive)*'Intl Priority'!E59),2),ROUND('Intl Priority'!$E$105*(1+International_Fuel_Surcharge),2),ROUND(((1-IntPriorityDiscount-IntPriorityIncentive)*'Intl Priority'!E59)*(1+International_Fuel_Surcharge),2))</f>
        <v>192.24</v>
      </c>
      <c r="F62" s="283">
        <f>IF('Intl Priority'!$F$105&gt;ROUND(((1-IntPriorityDiscount-IntPriorityIncentive)*'Intl Priority'!F59),2),ROUND('Intl Priority'!$F$105*(1+International_Fuel_Surcharge),2),ROUND(((1-IntPriorityDiscount-IntPriorityIncentive)*'Intl Priority'!F59)*(1+International_Fuel_Surcharge),2))</f>
        <v>344.19</v>
      </c>
      <c r="G62" s="283">
        <f>IF('Intl Priority'!$G$105&gt;ROUND(((1-IntPriorityDiscount-IntPriorityIncentive)*'Intl Priority'!G59),2),ROUND('Intl Priority'!$G$105*(1+International_Fuel_Surcharge),2),ROUND(((1-IntPriorityDiscount-IntPriorityIncentive)*'Intl Priority'!G59)*(1+International_Fuel_Surcharge),2))</f>
        <v>185.47</v>
      </c>
      <c r="H62" s="283">
        <f>IF('Intl Priority'!$H$105&gt;ROUND(((1-IntPriorityDiscount-IntPriorityIncentive)*'Intl Priority'!H59),2),ROUND('Intl Priority'!$H$105*(1+International_Fuel_Surcharge),2),ROUND(((1-IntPriorityDiscount-IntPriorityIncentive)*'Intl Priority'!H59)*(1+International_Fuel_Surcharge),2))</f>
        <v>186.8</v>
      </c>
      <c r="I62" s="283">
        <f>IF('Intl Priority'!$I$105&gt;ROUND(((1-IntPriorityDiscount-IntPriorityIncentive)*'Intl Priority'!I59),2),ROUND('Intl Priority'!$I$105*(1+International_Fuel_Surcharge),2),ROUND(((1-IntPriorityDiscount-IntPriorityIncentive)*'Intl Priority'!I59)*(1+International_Fuel_Surcharge),2))</f>
        <v>205.35</v>
      </c>
      <c r="J62" s="283">
        <f>IF('Intl Priority'!$J$105&gt;ROUND(((1-IntPriorityDiscount-IntPriorityIncentive)*'Intl Priority'!J59),2),ROUND('Intl Priority'!$J$105*(1+International_Fuel_Surcharge),2),ROUND(((1-IntPriorityDiscount-IntPriorityIncentive)*'Intl Priority'!J59)*(1+International_Fuel_Surcharge),2))</f>
        <v>145.29</v>
      </c>
      <c r="K62" s="283">
        <f>IF('Intl Priority'!$K$105&gt;ROUND(((1-IntPriorityDiscount-IntPriorityIncentive)*'Intl Priority'!K59),2),ROUND('Intl Priority'!$K$105*(1+International_Fuel_Surcharge),2),ROUND(((1-IntPriorityDiscount-IntPriorityIncentive)*'Intl Priority'!K59)*(1+International_Fuel_Surcharge),2))</f>
        <v>291.49</v>
      </c>
      <c r="L62" s="283">
        <f>IF('Intl Priority'!$L$105&gt;ROUND(((1-IntPriorityDiscount-IntPriorityIncentive)*'Intl Priority'!L59),2),ROUND('Intl Priority'!$L$105*(1+International_Fuel_Surcharge),2),ROUND(((1-IntPriorityDiscount-IntPriorityIncentive)*'Intl Priority'!L59)*(1+International_Fuel_Surcharge),2))</f>
        <v>232.66</v>
      </c>
      <c r="M62" s="283">
        <f>IF('Intl Priority'!$M$105&gt;ROUND(((1-IntPriorityDiscount-IntPriorityIncentive)*'Intl Priority'!M59),2),ROUND('Intl Priority'!$M$105*(1+International_Fuel_Surcharge),2),ROUND(((1-IntPriorityDiscount-IntPriorityIncentive)*'Intl Priority'!M59)*(1+International_Fuel_Surcharge),2))</f>
        <v>349.02</v>
      </c>
      <c r="N62" s="283">
        <f>IF('Intl Priority'!$N$105&gt;ROUND(((1-IntPriorityDiscount-IntPriorityIncentive)*'Intl Priority'!N59),2),ROUND('Intl Priority'!$N$105*(1+International_Fuel_Surcharge),2),ROUND(((1-IntPriorityDiscount-IntPriorityIncentive)*'Intl Priority'!N59)*(1+International_Fuel_Surcharge),2))</f>
        <v>337.02</v>
      </c>
      <c r="O62" s="283">
        <f>IF('Intl Priority'!$O$105&gt;ROUND(((1-IntPriorityDiscount-IntPriorityIncentive)*'Intl Priority'!O59),2),ROUND('Intl Priority'!$O$105*(1+International_Fuel_Surcharge),2),ROUND(((1-IntPriorityDiscount-IntPriorityIncentive)*'Intl Priority'!O59)*(1+International_Fuel_Surcharge),2))</f>
        <v>240.49</v>
      </c>
      <c r="P62" s="283">
        <f>IF('Intl Priority'!$P$105&gt;ROUND(((1-IntPriorityDiscount-IntPriorityIncentive)*'Intl Priority'!P59),2),ROUND('Intl Priority'!$P$105*(1+International_Fuel_Surcharge),2),ROUND(((1-IntPriorityDiscount-IntPriorityIncentive)*'Intl Priority'!P59)*(1+International_Fuel_Surcharge),2))</f>
        <v>255.64</v>
      </c>
      <c r="Q62" s="283">
        <f>IF('Intl Priority'!$Q$105&gt;ROUND(((1-PuertoRicoDiscount)*'Intl Priority'!Q59),2),ROUND('Intl Priority'!$Q$105*(1+International_Fuel_Surcharge),2),ROUND(((1-PuertoRicoDiscount)*'Intl Priority'!Q59)*(1+International_Fuel_Surcharge),2))</f>
        <v>328.41</v>
      </c>
      <c r="R62" s="138"/>
      <c r="S62" s="138"/>
      <c r="T62" s="138"/>
      <c r="U62" s="138"/>
      <c r="V62" s="138"/>
      <c r="W62" s="138"/>
      <c r="X62" s="138"/>
      <c r="Y62" s="138"/>
      <c r="Z62" s="138"/>
    </row>
    <row r="63" ht="12.75" customHeight="1">
      <c r="A63" s="274">
        <v>66.0</v>
      </c>
      <c r="B63" s="283">
        <f>IF('Intl Priority'!$B$105&gt;ROUND(((1-IntPriorityDiscount-IntPriorityIncentive)*'Intl Priority'!B60),2),ROUND('Intl Priority'!$B$105*(1+International_Fuel_Surcharge),2),ROUND(((1-IntPriorityDiscount-IntPriorityIncentive)*'Intl Priority'!B60)*(1+International_Fuel_Surcharge),2))</f>
        <v>107.45</v>
      </c>
      <c r="C63" s="283">
        <f>IF('Intl Priority'!$C$105&gt;ROUND(((1-IntPriorityDiscount-IntPriorityIncentive)*'Intl Priority'!C60),2),ROUND('Intl Priority'!$C$105*(1+International_Fuel_Surcharge),2),ROUND(((1-IntPriorityDiscount-IntPriorityIncentive)*'Intl Priority'!C60)*(1+International_Fuel_Surcharge),2))</f>
        <v>129.82</v>
      </c>
      <c r="D63" s="283">
        <f>IF('Intl Priority'!$D$105&gt;ROUND(((1-IntPriorityDiscount-IntPriorityIncentive)*'Intl Priority'!D60),2),ROUND('Intl Priority'!$D$105*(1+International_Fuel_Surcharge),2),ROUND(((1-IntPriorityDiscount-IntPriorityIncentive)*'Intl Priority'!D60)*(1+International_Fuel_Surcharge),2))</f>
        <v>133.01</v>
      </c>
      <c r="E63" s="283">
        <f>IF('Intl Priority'!$E$105&gt;ROUND(((1-IntPriorityDiscount-IntPriorityIncentive)*'Intl Priority'!E60),2),ROUND('Intl Priority'!$E$105*(1+International_Fuel_Surcharge),2),ROUND(((1-IntPriorityDiscount-IntPriorityIncentive)*'Intl Priority'!E60)*(1+International_Fuel_Surcharge),2))</f>
        <v>195.11</v>
      </c>
      <c r="F63" s="283">
        <f>IF('Intl Priority'!$F$105&gt;ROUND(((1-IntPriorityDiscount-IntPriorityIncentive)*'Intl Priority'!F60),2),ROUND('Intl Priority'!$F$105*(1+International_Fuel_Surcharge),2),ROUND(((1-IntPriorityDiscount-IntPriorityIncentive)*'Intl Priority'!F60)*(1+International_Fuel_Surcharge),2))</f>
        <v>349.78</v>
      </c>
      <c r="G63" s="283">
        <f>IF('Intl Priority'!$G$105&gt;ROUND(((1-IntPriorityDiscount-IntPriorityIncentive)*'Intl Priority'!G60),2),ROUND('Intl Priority'!$G$105*(1+International_Fuel_Surcharge),2),ROUND(((1-IntPriorityDiscount-IntPriorityIncentive)*'Intl Priority'!G60)*(1+International_Fuel_Surcharge),2))</f>
        <v>188.22</v>
      </c>
      <c r="H63" s="283">
        <f>IF('Intl Priority'!$H$105&gt;ROUND(((1-IntPriorityDiscount-IntPriorityIncentive)*'Intl Priority'!H60),2),ROUND('Intl Priority'!$H$105*(1+International_Fuel_Surcharge),2),ROUND(((1-IntPriorityDiscount-IntPriorityIncentive)*'Intl Priority'!H60)*(1+International_Fuel_Surcharge),2))</f>
        <v>190.23</v>
      </c>
      <c r="I63" s="283">
        <f>IF('Intl Priority'!$I$105&gt;ROUND(((1-IntPriorityDiscount-IntPriorityIncentive)*'Intl Priority'!I60),2),ROUND('Intl Priority'!$I$105*(1+International_Fuel_Surcharge),2),ROUND(((1-IntPriorityDiscount-IntPriorityIncentive)*'Intl Priority'!I60)*(1+International_Fuel_Surcharge),2))</f>
        <v>205.63</v>
      </c>
      <c r="J63" s="283">
        <f>IF('Intl Priority'!$J$105&gt;ROUND(((1-IntPriorityDiscount-IntPriorityIncentive)*'Intl Priority'!J60),2),ROUND('Intl Priority'!$J$105*(1+International_Fuel_Surcharge),2),ROUND(((1-IntPriorityDiscount-IntPriorityIncentive)*'Intl Priority'!J60)*(1+International_Fuel_Surcharge),2))</f>
        <v>146.09</v>
      </c>
      <c r="K63" s="283">
        <f>IF('Intl Priority'!$K$105&gt;ROUND(((1-IntPriorityDiscount-IntPriorityIncentive)*'Intl Priority'!K60),2),ROUND('Intl Priority'!$K$105*(1+International_Fuel_Surcharge),2),ROUND(((1-IntPriorityDiscount-IntPriorityIncentive)*'Intl Priority'!K60)*(1+International_Fuel_Surcharge),2))</f>
        <v>296.72</v>
      </c>
      <c r="L63" s="283">
        <f>IF('Intl Priority'!$L$105&gt;ROUND(((1-IntPriorityDiscount-IntPriorityIncentive)*'Intl Priority'!L60),2),ROUND('Intl Priority'!$L$105*(1+International_Fuel_Surcharge),2),ROUND(((1-IntPriorityDiscount-IntPriorityIncentive)*'Intl Priority'!L60)*(1+International_Fuel_Surcharge),2))</f>
        <v>232.72</v>
      </c>
      <c r="M63" s="283">
        <f>IF('Intl Priority'!$M$105&gt;ROUND(((1-IntPriorityDiscount-IntPriorityIncentive)*'Intl Priority'!M60),2),ROUND('Intl Priority'!$M$105*(1+International_Fuel_Surcharge),2),ROUND(((1-IntPriorityDiscount-IntPriorityIncentive)*'Intl Priority'!M60)*(1+International_Fuel_Surcharge),2))</f>
        <v>356.59</v>
      </c>
      <c r="N63" s="283">
        <f>IF('Intl Priority'!$N$105&gt;ROUND(((1-IntPriorityDiscount-IntPriorityIncentive)*'Intl Priority'!N60),2),ROUND('Intl Priority'!$N$105*(1+International_Fuel_Surcharge),2),ROUND(((1-IntPriorityDiscount-IntPriorityIncentive)*'Intl Priority'!N60)*(1+International_Fuel_Surcharge),2))</f>
        <v>337.07</v>
      </c>
      <c r="O63" s="283">
        <f>IF('Intl Priority'!$O$105&gt;ROUND(((1-IntPriorityDiscount-IntPriorityIncentive)*'Intl Priority'!O60),2),ROUND('Intl Priority'!$O$105*(1+International_Fuel_Surcharge),2),ROUND(((1-IntPriorityDiscount-IntPriorityIncentive)*'Intl Priority'!O60)*(1+International_Fuel_Surcharge),2))</f>
        <v>245.54</v>
      </c>
      <c r="P63" s="283">
        <f>IF('Intl Priority'!$P$105&gt;ROUND(((1-IntPriorityDiscount-IntPriorityIncentive)*'Intl Priority'!P60),2),ROUND('Intl Priority'!$P$105*(1+International_Fuel_Surcharge),2),ROUND(((1-IntPriorityDiscount-IntPriorityIncentive)*'Intl Priority'!P60)*(1+International_Fuel_Surcharge),2))</f>
        <v>257.36</v>
      </c>
      <c r="Q63" s="283">
        <f>IF('Intl Priority'!$Q$105&gt;ROUND(((1-PuertoRicoDiscount)*'Intl Priority'!Q60),2),ROUND('Intl Priority'!$Q$105*(1+International_Fuel_Surcharge),2),ROUND(((1-PuertoRicoDiscount)*'Intl Priority'!Q60)*(1+International_Fuel_Surcharge),2))</f>
        <v>334.17</v>
      </c>
      <c r="R63" s="138"/>
      <c r="S63" s="138"/>
      <c r="T63" s="138"/>
      <c r="U63" s="138"/>
      <c r="V63" s="138"/>
      <c r="W63" s="138"/>
      <c r="X63" s="138"/>
      <c r="Y63" s="138"/>
      <c r="Z63" s="138"/>
    </row>
    <row r="64" ht="12.75" customHeight="1">
      <c r="A64" s="274">
        <v>68.0</v>
      </c>
      <c r="B64" s="283">
        <f>IF('Intl Priority'!$B$105&gt;ROUND(((1-IntPriorityDiscount-IntPriorityIncentive)*'Intl Priority'!B61),2),ROUND('Intl Priority'!$B$105*(1+International_Fuel_Surcharge),2),ROUND(((1-IntPriorityDiscount-IntPriorityIncentive)*'Intl Priority'!B61)*(1+International_Fuel_Surcharge),2))</f>
        <v>108.05</v>
      </c>
      <c r="C64" s="283">
        <f>IF('Intl Priority'!$C$105&gt;ROUND(((1-IntPriorityDiscount-IntPriorityIncentive)*'Intl Priority'!C61),2),ROUND('Intl Priority'!$C$105*(1+International_Fuel_Surcharge),2),ROUND(((1-IntPriorityDiscount-IntPriorityIncentive)*'Intl Priority'!C61)*(1+International_Fuel_Surcharge),2))</f>
        <v>129.96</v>
      </c>
      <c r="D64" s="283">
        <f>IF('Intl Priority'!$D$105&gt;ROUND(((1-IntPriorityDiscount-IntPriorityIncentive)*'Intl Priority'!D61),2),ROUND('Intl Priority'!$D$105*(1+International_Fuel_Surcharge),2),ROUND(((1-IntPriorityDiscount-IntPriorityIncentive)*'Intl Priority'!D61)*(1+International_Fuel_Surcharge),2))</f>
        <v>133.16</v>
      </c>
      <c r="E64" s="283">
        <f>IF('Intl Priority'!$E$105&gt;ROUND(((1-IntPriorityDiscount-IntPriorityIncentive)*'Intl Priority'!E61),2),ROUND('Intl Priority'!$E$105*(1+International_Fuel_Surcharge),2),ROUND(((1-IntPriorityDiscount-IntPriorityIncentive)*'Intl Priority'!E61)*(1+International_Fuel_Surcharge),2))</f>
        <v>197.4</v>
      </c>
      <c r="F64" s="283">
        <f>IF('Intl Priority'!$F$105&gt;ROUND(((1-IntPriorityDiscount-IntPriorityIncentive)*'Intl Priority'!F61),2),ROUND('Intl Priority'!$F$105*(1+International_Fuel_Surcharge),2),ROUND(((1-IntPriorityDiscount-IntPriorityIncentive)*'Intl Priority'!F61)*(1+International_Fuel_Surcharge),2))</f>
        <v>369.36</v>
      </c>
      <c r="G64" s="283">
        <f>IF('Intl Priority'!$G$105&gt;ROUND(((1-IntPriorityDiscount-IntPriorityIncentive)*'Intl Priority'!G61),2),ROUND('Intl Priority'!$G$105*(1+International_Fuel_Surcharge),2),ROUND(((1-IntPriorityDiscount-IntPriorityIncentive)*'Intl Priority'!G61)*(1+International_Fuel_Surcharge),2))</f>
        <v>188.65</v>
      </c>
      <c r="H64" s="283">
        <f>IF('Intl Priority'!$H$105&gt;ROUND(((1-IntPriorityDiscount-IntPriorityIncentive)*'Intl Priority'!H61),2),ROUND('Intl Priority'!$H$105*(1+International_Fuel_Surcharge),2),ROUND(((1-IntPriorityDiscount-IntPriorityIncentive)*'Intl Priority'!H61)*(1+International_Fuel_Surcharge),2))</f>
        <v>192.66</v>
      </c>
      <c r="I64" s="283">
        <f>IF('Intl Priority'!$I$105&gt;ROUND(((1-IntPriorityDiscount-IntPriorityIncentive)*'Intl Priority'!I61),2),ROUND('Intl Priority'!$I$105*(1+International_Fuel_Surcharge),2),ROUND(((1-IntPriorityDiscount-IntPriorityIncentive)*'Intl Priority'!I61)*(1+International_Fuel_Surcharge),2))</f>
        <v>211.17</v>
      </c>
      <c r="J64" s="283">
        <f>IF('Intl Priority'!$J$105&gt;ROUND(((1-IntPriorityDiscount-IntPriorityIncentive)*'Intl Priority'!J61),2),ROUND('Intl Priority'!$J$105*(1+International_Fuel_Surcharge),2),ROUND(((1-IntPriorityDiscount-IntPriorityIncentive)*'Intl Priority'!J61)*(1+International_Fuel_Surcharge),2))</f>
        <v>146.39</v>
      </c>
      <c r="K64" s="283">
        <f>IF('Intl Priority'!$K$105&gt;ROUND(((1-IntPriorityDiscount-IntPriorityIncentive)*'Intl Priority'!K61),2),ROUND('Intl Priority'!$K$105*(1+International_Fuel_Surcharge),2),ROUND(((1-IntPriorityDiscount-IntPriorityIncentive)*'Intl Priority'!K61)*(1+International_Fuel_Surcharge),2))</f>
        <v>300.6</v>
      </c>
      <c r="L64" s="283">
        <f>IF('Intl Priority'!$L$105&gt;ROUND(((1-IntPriorityDiscount-IntPriorityIncentive)*'Intl Priority'!L61),2),ROUND('Intl Priority'!$L$105*(1+International_Fuel_Surcharge),2),ROUND(((1-IntPriorityDiscount-IntPriorityIncentive)*'Intl Priority'!L61)*(1+International_Fuel_Surcharge),2))</f>
        <v>232.76</v>
      </c>
      <c r="M64" s="283">
        <f>IF('Intl Priority'!$M$105&gt;ROUND(((1-IntPriorityDiscount-IntPriorityIncentive)*'Intl Priority'!M61),2),ROUND('Intl Priority'!$M$105*(1+International_Fuel_Surcharge),2),ROUND(((1-IntPriorityDiscount-IntPriorityIncentive)*'Intl Priority'!M61)*(1+International_Fuel_Surcharge),2))</f>
        <v>357.35</v>
      </c>
      <c r="N64" s="283">
        <f>IF('Intl Priority'!$N$105&gt;ROUND(((1-IntPriorityDiscount-IntPriorityIncentive)*'Intl Priority'!N61),2),ROUND('Intl Priority'!$N$105*(1+International_Fuel_Surcharge),2),ROUND(((1-IntPriorityDiscount-IntPriorityIncentive)*'Intl Priority'!N61)*(1+International_Fuel_Surcharge),2))</f>
        <v>337.97</v>
      </c>
      <c r="O64" s="283">
        <f>IF('Intl Priority'!$O$105&gt;ROUND(((1-IntPriorityDiscount-IntPriorityIncentive)*'Intl Priority'!O61),2),ROUND('Intl Priority'!$O$105*(1+International_Fuel_Surcharge),2),ROUND(((1-IntPriorityDiscount-IntPriorityIncentive)*'Intl Priority'!O61)*(1+International_Fuel_Surcharge),2))</f>
        <v>246.53</v>
      </c>
      <c r="P64" s="283">
        <f>IF('Intl Priority'!$P$105&gt;ROUND(((1-IntPriorityDiscount-IntPriorityIncentive)*'Intl Priority'!P61),2),ROUND('Intl Priority'!$P$105*(1+International_Fuel_Surcharge),2),ROUND(((1-IntPriorityDiscount-IntPriorityIncentive)*'Intl Priority'!P61)*(1+International_Fuel_Surcharge),2))</f>
        <v>266.8</v>
      </c>
      <c r="Q64" s="283">
        <f>IF('Intl Priority'!$Q$105&gt;ROUND(((1-PuertoRicoDiscount)*'Intl Priority'!Q61),2),ROUND('Intl Priority'!$Q$105*(1+International_Fuel_Surcharge),2),ROUND(((1-PuertoRicoDiscount)*'Intl Priority'!Q61)*(1+International_Fuel_Surcharge),2))</f>
        <v>335.6</v>
      </c>
      <c r="R64" s="138"/>
      <c r="S64" s="138"/>
      <c r="T64" s="138"/>
      <c r="U64" s="138"/>
      <c r="V64" s="138"/>
      <c r="W64" s="138"/>
      <c r="X64" s="138"/>
      <c r="Y64" s="138"/>
      <c r="Z64" s="138"/>
    </row>
    <row r="65" ht="12.75" customHeight="1">
      <c r="A65" s="274">
        <v>70.0</v>
      </c>
      <c r="B65" s="283">
        <f>IF('Intl Priority'!$B$105&gt;ROUND(((1-IntPriorityDiscount-IntPriorityIncentive)*'Intl Priority'!B62),2),ROUND('Intl Priority'!$B$105*(1+International_Fuel_Surcharge),2),ROUND(((1-IntPriorityDiscount-IntPriorityIncentive)*'Intl Priority'!B62)*(1+International_Fuel_Surcharge),2))</f>
        <v>118.8</v>
      </c>
      <c r="C65" s="283">
        <f>IF('Intl Priority'!$C$105&gt;ROUND(((1-IntPriorityDiscount-IntPriorityIncentive)*'Intl Priority'!C62),2),ROUND('Intl Priority'!$C$105*(1+International_Fuel_Surcharge),2),ROUND(((1-IntPriorityDiscount-IntPriorityIncentive)*'Intl Priority'!C62)*(1+International_Fuel_Surcharge),2))</f>
        <v>132.73</v>
      </c>
      <c r="D65" s="283">
        <f>IF('Intl Priority'!$D$105&gt;ROUND(((1-IntPriorityDiscount-IntPriorityIncentive)*'Intl Priority'!D62),2),ROUND('Intl Priority'!$D$105*(1+International_Fuel_Surcharge),2),ROUND(((1-IntPriorityDiscount-IntPriorityIncentive)*'Intl Priority'!D62)*(1+International_Fuel_Surcharge),2))</f>
        <v>133.29</v>
      </c>
      <c r="E65" s="283">
        <f>IF('Intl Priority'!$E$105&gt;ROUND(((1-IntPriorityDiscount-IntPriorityIncentive)*'Intl Priority'!E62),2),ROUND('Intl Priority'!$E$105*(1+International_Fuel_Surcharge),2),ROUND(((1-IntPriorityDiscount-IntPriorityIncentive)*'Intl Priority'!E62)*(1+International_Fuel_Surcharge),2))</f>
        <v>197.63</v>
      </c>
      <c r="F65" s="283">
        <f>IF('Intl Priority'!$F$105&gt;ROUND(((1-IntPriorityDiscount-IntPriorityIncentive)*'Intl Priority'!F62),2),ROUND('Intl Priority'!$F$105*(1+International_Fuel_Surcharge),2),ROUND(((1-IntPriorityDiscount-IntPriorityIncentive)*'Intl Priority'!F62)*(1+International_Fuel_Surcharge),2))</f>
        <v>374.22</v>
      </c>
      <c r="G65" s="283">
        <f>IF('Intl Priority'!$G$105&gt;ROUND(((1-IntPriorityDiscount-IntPriorityIncentive)*'Intl Priority'!G62),2),ROUND('Intl Priority'!$G$105*(1+International_Fuel_Surcharge),2),ROUND(((1-IntPriorityDiscount-IntPriorityIncentive)*'Intl Priority'!G62)*(1+International_Fuel_Surcharge),2))</f>
        <v>195.35</v>
      </c>
      <c r="H65" s="283">
        <f>IF('Intl Priority'!$H$105&gt;ROUND(((1-IntPriorityDiscount-IntPriorityIncentive)*'Intl Priority'!H62),2),ROUND('Intl Priority'!$H$105*(1+International_Fuel_Surcharge),2),ROUND(((1-IntPriorityDiscount-IntPriorityIncentive)*'Intl Priority'!H62)*(1+International_Fuel_Surcharge),2))</f>
        <v>197.61</v>
      </c>
      <c r="I65" s="283">
        <f>IF('Intl Priority'!$I$105&gt;ROUND(((1-IntPriorityDiscount-IntPriorityIncentive)*'Intl Priority'!I62),2),ROUND('Intl Priority'!$I$105*(1+International_Fuel_Surcharge),2),ROUND(((1-IntPriorityDiscount-IntPriorityIncentive)*'Intl Priority'!I62)*(1+International_Fuel_Surcharge),2))</f>
        <v>217.32</v>
      </c>
      <c r="J65" s="283">
        <f>IF('Intl Priority'!$J$105&gt;ROUND(((1-IntPriorityDiscount-IntPriorityIncentive)*'Intl Priority'!J62),2),ROUND('Intl Priority'!$J$105*(1+International_Fuel_Surcharge),2),ROUND(((1-IntPriorityDiscount-IntPriorityIncentive)*'Intl Priority'!J62)*(1+International_Fuel_Surcharge),2))</f>
        <v>146.45</v>
      </c>
      <c r="K65" s="283">
        <f>IF('Intl Priority'!$K$105&gt;ROUND(((1-IntPriorityDiscount-IntPriorityIncentive)*'Intl Priority'!K62),2),ROUND('Intl Priority'!$K$105*(1+International_Fuel_Surcharge),2),ROUND(((1-IntPriorityDiscount-IntPriorityIncentive)*'Intl Priority'!K62)*(1+International_Fuel_Surcharge),2))</f>
        <v>310.9</v>
      </c>
      <c r="L65" s="283">
        <f>IF('Intl Priority'!$L$105&gt;ROUND(((1-IntPriorityDiscount-IntPriorityIncentive)*'Intl Priority'!L62),2),ROUND('Intl Priority'!$L$105*(1+International_Fuel_Surcharge),2),ROUND(((1-IntPriorityDiscount-IntPriorityIncentive)*'Intl Priority'!L62)*(1+International_Fuel_Surcharge),2))</f>
        <v>233.22</v>
      </c>
      <c r="M65" s="283">
        <f>IF('Intl Priority'!$M$105&gt;ROUND(((1-IntPriorityDiscount-IntPriorityIncentive)*'Intl Priority'!M62),2),ROUND('Intl Priority'!$M$105*(1+International_Fuel_Surcharge),2),ROUND(((1-IntPriorityDiscount-IntPriorityIncentive)*'Intl Priority'!M62)*(1+International_Fuel_Surcharge),2))</f>
        <v>357.63</v>
      </c>
      <c r="N65" s="283">
        <f>IF('Intl Priority'!$N$105&gt;ROUND(((1-IntPriorityDiscount-IntPriorityIncentive)*'Intl Priority'!N62),2),ROUND('Intl Priority'!$N$105*(1+International_Fuel_Surcharge),2),ROUND(((1-IntPriorityDiscount-IntPriorityIncentive)*'Intl Priority'!N62)*(1+International_Fuel_Surcharge),2))</f>
        <v>339.69</v>
      </c>
      <c r="O65" s="283">
        <f>IF('Intl Priority'!$O$105&gt;ROUND(((1-IntPriorityDiscount-IntPriorityIncentive)*'Intl Priority'!O62),2),ROUND('Intl Priority'!$O$105*(1+International_Fuel_Surcharge),2),ROUND(((1-IntPriorityDiscount-IntPriorityIncentive)*'Intl Priority'!O62)*(1+International_Fuel_Surcharge),2))</f>
        <v>266.28</v>
      </c>
      <c r="P65" s="283">
        <f>IF('Intl Priority'!$P$105&gt;ROUND(((1-IntPriorityDiscount-IntPriorityIncentive)*'Intl Priority'!P62),2),ROUND('Intl Priority'!$P$105*(1+International_Fuel_Surcharge),2),ROUND(((1-IntPriorityDiscount-IntPriorityIncentive)*'Intl Priority'!P62)*(1+International_Fuel_Surcharge),2))</f>
        <v>269.17</v>
      </c>
      <c r="Q65" s="283">
        <f>IF('Intl Priority'!$Q$105&gt;ROUND(((1-PuertoRicoDiscount)*'Intl Priority'!Q62),2),ROUND('Intl Priority'!$Q$105*(1+International_Fuel_Surcharge),2),ROUND(((1-PuertoRicoDiscount)*'Intl Priority'!Q62)*(1+International_Fuel_Surcharge),2))</f>
        <v>344.2</v>
      </c>
      <c r="R65" s="138"/>
      <c r="S65" s="138"/>
      <c r="T65" s="138"/>
      <c r="U65" s="138"/>
      <c r="V65" s="138"/>
      <c r="W65" s="138"/>
      <c r="X65" s="138"/>
      <c r="Y65" s="138"/>
      <c r="Z65" s="138"/>
    </row>
    <row r="66" ht="12.75" customHeight="1">
      <c r="A66" s="274">
        <v>72.0</v>
      </c>
      <c r="B66" s="283">
        <f>IF('Intl Priority'!$B$105&gt;ROUND(((1-IntPriorityDiscount-IntPriorityIncentive)*'Intl Priority'!B63),2),ROUND('Intl Priority'!$B$105*(1+International_Fuel_Surcharge),2),ROUND(((1-IntPriorityDiscount-IntPriorityIncentive)*'Intl Priority'!B63)*(1+International_Fuel_Surcharge),2))</f>
        <v>119.91</v>
      </c>
      <c r="C66" s="283">
        <f>IF('Intl Priority'!$C$105&gt;ROUND(((1-IntPriorityDiscount-IntPriorityIncentive)*'Intl Priority'!C63),2),ROUND('Intl Priority'!$C$105*(1+International_Fuel_Surcharge),2),ROUND(((1-IntPriorityDiscount-IntPriorityIncentive)*'Intl Priority'!C63)*(1+International_Fuel_Surcharge),2))</f>
        <v>133.31</v>
      </c>
      <c r="D66" s="283">
        <f>IF('Intl Priority'!$D$105&gt;ROUND(((1-IntPriorityDiscount-IntPriorityIncentive)*'Intl Priority'!D63),2),ROUND('Intl Priority'!$D$105*(1+International_Fuel_Surcharge),2),ROUND(((1-IntPriorityDiscount-IntPriorityIncentive)*'Intl Priority'!D63)*(1+International_Fuel_Surcharge),2))</f>
        <v>135.67</v>
      </c>
      <c r="E66" s="283">
        <f>IF('Intl Priority'!$E$105&gt;ROUND(((1-IntPriorityDiscount-IntPriorityIncentive)*'Intl Priority'!E63),2),ROUND('Intl Priority'!$E$105*(1+International_Fuel_Surcharge),2),ROUND(((1-IntPriorityDiscount-IntPriorityIncentive)*'Intl Priority'!E63)*(1+International_Fuel_Surcharge),2))</f>
        <v>197.69</v>
      </c>
      <c r="F66" s="283">
        <f>IF('Intl Priority'!$F$105&gt;ROUND(((1-IntPriorityDiscount-IntPriorityIncentive)*'Intl Priority'!F63),2),ROUND('Intl Priority'!$F$105*(1+International_Fuel_Surcharge),2),ROUND(((1-IntPriorityDiscount-IntPriorityIncentive)*'Intl Priority'!F63)*(1+International_Fuel_Surcharge),2))</f>
        <v>374.71</v>
      </c>
      <c r="G66" s="283">
        <f>IF('Intl Priority'!$G$105&gt;ROUND(((1-IntPriorityDiscount-IntPriorityIncentive)*'Intl Priority'!G63),2),ROUND('Intl Priority'!$G$105*(1+International_Fuel_Surcharge),2),ROUND(((1-IntPriorityDiscount-IntPriorityIncentive)*'Intl Priority'!G63)*(1+International_Fuel_Surcharge),2))</f>
        <v>196.02</v>
      </c>
      <c r="H66" s="283">
        <f>IF('Intl Priority'!$H$105&gt;ROUND(((1-IntPriorityDiscount-IntPriorityIncentive)*'Intl Priority'!H63),2),ROUND('Intl Priority'!$H$105*(1+International_Fuel_Surcharge),2),ROUND(((1-IntPriorityDiscount-IntPriorityIncentive)*'Intl Priority'!H63)*(1+International_Fuel_Surcharge),2))</f>
        <v>198.12</v>
      </c>
      <c r="I66" s="283">
        <f>IF('Intl Priority'!$I$105&gt;ROUND(((1-IntPriorityDiscount-IntPriorityIncentive)*'Intl Priority'!I63),2),ROUND('Intl Priority'!$I$105*(1+International_Fuel_Surcharge),2),ROUND(((1-IntPriorityDiscount-IntPriorityIncentive)*'Intl Priority'!I63)*(1+International_Fuel_Surcharge),2))</f>
        <v>218.5</v>
      </c>
      <c r="J66" s="283">
        <f>IF('Intl Priority'!$J$105&gt;ROUND(((1-IntPriorityDiscount-IntPriorityIncentive)*'Intl Priority'!J63),2),ROUND('Intl Priority'!$J$105*(1+International_Fuel_Surcharge),2),ROUND(((1-IntPriorityDiscount-IntPriorityIncentive)*'Intl Priority'!J63)*(1+International_Fuel_Surcharge),2))</f>
        <v>146.87</v>
      </c>
      <c r="K66" s="283">
        <f>IF('Intl Priority'!$K$105&gt;ROUND(((1-IntPriorityDiscount-IntPriorityIncentive)*'Intl Priority'!K63),2),ROUND('Intl Priority'!$K$105*(1+International_Fuel_Surcharge),2),ROUND(((1-IntPriorityDiscount-IntPriorityIncentive)*'Intl Priority'!K63)*(1+International_Fuel_Surcharge),2))</f>
        <v>317.82</v>
      </c>
      <c r="L66" s="283">
        <f>IF('Intl Priority'!$L$105&gt;ROUND(((1-IntPriorityDiscount-IntPriorityIncentive)*'Intl Priority'!L63),2),ROUND('Intl Priority'!$L$105*(1+International_Fuel_Surcharge),2),ROUND(((1-IntPriorityDiscount-IntPriorityIncentive)*'Intl Priority'!L63)*(1+International_Fuel_Surcharge),2))</f>
        <v>242.34</v>
      </c>
      <c r="M66" s="283">
        <f>IF('Intl Priority'!$M$105&gt;ROUND(((1-IntPriorityDiscount-IntPriorityIncentive)*'Intl Priority'!M63),2),ROUND('Intl Priority'!$M$105*(1+International_Fuel_Surcharge),2),ROUND(((1-IntPriorityDiscount-IntPriorityIncentive)*'Intl Priority'!M63)*(1+International_Fuel_Surcharge),2))</f>
        <v>357.68</v>
      </c>
      <c r="N66" s="283">
        <f>IF('Intl Priority'!$N$105&gt;ROUND(((1-IntPriorityDiscount-IntPriorityIncentive)*'Intl Priority'!N63),2),ROUND('Intl Priority'!$N$105*(1+International_Fuel_Surcharge),2),ROUND(((1-IntPriorityDiscount-IntPriorityIncentive)*'Intl Priority'!N63)*(1+International_Fuel_Surcharge),2))</f>
        <v>339.87</v>
      </c>
      <c r="O66" s="283">
        <f>IF('Intl Priority'!$O$105&gt;ROUND(((1-IntPriorityDiscount-IntPriorityIncentive)*'Intl Priority'!O63),2),ROUND('Intl Priority'!$O$105*(1+International_Fuel_Surcharge),2),ROUND(((1-IntPriorityDiscount-IntPriorityIncentive)*'Intl Priority'!O63)*(1+International_Fuel_Surcharge),2))</f>
        <v>268.57</v>
      </c>
      <c r="P66" s="283">
        <f>IF('Intl Priority'!$P$105&gt;ROUND(((1-IntPriorityDiscount-IntPriorityIncentive)*'Intl Priority'!P63),2),ROUND('Intl Priority'!$P$105*(1+International_Fuel_Surcharge),2),ROUND(((1-IntPriorityDiscount-IntPriorityIncentive)*'Intl Priority'!P63)*(1+International_Fuel_Surcharge),2))</f>
        <v>269.41</v>
      </c>
      <c r="Q66" s="283">
        <f>IF('Intl Priority'!$Q$105&gt;ROUND(((1-PuertoRicoDiscount)*'Intl Priority'!Q63),2),ROUND('Intl Priority'!$Q$105*(1+International_Fuel_Surcharge),2),ROUND(((1-PuertoRicoDiscount)*'Intl Priority'!Q63)*(1+International_Fuel_Surcharge),2))</f>
        <v>351.83</v>
      </c>
      <c r="R66" s="138"/>
      <c r="S66" s="138"/>
      <c r="T66" s="138"/>
      <c r="U66" s="138"/>
      <c r="V66" s="138"/>
      <c r="W66" s="138"/>
      <c r="X66" s="138"/>
      <c r="Y66" s="138"/>
      <c r="Z66" s="138"/>
    </row>
    <row r="67" ht="12.75" customHeight="1">
      <c r="A67" s="274">
        <v>74.0</v>
      </c>
      <c r="B67" s="283">
        <f>IF('Intl Priority'!$B$105&gt;ROUND(((1-IntPriorityDiscount-IntPriorityIncentive)*'Intl Priority'!B64),2),ROUND('Intl Priority'!$B$105*(1+International_Fuel_Surcharge),2),ROUND(((1-IntPriorityDiscount-IntPriorityIncentive)*'Intl Priority'!B64)*(1+International_Fuel_Surcharge),2))</f>
        <v>121.56</v>
      </c>
      <c r="C67" s="283">
        <f>IF('Intl Priority'!$C$105&gt;ROUND(((1-IntPriorityDiscount-IntPriorityIncentive)*'Intl Priority'!C64),2),ROUND('Intl Priority'!$C$105*(1+International_Fuel_Surcharge),2),ROUND(((1-IntPriorityDiscount-IntPriorityIncentive)*'Intl Priority'!C64)*(1+International_Fuel_Surcharge),2))</f>
        <v>135.16</v>
      </c>
      <c r="D67" s="283">
        <f>IF('Intl Priority'!$D$105&gt;ROUND(((1-IntPriorityDiscount-IntPriorityIncentive)*'Intl Priority'!D64),2),ROUND('Intl Priority'!$D$105*(1+International_Fuel_Surcharge),2),ROUND(((1-IntPriorityDiscount-IntPriorityIncentive)*'Intl Priority'!D64)*(1+International_Fuel_Surcharge),2))</f>
        <v>135.91</v>
      </c>
      <c r="E67" s="283">
        <f>IF('Intl Priority'!$E$105&gt;ROUND(((1-IntPriorityDiscount-IntPriorityIncentive)*'Intl Priority'!E64),2),ROUND('Intl Priority'!$E$105*(1+International_Fuel_Surcharge),2),ROUND(((1-IntPriorityDiscount-IntPriorityIncentive)*'Intl Priority'!E64)*(1+International_Fuel_Surcharge),2))</f>
        <v>198.12</v>
      </c>
      <c r="F67" s="283">
        <f>IF('Intl Priority'!$F$105&gt;ROUND(((1-IntPriorityDiscount-IntPriorityIncentive)*'Intl Priority'!F64),2),ROUND('Intl Priority'!$F$105*(1+International_Fuel_Surcharge),2),ROUND(((1-IntPriorityDiscount-IntPriorityIncentive)*'Intl Priority'!F64)*(1+International_Fuel_Surcharge),2))</f>
        <v>374.76</v>
      </c>
      <c r="G67" s="283">
        <f>IF('Intl Priority'!$G$105&gt;ROUND(((1-IntPriorityDiscount-IntPriorityIncentive)*'Intl Priority'!G64),2),ROUND('Intl Priority'!$G$105*(1+International_Fuel_Surcharge),2),ROUND(((1-IntPriorityDiscount-IntPriorityIncentive)*'Intl Priority'!G64)*(1+International_Fuel_Surcharge),2))</f>
        <v>200.67</v>
      </c>
      <c r="H67" s="283">
        <f>IF('Intl Priority'!$H$105&gt;ROUND(((1-IntPriorityDiscount-IntPriorityIncentive)*'Intl Priority'!H64),2),ROUND('Intl Priority'!$H$105*(1+International_Fuel_Surcharge),2),ROUND(((1-IntPriorityDiscount-IntPriorityIncentive)*'Intl Priority'!H64)*(1+International_Fuel_Surcharge),2))</f>
        <v>202.8</v>
      </c>
      <c r="I67" s="283">
        <f>IF('Intl Priority'!$I$105&gt;ROUND(((1-IntPriorityDiscount-IntPriorityIncentive)*'Intl Priority'!I64),2),ROUND('Intl Priority'!$I$105*(1+International_Fuel_Surcharge),2),ROUND(((1-IntPriorityDiscount-IntPriorityIncentive)*'Intl Priority'!I64)*(1+International_Fuel_Surcharge),2))</f>
        <v>218.61</v>
      </c>
      <c r="J67" s="283">
        <f>IF('Intl Priority'!$J$105&gt;ROUND(((1-IntPriorityDiscount-IntPriorityIncentive)*'Intl Priority'!J64),2),ROUND('Intl Priority'!$J$105*(1+International_Fuel_Surcharge),2),ROUND(((1-IntPriorityDiscount-IntPriorityIncentive)*'Intl Priority'!J64)*(1+International_Fuel_Surcharge),2))</f>
        <v>155.26</v>
      </c>
      <c r="K67" s="283">
        <f>IF('Intl Priority'!$K$105&gt;ROUND(((1-IntPriorityDiscount-IntPriorityIncentive)*'Intl Priority'!K64),2),ROUND('Intl Priority'!$K$105*(1+International_Fuel_Surcharge),2),ROUND(((1-IntPriorityDiscount-IntPriorityIncentive)*'Intl Priority'!K64)*(1+International_Fuel_Surcharge),2))</f>
        <v>319.52</v>
      </c>
      <c r="L67" s="283">
        <f>IF('Intl Priority'!$L$105&gt;ROUND(((1-IntPriorityDiscount-IntPriorityIncentive)*'Intl Priority'!L64),2),ROUND('Intl Priority'!$L$105*(1+International_Fuel_Surcharge),2),ROUND(((1-IntPriorityDiscount-IntPriorityIncentive)*'Intl Priority'!L64)*(1+International_Fuel_Surcharge),2))</f>
        <v>243.25</v>
      </c>
      <c r="M67" s="283">
        <f>IF('Intl Priority'!$M$105&gt;ROUND(((1-IntPriorityDiscount-IntPriorityIncentive)*'Intl Priority'!M64),2),ROUND('Intl Priority'!$M$105*(1+International_Fuel_Surcharge),2),ROUND(((1-IntPriorityDiscount-IntPriorityIncentive)*'Intl Priority'!M64)*(1+International_Fuel_Surcharge),2))</f>
        <v>357.73</v>
      </c>
      <c r="N67" s="283">
        <f>IF('Intl Priority'!$N$105&gt;ROUND(((1-IntPriorityDiscount-IntPriorityIncentive)*'Intl Priority'!N64),2),ROUND('Intl Priority'!$N$105*(1+International_Fuel_Surcharge),2),ROUND(((1-IntPriorityDiscount-IntPriorityIncentive)*'Intl Priority'!N64)*(1+International_Fuel_Surcharge),2))</f>
        <v>339.94</v>
      </c>
      <c r="O67" s="283">
        <f>IF('Intl Priority'!$O$105&gt;ROUND(((1-IntPriorityDiscount-IntPriorityIncentive)*'Intl Priority'!O64),2),ROUND('Intl Priority'!$O$105*(1+International_Fuel_Surcharge),2),ROUND(((1-IntPriorityDiscount-IntPriorityIncentive)*'Intl Priority'!O64)*(1+International_Fuel_Surcharge),2))</f>
        <v>268.8</v>
      </c>
      <c r="P67" s="283">
        <f>IF('Intl Priority'!$P$105&gt;ROUND(((1-IntPriorityDiscount-IntPriorityIncentive)*'Intl Priority'!P64),2),ROUND('Intl Priority'!$P$105*(1+International_Fuel_Surcharge),2),ROUND(((1-IntPriorityDiscount-IntPriorityIncentive)*'Intl Priority'!P64)*(1+International_Fuel_Surcharge),2))</f>
        <v>269.46</v>
      </c>
      <c r="Q67" s="283">
        <f>IF('Intl Priority'!$Q$105&gt;ROUND(((1-PuertoRicoDiscount)*'Intl Priority'!Q64),2),ROUND('Intl Priority'!$Q$105*(1+International_Fuel_Surcharge),2),ROUND(((1-PuertoRicoDiscount)*'Intl Priority'!Q64)*(1+International_Fuel_Surcharge),2))</f>
        <v>357.34</v>
      </c>
      <c r="R67" s="138"/>
      <c r="S67" s="138"/>
      <c r="T67" s="138"/>
      <c r="U67" s="138"/>
      <c r="V67" s="138"/>
      <c r="W67" s="138"/>
      <c r="X67" s="138"/>
      <c r="Y67" s="138"/>
      <c r="Z67" s="138"/>
    </row>
    <row r="68" ht="12.75" customHeight="1">
      <c r="A68" s="274">
        <v>76.0</v>
      </c>
      <c r="B68" s="283">
        <f>IF('Intl Priority'!$B$105&gt;ROUND(((1-IntPriorityDiscount-IntPriorityIncentive)*'Intl Priority'!B65),2),ROUND('Intl Priority'!$B$105*(1+International_Fuel_Surcharge),2),ROUND(((1-IntPriorityDiscount-IntPriorityIncentive)*'Intl Priority'!B65)*(1+International_Fuel_Surcharge),2))</f>
        <v>121.93</v>
      </c>
      <c r="C68" s="283">
        <f>IF('Intl Priority'!$C$105&gt;ROUND(((1-IntPriorityDiscount-IntPriorityIncentive)*'Intl Priority'!C65),2),ROUND('Intl Priority'!$C$105*(1+International_Fuel_Surcharge),2),ROUND(((1-IntPriorityDiscount-IntPriorityIncentive)*'Intl Priority'!C65)*(1+International_Fuel_Surcharge),2))</f>
        <v>135.85</v>
      </c>
      <c r="D68" s="283">
        <f>IF('Intl Priority'!$D$105&gt;ROUND(((1-IntPriorityDiscount-IntPriorityIncentive)*'Intl Priority'!D65),2),ROUND('Intl Priority'!$D$105*(1+International_Fuel_Surcharge),2),ROUND(((1-IntPriorityDiscount-IntPriorityIncentive)*'Intl Priority'!D65)*(1+International_Fuel_Surcharge),2))</f>
        <v>135.96</v>
      </c>
      <c r="E68" s="283">
        <f>IF('Intl Priority'!$E$105&gt;ROUND(((1-IntPriorityDiscount-IntPriorityIncentive)*'Intl Priority'!E65),2),ROUND('Intl Priority'!$E$105*(1+International_Fuel_Surcharge),2),ROUND(((1-IntPriorityDiscount-IntPriorityIncentive)*'Intl Priority'!E65)*(1+International_Fuel_Surcharge),2))</f>
        <v>206.63</v>
      </c>
      <c r="F68" s="283">
        <f>IF('Intl Priority'!$F$105&gt;ROUND(((1-IntPriorityDiscount-IntPriorityIncentive)*'Intl Priority'!F65),2),ROUND('Intl Priority'!$F$105*(1+International_Fuel_Surcharge),2),ROUND(((1-IntPriorityDiscount-IntPriorityIncentive)*'Intl Priority'!F65)*(1+International_Fuel_Surcharge),2))</f>
        <v>374.82</v>
      </c>
      <c r="G68" s="283">
        <f>IF('Intl Priority'!$G$105&gt;ROUND(((1-IntPriorityDiscount-IntPriorityIncentive)*'Intl Priority'!G65),2),ROUND('Intl Priority'!$G$105*(1+International_Fuel_Surcharge),2),ROUND(((1-IntPriorityDiscount-IntPriorityIncentive)*'Intl Priority'!G65)*(1+International_Fuel_Surcharge),2))</f>
        <v>201.14</v>
      </c>
      <c r="H68" s="283">
        <f>IF('Intl Priority'!$H$105&gt;ROUND(((1-IntPriorityDiscount-IntPriorityIncentive)*'Intl Priority'!H65),2),ROUND('Intl Priority'!$H$105*(1+International_Fuel_Surcharge),2),ROUND(((1-IntPriorityDiscount-IntPriorityIncentive)*'Intl Priority'!H65)*(1+International_Fuel_Surcharge),2))</f>
        <v>203.28</v>
      </c>
      <c r="I68" s="283">
        <f>IF('Intl Priority'!$I$105&gt;ROUND(((1-IntPriorityDiscount-IntPriorityIncentive)*'Intl Priority'!I65),2),ROUND('Intl Priority'!$I$105*(1+International_Fuel_Surcharge),2),ROUND(((1-IntPriorityDiscount-IntPriorityIncentive)*'Intl Priority'!I65)*(1+International_Fuel_Surcharge),2))</f>
        <v>218.67</v>
      </c>
      <c r="J68" s="283">
        <f>IF('Intl Priority'!$J$105&gt;ROUND(((1-IntPriorityDiscount-IntPriorityIncentive)*'Intl Priority'!J65),2),ROUND('Intl Priority'!$J$105*(1+International_Fuel_Surcharge),2),ROUND(((1-IntPriorityDiscount-IntPriorityIncentive)*'Intl Priority'!J65)*(1+International_Fuel_Surcharge),2))</f>
        <v>156.11</v>
      </c>
      <c r="K68" s="283">
        <f>IF('Intl Priority'!$K$105&gt;ROUND(((1-IntPriorityDiscount-IntPriorityIncentive)*'Intl Priority'!K65),2),ROUND('Intl Priority'!$K$105*(1+International_Fuel_Surcharge),2),ROUND(((1-IntPriorityDiscount-IntPriorityIncentive)*'Intl Priority'!K65)*(1+International_Fuel_Surcharge),2))</f>
        <v>320.28</v>
      </c>
      <c r="L68" s="283">
        <f>IF('Intl Priority'!$L$105&gt;ROUND(((1-IntPriorityDiscount-IntPriorityIncentive)*'Intl Priority'!L65),2),ROUND('Intl Priority'!$L$105*(1+International_Fuel_Surcharge),2),ROUND(((1-IntPriorityDiscount-IntPriorityIncentive)*'Intl Priority'!L65)*(1+International_Fuel_Surcharge),2))</f>
        <v>244.22</v>
      </c>
      <c r="M68" s="283">
        <f>IF('Intl Priority'!$M$105&gt;ROUND(((1-IntPriorityDiscount-IntPriorityIncentive)*'Intl Priority'!M65),2),ROUND('Intl Priority'!$M$105*(1+International_Fuel_Surcharge),2),ROUND(((1-IntPriorityDiscount-IntPriorityIncentive)*'Intl Priority'!M65)*(1+International_Fuel_Surcharge),2))</f>
        <v>357.77</v>
      </c>
      <c r="N68" s="283">
        <f>IF('Intl Priority'!$N$105&gt;ROUND(((1-IntPriorityDiscount-IntPriorityIncentive)*'Intl Priority'!N65),2),ROUND('Intl Priority'!$N$105*(1+International_Fuel_Surcharge),2),ROUND(((1-IntPriorityDiscount-IntPriorityIncentive)*'Intl Priority'!N65)*(1+International_Fuel_Surcharge),2))</f>
        <v>341.35</v>
      </c>
      <c r="O68" s="283">
        <f>IF('Intl Priority'!$O$105&gt;ROUND(((1-IntPriorityDiscount-IntPriorityIncentive)*'Intl Priority'!O65),2),ROUND('Intl Priority'!$O$105*(1+International_Fuel_Surcharge),2),ROUND(((1-IntPriorityDiscount-IntPriorityIncentive)*'Intl Priority'!O65)*(1+International_Fuel_Surcharge),2))</f>
        <v>269.32</v>
      </c>
      <c r="P68" s="283">
        <f>IF('Intl Priority'!$P$105&gt;ROUND(((1-IntPriorityDiscount-IntPriorityIncentive)*'Intl Priority'!P65),2),ROUND('Intl Priority'!$P$105*(1+International_Fuel_Surcharge),2),ROUND(((1-IntPriorityDiscount-IntPriorityIncentive)*'Intl Priority'!P65)*(1+International_Fuel_Surcharge),2))</f>
        <v>269.51</v>
      </c>
      <c r="Q68" s="283">
        <f>IF('Intl Priority'!$Q$105&gt;ROUND(((1-PuertoRicoDiscount)*'Intl Priority'!Q65),2),ROUND('Intl Priority'!$Q$105*(1+International_Fuel_Surcharge),2),ROUND(((1-PuertoRicoDiscount)*'Intl Priority'!Q65)*(1+International_Fuel_Surcharge),2))</f>
        <v>363.13</v>
      </c>
      <c r="R68" s="138"/>
      <c r="S68" s="138"/>
      <c r="T68" s="138"/>
      <c r="U68" s="138"/>
      <c r="V68" s="138"/>
      <c r="W68" s="138"/>
      <c r="X68" s="138"/>
      <c r="Y68" s="138"/>
      <c r="Z68" s="138"/>
    </row>
    <row r="69" ht="12.75" customHeight="1">
      <c r="A69" s="274">
        <v>78.0</v>
      </c>
      <c r="B69" s="283">
        <f>IF('Intl Priority'!$B$105&gt;ROUND(((1-IntPriorityDiscount-IntPriorityIncentive)*'Intl Priority'!B66),2),ROUND('Intl Priority'!$B$105*(1+International_Fuel_Surcharge),2),ROUND(((1-IntPriorityDiscount-IntPriorityIncentive)*'Intl Priority'!B66)*(1+International_Fuel_Surcharge),2))</f>
        <v>122.01</v>
      </c>
      <c r="C69" s="283">
        <f>IF('Intl Priority'!$C$105&gt;ROUND(((1-IntPriorityDiscount-IntPriorityIncentive)*'Intl Priority'!C66),2),ROUND('Intl Priority'!$C$105*(1+International_Fuel_Surcharge),2),ROUND(((1-IntPriorityDiscount-IntPriorityIncentive)*'Intl Priority'!C66)*(1+International_Fuel_Surcharge),2))</f>
        <v>137.2</v>
      </c>
      <c r="D69" s="283">
        <f>IF('Intl Priority'!$D$105&gt;ROUND(((1-IntPriorityDiscount-IntPriorityIncentive)*'Intl Priority'!D66),2),ROUND('Intl Priority'!$D$105*(1+International_Fuel_Surcharge),2),ROUND(((1-IntPriorityDiscount-IntPriorityIncentive)*'Intl Priority'!D66)*(1+International_Fuel_Surcharge),2))</f>
        <v>136.02</v>
      </c>
      <c r="E69" s="283">
        <f>IF('Intl Priority'!$E$105&gt;ROUND(((1-IntPriorityDiscount-IntPriorityIncentive)*'Intl Priority'!E66),2),ROUND('Intl Priority'!$E$105*(1+International_Fuel_Surcharge),2),ROUND(((1-IntPriorityDiscount-IntPriorityIncentive)*'Intl Priority'!E66)*(1+International_Fuel_Surcharge),2))</f>
        <v>207.48</v>
      </c>
      <c r="F69" s="283">
        <f>IF('Intl Priority'!$F$105&gt;ROUND(((1-IntPriorityDiscount-IntPriorityIncentive)*'Intl Priority'!F66),2),ROUND('Intl Priority'!$F$105*(1+International_Fuel_Surcharge),2),ROUND(((1-IntPriorityDiscount-IntPriorityIncentive)*'Intl Priority'!F66)*(1+International_Fuel_Surcharge),2))</f>
        <v>374.87</v>
      </c>
      <c r="G69" s="283">
        <f>IF('Intl Priority'!$G$105&gt;ROUND(((1-IntPriorityDiscount-IntPriorityIncentive)*'Intl Priority'!G66),2),ROUND('Intl Priority'!$G$105*(1+International_Fuel_Surcharge),2),ROUND(((1-IntPriorityDiscount-IntPriorityIncentive)*'Intl Priority'!G66)*(1+International_Fuel_Surcharge),2))</f>
        <v>205.79</v>
      </c>
      <c r="H69" s="283">
        <f>IF('Intl Priority'!$H$105&gt;ROUND(((1-IntPriorityDiscount-IntPriorityIncentive)*'Intl Priority'!H66),2),ROUND('Intl Priority'!$H$105*(1+International_Fuel_Surcharge),2),ROUND(((1-IntPriorityDiscount-IntPriorityIncentive)*'Intl Priority'!H66)*(1+International_Fuel_Surcharge),2))</f>
        <v>207.98</v>
      </c>
      <c r="I69" s="283">
        <f>IF('Intl Priority'!$I$105&gt;ROUND(((1-IntPriorityDiscount-IntPriorityIncentive)*'Intl Priority'!I66),2),ROUND('Intl Priority'!$I$105*(1+International_Fuel_Surcharge),2),ROUND(((1-IntPriorityDiscount-IntPriorityIncentive)*'Intl Priority'!I66)*(1+International_Fuel_Surcharge),2))</f>
        <v>218.71</v>
      </c>
      <c r="J69" s="283">
        <f>IF('Intl Priority'!$J$105&gt;ROUND(((1-IntPriorityDiscount-IntPriorityIncentive)*'Intl Priority'!J66),2),ROUND('Intl Priority'!$J$105*(1+International_Fuel_Surcharge),2),ROUND(((1-IntPriorityDiscount-IntPriorityIncentive)*'Intl Priority'!J66)*(1+International_Fuel_Surcharge),2))</f>
        <v>164.41</v>
      </c>
      <c r="K69" s="283">
        <f>IF('Intl Priority'!$K$105&gt;ROUND(((1-IntPriorityDiscount-IntPriorityIncentive)*'Intl Priority'!K66),2),ROUND('Intl Priority'!$K$105*(1+International_Fuel_Surcharge),2),ROUND(((1-IntPriorityDiscount-IntPriorityIncentive)*'Intl Priority'!K66)*(1+International_Fuel_Surcharge),2))</f>
        <v>335.12</v>
      </c>
      <c r="L69" s="283">
        <f>IF('Intl Priority'!$L$105&gt;ROUND(((1-IntPriorityDiscount-IntPriorityIncentive)*'Intl Priority'!L66),2),ROUND('Intl Priority'!$L$105*(1+International_Fuel_Surcharge),2),ROUND(((1-IntPriorityDiscount-IntPriorityIncentive)*'Intl Priority'!L66)*(1+International_Fuel_Surcharge),2))</f>
        <v>263.63</v>
      </c>
      <c r="M69" s="283">
        <f>IF('Intl Priority'!$M$105&gt;ROUND(((1-IntPriorityDiscount-IntPriorityIncentive)*'Intl Priority'!M66),2),ROUND('Intl Priority'!$M$105*(1+International_Fuel_Surcharge),2),ROUND(((1-IntPriorityDiscount-IntPriorityIncentive)*'Intl Priority'!M66)*(1+International_Fuel_Surcharge),2))</f>
        <v>358.61</v>
      </c>
      <c r="N69" s="283">
        <f>IF('Intl Priority'!$N$105&gt;ROUND(((1-IntPriorityDiscount-IntPriorityIncentive)*'Intl Priority'!N66),2),ROUND('Intl Priority'!$N$105*(1+International_Fuel_Surcharge),2),ROUND(((1-IntPriorityDiscount-IntPriorityIncentive)*'Intl Priority'!N66)*(1+International_Fuel_Surcharge),2))</f>
        <v>364.07</v>
      </c>
      <c r="O69" s="283">
        <f>IF('Intl Priority'!$O$105&gt;ROUND(((1-IntPriorityDiscount-IntPriorityIncentive)*'Intl Priority'!O66),2),ROUND('Intl Priority'!$O$105*(1+International_Fuel_Surcharge),2),ROUND(((1-IntPriorityDiscount-IntPriorityIncentive)*'Intl Priority'!O66)*(1+International_Fuel_Surcharge),2))</f>
        <v>269.83</v>
      </c>
      <c r="P69" s="283">
        <f>IF('Intl Priority'!$P$105&gt;ROUND(((1-IntPriorityDiscount-IntPriorityIncentive)*'Intl Priority'!P66),2),ROUND('Intl Priority'!$P$105*(1+International_Fuel_Surcharge),2),ROUND(((1-IntPriorityDiscount-IntPriorityIncentive)*'Intl Priority'!P66)*(1+International_Fuel_Surcharge),2))</f>
        <v>269.56</v>
      </c>
      <c r="Q69" s="283">
        <f>IF('Intl Priority'!$Q$105&gt;ROUND(((1-PuertoRicoDiscount)*'Intl Priority'!Q66),2),ROUND('Intl Priority'!$Q$105*(1+International_Fuel_Surcharge),2),ROUND(((1-PuertoRicoDiscount)*'Intl Priority'!Q66)*(1+International_Fuel_Surcharge),2))</f>
        <v>368.98</v>
      </c>
      <c r="R69" s="138"/>
      <c r="S69" s="138"/>
      <c r="T69" s="138"/>
      <c r="U69" s="138"/>
      <c r="V69" s="138"/>
      <c r="W69" s="138"/>
      <c r="X69" s="138"/>
      <c r="Y69" s="138"/>
      <c r="Z69" s="138"/>
    </row>
    <row r="70" ht="12.75" customHeight="1">
      <c r="A70" s="274">
        <v>80.0</v>
      </c>
      <c r="B70" s="283">
        <f>IF('Intl Priority'!$B$105&gt;ROUND(((1-IntPriorityDiscount-IntPriorityIncentive)*'Intl Priority'!B67),2),ROUND('Intl Priority'!$B$105*(1+International_Fuel_Surcharge),2),ROUND(((1-IntPriorityDiscount-IntPriorityIncentive)*'Intl Priority'!B67)*(1+International_Fuel_Surcharge),2))</f>
        <v>122.08</v>
      </c>
      <c r="C70" s="283">
        <f>IF('Intl Priority'!$C$105&gt;ROUND(((1-IntPriorityDiscount-IntPriorityIncentive)*'Intl Priority'!C67),2),ROUND('Intl Priority'!$C$105*(1+International_Fuel_Surcharge),2),ROUND(((1-IntPriorityDiscount-IntPriorityIncentive)*'Intl Priority'!C67)*(1+International_Fuel_Surcharge),2))</f>
        <v>137.34</v>
      </c>
      <c r="D70" s="283">
        <f>IF('Intl Priority'!$D$105&gt;ROUND(((1-IntPriorityDiscount-IntPriorityIncentive)*'Intl Priority'!D67),2),ROUND('Intl Priority'!$D$105*(1+International_Fuel_Surcharge),2),ROUND(((1-IntPriorityDiscount-IntPriorityIncentive)*'Intl Priority'!D67)*(1+International_Fuel_Surcharge),2))</f>
        <v>136.15</v>
      </c>
      <c r="E70" s="283">
        <f>IF('Intl Priority'!$E$105&gt;ROUND(((1-IntPriorityDiscount-IntPriorityIncentive)*'Intl Priority'!E67),2),ROUND('Intl Priority'!$E$105*(1+International_Fuel_Surcharge),2),ROUND(((1-IntPriorityDiscount-IntPriorityIncentive)*'Intl Priority'!E67)*(1+International_Fuel_Surcharge),2))</f>
        <v>207.98</v>
      </c>
      <c r="F70" s="283">
        <f>IF('Intl Priority'!$F$105&gt;ROUND(((1-IntPriorityDiscount-IntPriorityIncentive)*'Intl Priority'!F67),2),ROUND('Intl Priority'!$F$105*(1+International_Fuel_Surcharge),2),ROUND(((1-IntPriorityDiscount-IntPriorityIncentive)*'Intl Priority'!F67)*(1+International_Fuel_Surcharge),2))</f>
        <v>374.92</v>
      </c>
      <c r="G70" s="283">
        <f>IF('Intl Priority'!$G$105&gt;ROUND(((1-IntPriorityDiscount-IntPriorityIncentive)*'Intl Priority'!G67),2),ROUND('Intl Priority'!$G$105*(1+International_Fuel_Surcharge),2),ROUND(((1-IntPriorityDiscount-IntPriorityIncentive)*'Intl Priority'!G67)*(1+International_Fuel_Surcharge),2))</f>
        <v>206.26</v>
      </c>
      <c r="H70" s="283">
        <f>IF('Intl Priority'!$H$105&gt;ROUND(((1-IntPriorityDiscount-IntPriorityIncentive)*'Intl Priority'!H67),2),ROUND('Intl Priority'!$H$105*(1+International_Fuel_Surcharge),2),ROUND(((1-IntPriorityDiscount-IntPriorityIncentive)*'Intl Priority'!H67)*(1+International_Fuel_Surcharge),2))</f>
        <v>208.45</v>
      </c>
      <c r="I70" s="283">
        <f>IF('Intl Priority'!$I$105&gt;ROUND(((1-IntPriorityDiscount-IntPriorityIncentive)*'Intl Priority'!I67),2),ROUND('Intl Priority'!$I$105*(1+International_Fuel_Surcharge),2),ROUND(((1-IntPriorityDiscount-IntPriorityIncentive)*'Intl Priority'!I67)*(1+International_Fuel_Surcharge),2))</f>
        <v>219.24</v>
      </c>
      <c r="J70" s="283">
        <f>IF('Intl Priority'!$J$105&gt;ROUND(((1-IntPriorityDiscount-IntPriorityIncentive)*'Intl Priority'!J67),2),ROUND('Intl Priority'!$J$105*(1+International_Fuel_Surcharge),2),ROUND(((1-IntPriorityDiscount-IntPriorityIncentive)*'Intl Priority'!J67)*(1+International_Fuel_Surcharge),2))</f>
        <v>165.24</v>
      </c>
      <c r="K70" s="283">
        <f>IF('Intl Priority'!$K$105&gt;ROUND(((1-IntPriorityDiscount-IntPriorityIncentive)*'Intl Priority'!K67),2),ROUND('Intl Priority'!$K$105*(1+International_Fuel_Surcharge),2),ROUND(((1-IntPriorityDiscount-IntPriorityIncentive)*'Intl Priority'!K67)*(1+International_Fuel_Surcharge),2))</f>
        <v>337.56</v>
      </c>
      <c r="L70" s="283">
        <f>IF('Intl Priority'!$L$105&gt;ROUND(((1-IntPriorityDiscount-IntPriorityIncentive)*'Intl Priority'!L67),2),ROUND('Intl Priority'!$L$105*(1+International_Fuel_Surcharge),2),ROUND(((1-IntPriorityDiscount-IntPriorityIncentive)*'Intl Priority'!L67)*(1+International_Fuel_Surcharge),2))</f>
        <v>265.65</v>
      </c>
      <c r="M70" s="283">
        <f>IF('Intl Priority'!$M$105&gt;ROUND(((1-IntPriorityDiscount-IntPriorityIncentive)*'Intl Priority'!M67),2),ROUND('Intl Priority'!$M$105*(1+International_Fuel_Surcharge),2),ROUND(((1-IntPriorityDiscount-IntPriorityIncentive)*'Intl Priority'!M67)*(1+International_Fuel_Surcharge),2))</f>
        <v>375.07</v>
      </c>
      <c r="N70" s="283">
        <f>IF('Intl Priority'!$N$105&gt;ROUND(((1-IntPriorityDiscount-IntPriorityIncentive)*'Intl Priority'!N67),2),ROUND('Intl Priority'!$N$105*(1+International_Fuel_Surcharge),2),ROUND(((1-IntPriorityDiscount-IntPriorityIncentive)*'Intl Priority'!N67)*(1+International_Fuel_Surcharge),2))</f>
        <v>371.59</v>
      </c>
      <c r="O70" s="283">
        <f>IF('Intl Priority'!$O$105&gt;ROUND(((1-IntPriorityDiscount-IntPriorityIncentive)*'Intl Priority'!O67),2),ROUND('Intl Priority'!$O$105*(1+International_Fuel_Surcharge),2),ROUND(((1-IntPriorityDiscount-IntPriorityIncentive)*'Intl Priority'!O67)*(1+International_Fuel_Surcharge),2))</f>
        <v>280.16</v>
      </c>
      <c r="P70" s="283">
        <f>IF('Intl Priority'!$P$105&gt;ROUND(((1-IntPriorityDiscount-IntPriorityIncentive)*'Intl Priority'!P67),2),ROUND('Intl Priority'!$P$105*(1+International_Fuel_Surcharge),2),ROUND(((1-IntPriorityDiscount-IntPriorityIncentive)*'Intl Priority'!P67)*(1+International_Fuel_Surcharge),2))</f>
        <v>269.6</v>
      </c>
      <c r="Q70" s="283">
        <f>IF('Intl Priority'!$Q$105&gt;ROUND(((1-PuertoRicoDiscount)*'Intl Priority'!Q67),2),ROUND('Intl Priority'!$Q$105*(1+International_Fuel_Surcharge),2),ROUND(((1-PuertoRicoDiscount)*'Intl Priority'!Q67)*(1+International_Fuel_Surcharge),2))</f>
        <v>369.11</v>
      </c>
      <c r="R70" s="138"/>
      <c r="S70" s="138"/>
      <c r="T70" s="138"/>
      <c r="U70" s="138"/>
      <c r="V70" s="138"/>
      <c r="W70" s="138"/>
      <c r="X70" s="138"/>
      <c r="Y70" s="138"/>
      <c r="Z70" s="138"/>
    </row>
    <row r="71" ht="12.75" customHeight="1">
      <c r="A71" s="274">
        <v>82.0</v>
      </c>
      <c r="B71" s="283">
        <f>IF('Intl Priority'!$B$105&gt;ROUND(((1-IntPriorityDiscount-IntPriorityIncentive)*'Intl Priority'!B68),2),ROUND('Intl Priority'!$B$105*(1+International_Fuel_Surcharge),2),ROUND(((1-IntPriorityDiscount-IntPriorityIncentive)*'Intl Priority'!B68)*(1+International_Fuel_Surcharge),2))</f>
        <v>122.13</v>
      </c>
      <c r="C71" s="283">
        <f>IF('Intl Priority'!$C$105&gt;ROUND(((1-IntPriorityDiscount-IntPriorityIncentive)*'Intl Priority'!C68),2),ROUND('Intl Priority'!$C$105*(1+International_Fuel_Surcharge),2),ROUND(((1-IntPriorityDiscount-IntPriorityIncentive)*'Intl Priority'!C68)*(1+International_Fuel_Surcharge),2))</f>
        <v>139.38</v>
      </c>
      <c r="D71" s="283">
        <f>IF('Intl Priority'!$D$105&gt;ROUND(((1-IntPriorityDiscount-IntPriorityIncentive)*'Intl Priority'!D68),2),ROUND('Intl Priority'!$D$105*(1+International_Fuel_Surcharge),2),ROUND(((1-IntPriorityDiscount-IntPriorityIncentive)*'Intl Priority'!D68)*(1+International_Fuel_Surcharge),2))</f>
        <v>138.74</v>
      </c>
      <c r="E71" s="283">
        <f>IF('Intl Priority'!$E$105&gt;ROUND(((1-IntPriorityDiscount-IntPriorityIncentive)*'Intl Priority'!E68),2),ROUND('Intl Priority'!$E$105*(1+International_Fuel_Surcharge),2),ROUND(((1-IntPriorityDiscount-IntPriorityIncentive)*'Intl Priority'!E68)*(1+International_Fuel_Surcharge),2))</f>
        <v>218.02</v>
      </c>
      <c r="F71" s="283">
        <f>IF('Intl Priority'!$F$105&gt;ROUND(((1-IntPriorityDiscount-IntPriorityIncentive)*'Intl Priority'!F68),2),ROUND('Intl Priority'!$F$105*(1+International_Fuel_Surcharge),2),ROUND(((1-IntPriorityDiscount-IntPriorityIncentive)*'Intl Priority'!F68)*(1+International_Fuel_Surcharge),2))</f>
        <v>375.83</v>
      </c>
      <c r="G71" s="283">
        <f>IF('Intl Priority'!$G$105&gt;ROUND(((1-IntPriorityDiscount-IntPriorityIncentive)*'Intl Priority'!G68),2),ROUND('Intl Priority'!$G$105*(1+International_Fuel_Surcharge),2),ROUND(((1-IntPriorityDiscount-IntPriorityIncentive)*'Intl Priority'!G68)*(1+International_Fuel_Surcharge),2))</f>
        <v>210.9</v>
      </c>
      <c r="H71" s="283">
        <f>IF('Intl Priority'!$H$105&gt;ROUND(((1-IntPriorityDiscount-IntPriorityIncentive)*'Intl Priority'!H68),2),ROUND('Intl Priority'!$H$105*(1+International_Fuel_Surcharge),2),ROUND(((1-IntPriorityDiscount-IntPriorityIncentive)*'Intl Priority'!H68)*(1+International_Fuel_Surcharge),2))</f>
        <v>209.18</v>
      </c>
      <c r="I71" s="283">
        <f>IF('Intl Priority'!$I$105&gt;ROUND(((1-IntPriorityDiscount-IntPriorityIncentive)*'Intl Priority'!I68),2),ROUND('Intl Priority'!$I$105*(1+International_Fuel_Surcharge),2),ROUND(((1-IntPriorityDiscount-IntPriorityIncentive)*'Intl Priority'!I68)*(1+International_Fuel_Surcharge),2))</f>
        <v>229.75</v>
      </c>
      <c r="J71" s="283">
        <f>IF('Intl Priority'!$J$105&gt;ROUND(((1-IntPriorityDiscount-IntPriorityIncentive)*'Intl Priority'!J68),2),ROUND('Intl Priority'!$J$105*(1+International_Fuel_Surcharge),2),ROUND(((1-IntPriorityDiscount-IntPriorityIncentive)*'Intl Priority'!J68)*(1+International_Fuel_Surcharge),2))</f>
        <v>165.35</v>
      </c>
      <c r="K71" s="283">
        <f>IF('Intl Priority'!$K$105&gt;ROUND(((1-IntPriorityDiscount-IntPriorityIncentive)*'Intl Priority'!K68),2),ROUND('Intl Priority'!$K$105*(1+International_Fuel_Surcharge),2),ROUND(((1-IntPriorityDiscount-IntPriorityIncentive)*'Intl Priority'!K68)*(1+International_Fuel_Surcharge),2))</f>
        <v>337.81</v>
      </c>
      <c r="L71" s="283">
        <f>IF('Intl Priority'!$L$105&gt;ROUND(((1-IntPriorityDiscount-IntPriorityIncentive)*'Intl Priority'!L68),2),ROUND('Intl Priority'!$L$105*(1+International_Fuel_Surcharge),2),ROUND(((1-IntPriorityDiscount-IntPriorityIncentive)*'Intl Priority'!L68)*(1+International_Fuel_Surcharge),2))</f>
        <v>265.86</v>
      </c>
      <c r="M71" s="283">
        <f>IF('Intl Priority'!$M$105&gt;ROUND(((1-IntPriorityDiscount-IntPriorityIncentive)*'Intl Priority'!M68),2),ROUND('Intl Priority'!$M$105*(1+International_Fuel_Surcharge),2),ROUND(((1-IntPriorityDiscount-IntPriorityIncentive)*'Intl Priority'!M68)*(1+International_Fuel_Surcharge),2))</f>
        <v>376.72</v>
      </c>
      <c r="N71" s="283">
        <f>IF('Intl Priority'!$N$105&gt;ROUND(((1-IntPriorityDiscount-IntPriorityIncentive)*'Intl Priority'!N68),2),ROUND('Intl Priority'!$N$105*(1+International_Fuel_Surcharge),2),ROUND(((1-IntPriorityDiscount-IntPriorityIncentive)*'Intl Priority'!N68)*(1+International_Fuel_Surcharge),2))</f>
        <v>372.35</v>
      </c>
      <c r="O71" s="283">
        <f>IF('Intl Priority'!$O$105&gt;ROUND(((1-IntPriorityDiscount-IntPriorityIncentive)*'Intl Priority'!O68),2),ROUND('Intl Priority'!$O$105*(1+International_Fuel_Surcharge),2),ROUND(((1-IntPriorityDiscount-IntPriorityIncentive)*'Intl Priority'!O68)*(1+International_Fuel_Surcharge),2))</f>
        <v>281.19</v>
      </c>
      <c r="P71" s="283">
        <f>IF('Intl Priority'!$P$105&gt;ROUND(((1-IntPriorityDiscount-IntPriorityIncentive)*'Intl Priority'!P68),2),ROUND('Intl Priority'!$P$105*(1+International_Fuel_Surcharge),2),ROUND(((1-IntPriorityDiscount-IntPriorityIncentive)*'Intl Priority'!P68)*(1+International_Fuel_Surcharge),2))</f>
        <v>269.68</v>
      </c>
      <c r="Q71" s="283">
        <f>IF('Intl Priority'!$Q$105&gt;ROUND(((1-PuertoRicoDiscount)*'Intl Priority'!Q68),2),ROUND('Intl Priority'!$Q$105*(1+International_Fuel_Surcharge),2),ROUND(((1-PuertoRicoDiscount)*'Intl Priority'!Q68)*(1+International_Fuel_Surcharge),2))</f>
        <v>375.64</v>
      </c>
      <c r="R71" s="138"/>
      <c r="S71" s="138"/>
      <c r="T71" s="138"/>
      <c r="U71" s="138"/>
      <c r="V71" s="138"/>
      <c r="W71" s="138"/>
      <c r="X71" s="138"/>
      <c r="Y71" s="138"/>
      <c r="Z71" s="138"/>
    </row>
    <row r="72" ht="12.75" customHeight="1">
      <c r="A72" s="274">
        <v>84.0</v>
      </c>
      <c r="B72" s="283">
        <f>IF('Intl Priority'!$B$105&gt;ROUND(((1-IntPriorityDiscount-IntPriorityIncentive)*'Intl Priority'!B69),2),ROUND('Intl Priority'!$B$105*(1+International_Fuel_Surcharge),2),ROUND(((1-IntPriorityDiscount-IntPriorityIncentive)*'Intl Priority'!B69)*(1+International_Fuel_Surcharge),2))</f>
        <v>122.19</v>
      </c>
      <c r="C72" s="283">
        <f>IF('Intl Priority'!$C$105&gt;ROUND(((1-IntPriorityDiscount-IntPriorityIncentive)*'Intl Priority'!C69),2),ROUND('Intl Priority'!$C$105*(1+International_Fuel_Surcharge),2),ROUND(((1-IntPriorityDiscount-IntPriorityIncentive)*'Intl Priority'!C69)*(1+International_Fuel_Surcharge),2))</f>
        <v>140.79</v>
      </c>
      <c r="D72" s="283">
        <f>IF('Intl Priority'!$D$105&gt;ROUND(((1-IntPriorityDiscount-IntPriorityIncentive)*'Intl Priority'!D69),2),ROUND('Intl Priority'!$D$105*(1+International_Fuel_Surcharge),2),ROUND(((1-IntPriorityDiscount-IntPriorityIncentive)*'Intl Priority'!D69)*(1+International_Fuel_Surcharge),2))</f>
        <v>141.05</v>
      </c>
      <c r="E72" s="283">
        <f>IF('Intl Priority'!$E$105&gt;ROUND(((1-IntPriorityDiscount-IntPriorityIncentive)*'Intl Priority'!E69),2),ROUND('Intl Priority'!$E$105*(1+International_Fuel_Surcharge),2),ROUND(((1-IntPriorityDiscount-IntPriorityIncentive)*'Intl Priority'!E69)*(1+International_Fuel_Surcharge),2))</f>
        <v>219.04</v>
      </c>
      <c r="F72" s="283">
        <f>IF('Intl Priority'!$F$105&gt;ROUND(((1-IntPriorityDiscount-IntPriorityIncentive)*'Intl Priority'!F69),2),ROUND('Intl Priority'!$F$105*(1+International_Fuel_Surcharge),2),ROUND(((1-IntPriorityDiscount-IntPriorityIncentive)*'Intl Priority'!F69)*(1+International_Fuel_Surcharge),2))</f>
        <v>383.35</v>
      </c>
      <c r="G72" s="283">
        <f>IF('Intl Priority'!$G$105&gt;ROUND(((1-IntPriorityDiscount-IntPriorityIncentive)*'Intl Priority'!G69),2),ROUND('Intl Priority'!$G$105*(1+International_Fuel_Surcharge),2),ROUND(((1-IntPriorityDiscount-IntPriorityIncentive)*'Intl Priority'!G69)*(1+International_Fuel_Surcharge),2))</f>
        <v>211.38</v>
      </c>
      <c r="H72" s="283">
        <f>IF('Intl Priority'!$H$105&gt;ROUND(((1-IntPriorityDiscount-IntPriorityIncentive)*'Intl Priority'!H69),2),ROUND('Intl Priority'!$H$105*(1+International_Fuel_Surcharge),2),ROUND(((1-IntPriorityDiscount-IntPriorityIncentive)*'Intl Priority'!H69)*(1+International_Fuel_Surcharge),2))</f>
        <v>209.6</v>
      </c>
      <c r="I72" s="283">
        <f>IF('Intl Priority'!$I$105&gt;ROUND(((1-IntPriorityDiscount-IntPriorityIncentive)*'Intl Priority'!I69),2),ROUND('Intl Priority'!$I$105*(1+International_Fuel_Surcharge),2),ROUND(((1-IntPriorityDiscount-IntPriorityIncentive)*'Intl Priority'!I69)*(1+International_Fuel_Surcharge),2))</f>
        <v>234.17</v>
      </c>
      <c r="J72" s="283">
        <f>IF('Intl Priority'!$J$105&gt;ROUND(((1-IntPriorityDiscount-IntPriorityIncentive)*'Intl Priority'!J69),2),ROUND('Intl Priority'!$J$105*(1+International_Fuel_Surcharge),2),ROUND(((1-IntPriorityDiscount-IntPriorityIncentive)*'Intl Priority'!J69)*(1+International_Fuel_Surcharge),2))</f>
        <v>167.02</v>
      </c>
      <c r="K72" s="283">
        <f>IF('Intl Priority'!$K$105&gt;ROUND(((1-IntPriorityDiscount-IntPriorityIncentive)*'Intl Priority'!K69),2),ROUND('Intl Priority'!$K$105*(1+International_Fuel_Surcharge),2),ROUND(((1-IntPriorityDiscount-IntPriorityIncentive)*'Intl Priority'!K69)*(1+International_Fuel_Surcharge),2))</f>
        <v>339.99</v>
      </c>
      <c r="L72" s="283">
        <f>IF('Intl Priority'!$L$105&gt;ROUND(((1-IntPriorityDiscount-IntPriorityIncentive)*'Intl Priority'!L69),2),ROUND('Intl Priority'!$L$105*(1+International_Fuel_Surcharge),2),ROUND(((1-IntPriorityDiscount-IntPriorityIncentive)*'Intl Priority'!L69)*(1+International_Fuel_Surcharge),2))</f>
        <v>265.91</v>
      </c>
      <c r="M72" s="283">
        <f>IF('Intl Priority'!$M$105&gt;ROUND(((1-IntPriorityDiscount-IntPriorityIncentive)*'Intl Priority'!M69),2),ROUND('Intl Priority'!$M$105*(1+International_Fuel_Surcharge),2),ROUND(((1-IntPriorityDiscount-IntPriorityIncentive)*'Intl Priority'!M69)*(1+International_Fuel_Surcharge),2))</f>
        <v>381.89</v>
      </c>
      <c r="N72" s="283">
        <f>IF('Intl Priority'!$N$105&gt;ROUND(((1-IntPriorityDiscount-IntPriorityIncentive)*'Intl Priority'!N69),2),ROUND('Intl Priority'!$N$105*(1+International_Fuel_Surcharge),2),ROUND(((1-IntPriorityDiscount-IntPriorityIncentive)*'Intl Priority'!N69)*(1+International_Fuel_Surcharge),2))</f>
        <v>373.91</v>
      </c>
      <c r="O72" s="283">
        <f>IF('Intl Priority'!$O$105&gt;ROUND(((1-IntPriorityDiscount-IntPriorityIncentive)*'Intl Priority'!O69),2),ROUND('Intl Priority'!$O$105*(1+International_Fuel_Surcharge),2),ROUND(((1-IntPriorityDiscount-IntPriorityIncentive)*'Intl Priority'!O69)*(1+International_Fuel_Surcharge),2))</f>
        <v>281.32</v>
      </c>
      <c r="P72" s="283">
        <f>IF('Intl Priority'!$P$105&gt;ROUND(((1-IntPriorityDiscount-IntPriorityIncentive)*'Intl Priority'!P69),2),ROUND('Intl Priority'!$P$105*(1+International_Fuel_Surcharge),2),ROUND(((1-IntPriorityDiscount-IntPriorityIncentive)*'Intl Priority'!P69)*(1+International_Fuel_Surcharge),2))</f>
        <v>271.21</v>
      </c>
      <c r="Q72" s="283">
        <f>IF('Intl Priority'!$Q$105&gt;ROUND(((1-PuertoRicoDiscount)*'Intl Priority'!Q69),2),ROUND('Intl Priority'!$Q$105*(1+International_Fuel_Surcharge),2),ROUND(((1-PuertoRicoDiscount)*'Intl Priority'!Q69)*(1+International_Fuel_Surcharge),2))</f>
        <v>387.19</v>
      </c>
      <c r="R72" s="138"/>
      <c r="S72" s="138"/>
      <c r="T72" s="138"/>
      <c r="U72" s="138"/>
      <c r="V72" s="138"/>
      <c r="W72" s="138"/>
      <c r="X72" s="138"/>
      <c r="Y72" s="138"/>
      <c r="Z72" s="138"/>
    </row>
    <row r="73" ht="12.75" customHeight="1">
      <c r="A73" s="274">
        <v>86.0</v>
      </c>
      <c r="B73" s="283">
        <f>IF('Intl Priority'!$B$105&gt;ROUND(((1-IntPriorityDiscount-IntPriorityIncentive)*'Intl Priority'!B70),2),ROUND('Intl Priority'!$B$105*(1+International_Fuel_Surcharge),2),ROUND(((1-IntPriorityDiscount-IntPriorityIncentive)*'Intl Priority'!B70)*(1+International_Fuel_Surcharge),2))</f>
        <v>122.24</v>
      </c>
      <c r="C73" s="283">
        <f>IF('Intl Priority'!$C$105&gt;ROUND(((1-IntPriorityDiscount-IntPriorityIncentive)*'Intl Priority'!C70),2),ROUND('Intl Priority'!$C$105*(1+International_Fuel_Surcharge),2),ROUND(((1-IntPriorityDiscount-IntPriorityIncentive)*'Intl Priority'!C70)*(1+International_Fuel_Surcharge),2))</f>
        <v>141.35</v>
      </c>
      <c r="D73" s="283">
        <f>IF('Intl Priority'!$D$105&gt;ROUND(((1-IntPriorityDiscount-IntPriorityIncentive)*'Intl Priority'!D70),2),ROUND('Intl Priority'!$D$105*(1+International_Fuel_Surcharge),2),ROUND(((1-IntPriorityDiscount-IntPriorityIncentive)*'Intl Priority'!D70)*(1+International_Fuel_Surcharge),2))</f>
        <v>145.49</v>
      </c>
      <c r="E73" s="283">
        <f>IF('Intl Priority'!$E$105&gt;ROUND(((1-IntPriorityDiscount-IntPriorityIncentive)*'Intl Priority'!E70),2),ROUND('Intl Priority'!$E$105*(1+International_Fuel_Surcharge),2),ROUND(((1-IntPriorityDiscount-IntPriorityIncentive)*'Intl Priority'!E70)*(1+International_Fuel_Surcharge),2))</f>
        <v>223.84</v>
      </c>
      <c r="F73" s="283">
        <f>IF('Intl Priority'!$F$105&gt;ROUND(((1-IntPriorityDiscount-IntPriorityIncentive)*'Intl Priority'!F70),2),ROUND('Intl Priority'!$F$105*(1+International_Fuel_Surcharge),2),ROUND(((1-IntPriorityDiscount-IntPriorityIncentive)*'Intl Priority'!F70)*(1+International_Fuel_Surcharge),2))</f>
        <v>395.04</v>
      </c>
      <c r="G73" s="283">
        <f>IF('Intl Priority'!$G$105&gt;ROUND(((1-IntPriorityDiscount-IntPriorityIncentive)*'Intl Priority'!G70),2),ROUND('Intl Priority'!$G$105*(1+International_Fuel_Surcharge),2),ROUND(((1-IntPriorityDiscount-IntPriorityIncentive)*'Intl Priority'!G70)*(1+International_Fuel_Surcharge),2))</f>
        <v>216.02</v>
      </c>
      <c r="H73" s="283">
        <f>IF('Intl Priority'!$H$105&gt;ROUND(((1-IntPriorityDiscount-IntPriorityIncentive)*'Intl Priority'!H70),2),ROUND('Intl Priority'!$H$105*(1+International_Fuel_Surcharge),2),ROUND(((1-IntPriorityDiscount-IntPriorityIncentive)*'Intl Priority'!H70)*(1+International_Fuel_Surcharge),2))</f>
        <v>217.95</v>
      </c>
      <c r="I73" s="283">
        <f>IF('Intl Priority'!$I$105&gt;ROUND(((1-IntPriorityDiscount-IntPriorityIncentive)*'Intl Priority'!I70),2),ROUND('Intl Priority'!$I$105*(1+International_Fuel_Surcharge),2),ROUND(((1-IntPriorityDiscount-IntPriorityIncentive)*'Intl Priority'!I70)*(1+International_Fuel_Surcharge),2))</f>
        <v>234.61</v>
      </c>
      <c r="J73" s="283">
        <f>IF('Intl Priority'!$J$105&gt;ROUND(((1-IntPriorityDiscount-IntPriorityIncentive)*'Intl Priority'!J70),2),ROUND('Intl Priority'!$J$105*(1+International_Fuel_Surcharge),2),ROUND(((1-IntPriorityDiscount-IntPriorityIncentive)*'Intl Priority'!J70)*(1+International_Fuel_Surcharge),2))</f>
        <v>168.06</v>
      </c>
      <c r="K73" s="283">
        <f>IF('Intl Priority'!$K$105&gt;ROUND(((1-IntPriorityDiscount-IntPriorityIncentive)*'Intl Priority'!K70),2),ROUND('Intl Priority'!$K$105*(1+International_Fuel_Surcharge),2),ROUND(((1-IntPriorityDiscount-IntPriorityIncentive)*'Intl Priority'!K70)*(1+International_Fuel_Surcharge),2))</f>
        <v>340.39</v>
      </c>
      <c r="L73" s="283">
        <f>IF('Intl Priority'!$L$105&gt;ROUND(((1-IntPriorityDiscount-IntPriorityIncentive)*'Intl Priority'!L70),2),ROUND('Intl Priority'!$L$105*(1+International_Fuel_Surcharge),2),ROUND(((1-IntPriorityDiscount-IntPriorityIncentive)*'Intl Priority'!L70)*(1+International_Fuel_Surcharge),2))</f>
        <v>265.95</v>
      </c>
      <c r="M73" s="283">
        <f>IF('Intl Priority'!$M$105&gt;ROUND(((1-IntPriorityDiscount-IntPriorityIncentive)*'Intl Priority'!M70),2),ROUND('Intl Priority'!$M$105*(1+International_Fuel_Surcharge),2),ROUND(((1-IntPriorityDiscount-IntPriorityIncentive)*'Intl Priority'!M70)*(1+International_Fuel_Surcharge),2))</f>
        <v>407.01</v>
      </c>
      <c r="N73" s="283">
        <f>IF('Intl Priority'!$N$105&gt;ROUND(((1-IntPriorityDiscount-IntPriorityIncentive)*'Intl Priority'!N70),2),ROUND('Intl Priority'!$N$105*(1+International_Fuel_Surcharge),2),ROUND(((1-IntPriorityDiscount-IntPriorityIncentive)*'Intl Priority'!N70)*(1+International_Fuel_Surcharge),2))</f>
        <v>391.06</v>
      </c>
      <c r="O73" s="283">
        <f>IF('Intl Priority'!$O$105&gt;ROUND(((1-IntPriorityDiscount-IntPriorityIncentive)*'Intl Priority'!O70),2),ROUND('Intl Priority'!$O$105*(1+International_Fuel_Surcharge),2),ROUND(((1-IntPriorityDiscount-IntPriorityIncentive)*'Intl Priority'!O70)*(1+International_Fuel_Surcharge),2))</f>
        <v>281.6</v>
      </c>
      <c r="P73" s="283">
        <f>IF('Intl Priority'!$P$105&gt;ROUND(((1-IntPriorityDiscount-IntPriorityIncentive)*'Intl Priority'!P70),2),ROUND('Intl Priority'!$P$105*(1+International_Fuel_Surcharge),2),ROUND(((1-IntPriorityDiscount-IntPriorityIncentive)*'Intl Priority'!P70)*(1+International_Fuel_Surcharge),2))</f>
        <v>301.81</v>
      </c>
      <c r="Q73" s="283">
        <f>IF('Intl Priority'!$Q$105&gt;ROUND(((1-PuertoRicoDiscount)*'Intl Priority'!Q70),2),ROUND('Intl Priority'!$Q$105*(1+International_Fuel_Surcharge),2),ROUND(((1-PuertoRicoDiscount)*'Intl Priority'!Q70)*(1+International_Fuel_Surcharge),2))</f>
        <v>388.19</v>
      </c>
      <c r="R73" s="138"/>
      <c r="S73" s="138"/>
      <c r="T73" s="138"/>
      <c r="U73" s="138"/>
      <c r="V73" s="138"/>
      <c r="W73" s="138"/>
      <c r="X73" s="138"/>
      <c r="Y73" s="138"/>
      <c r="Z73" s="138"/>
    </row>
    <row r="74" ht="12.75" customHeight="1">
      <c r="A74" s="274">
        <v>88.0</v>
      </c>
      <c r="B74" s="283">
        <f>IF('Intl Priority'!$B$105&gt;ROUND(((1-IntPriorityDiscount-IntPriorityIncentive)*'Intl Priority'!B71),2),ROUND('Intl Priority'!$B$105*(1+International_Fuel_Surcharge),2),ROUND(((1-IntPriorityDiscount-IntPriorityIncentive)*'Intl Priority'!B71)*(1+International_Fuel_Surcharge),2))</f>
        <v>122.29</v>
      </c>
      <c r="C74" s="283">
        <f>IF('Intl Priority'!$C$105&gt;ROUND(((1-IntPriorityDiscount-IntPriorityIncentive)*'Intl Priority'!C71),2),ROUND('Intl Priority'!$C$105*(1+International_Fuel_Surcharge),2),ROUND(((1-IntPriorityDiscount-IntPriorityIncentive)*'Intl Priority'!C71)*(1+International_Fuel_Surcharge),2))</f>
        <v>141.4</v>
      </c>
      <c r="D74" s="283">
        <f>IF('Intl Priority'!$D$105&gt;ROUND(((1-IntPriorityDiscount-IntPriorityIncentive)*'Intl Priority'!D71),2),ROUND('Intl Priority'!$D$105*(1+International_Fuel_Surcharge),2),ROUND(((1-IntPriorityDiscount-IntPriorityIncentive)*'Intl Priority'!D71)*(1+International_Fuel_Surcharge),2))</f>
        <v>146.15</v>
      </c>
      <c r="E74" s="283">
        <f>IF('Intl Priority'!$E$105&gt;ROUND(((1-IntPriorityDiscount-IntPriorityIncentive)*'Intl Priority'!E71),2),ROUND('Intl Priority'!$E$105*(1+International_Fuel_Surcharge),2),ROUND(((1-IntPriorityDiscount-IntPriorityIncentive)*'Intl Priority'!E71)*(1+International_Fuel_Surcharge),2))</f>
        <v>224.32</v>
      </c>
      <c r="F74" s="283">
        <f>IF('Intl Priority'!$F$105&gt;ROUND(((1-IntPriorityDiscount-IntPriorityIncentive)*'Intl Priority'!F71),2),ROUND('Intl Priority'!$F$105*(1+International_Fuel_Surcharge),2),ROUND(((1-IntPriorityDiscount-IntPriorityIncentive)*'Intl Priority'!F71)*(1+International_Fuel_Surcharge),2))</f>
        <v>396.21</v>
      </c>
      <c r="G74" s="283">
        <f>IF('Intl Priority'!$G$105&gt;ROUND(((1-IntPriorityDiscount-IntPriorityIncentive)*'Intl Priority'!G71),2),ROUND('Intl Priority'!$G$105*(1+International_Fuel_Surcharge),2),ROUND(((1-IntPriorityDiscount-IntPriorityIncentive)*'Intl Priority'!G71)*(1+International_Fuel_Surcharge),2))</f>
        <v>216.5</v>
      </c>
      <c r="H74" s="283">
        <f>IF('Intl Priority'!$H$105&gt;ROUND(((1-IntPriorityDiscount-IntPriorityIncentive)*'Intl Priority'!H71),2),ROUND('Intl Priority'!$H$105*(1+International_Fuel_Surcharge),2),ROUND(((1-IntPriorityDiscount-IntPriorityIncentive)*'Intl Priority'!H71)*(1+International_Fuel_Surcharge),2))</f>
        <v>218.79</v>
      </c>
      <c r="I74" s="283">
        <f>IF('Intl Priority'!$I$105&gt;ROUND(((1-IntPriorityDiscount-IntPriorityIncentive)*'Intl Priority'!I71),2),ROUND('Intl Priority'!$I$105*(1+International_Fuel_Surcharge),2),ROUND(((1-IntPriorityDiscount-IntPriorityIncentive)*'Intl Priority'!I71)*(1+International_Fuel_Surcharge),2))</f>
        <v>234.66</v>
      </c>
      <c r="J74" s="283">
        <f>IF('Intl Priority'!$J$105&gt;ROUND(((1-IntPriorityDiscount-IntPriorityIncentive)*'Intl Priority'!J71),2),ROUND('Intl Priority'!$J$105*(1+International_Fuel_Surcharge),2),ROUND(((1-IntPriorityDiscount-IntPriorityIncentive)*'Intl Priority'!J71)*(1+International_Fuel_Surcharge),2))</f>
        <v>175.03</v>
      </c>
      <c r="K74" s="283">
        <f>IF('Intl Priority'!$K$105&gt;ROUND(((1-IntPriorityDiscount-IntPriorityIncentive)*'Intl Priority'!K71),2),ROUND('Intl Priority'!$K$105*(1+International_Fuel_Surcharge),2),ROUND(((1-IntPriorityDiscount-IntPriorityIncentive)*'Intl Priority'!K71)*(1+International_Fuel_Surcharge),2))</f>
        <v>348.47</v>
      </c>
      <c r="L74" s="283">
        <f>IF('Intl Priority'!$L$105&gt;ROUND(((1-IntPriorityDiscount-IntPriorityIncentive)*'Intl Priority'!L71),2),ROUND('Intl Priority'!$L$105*(1+International_Fuel_Surcharge),2),ROUND(((1-IntPriorityDiscount-IntPriorityIncentive)*'Intl Priority'!L71)*(1+International_Fuel_Surcharge),2))</f>
        <v>266</v>
      </c>
      <c r="M74" s="283">
        <f>IF('Intl Priority'!$M$105&gt;ROUND(((1-IntPriorityDiscount-IntPriorityIncentive)*'Intl Priority'!M71),2),ROUND('Intl Priority'!$M$105*(1+International_Fuel_Surcharge),2),ROUND(((1-IntPriorityDiscount-IntPriorityIncentive)*'Intl Priority'!M71)*(1+International_Fuel_Surcharge),2))</f>
        <v>409.53</v>
      </c>
      <c r="N74" s="283">
        <f>IF('Intl Priority'!$N$105&gt;ROUND(((1-IntPriorityDiscount-IntPriorityIncentive)*'Intl Priority'!N71),2),ROUND('Intl Priority'!$N$105*(1+International_Fuel_Surcharge),2),ROUND(((1-IntPriorityDiscount-IntPriorityIncentive)*'Intl Priority'!N71)*(1+International_Fuel_Surcharge),2))</f>
        <v>393.31</v>
      </c>
      <c r="O74" s="283">
        <f>IF('Intl Priority'!$O$105&gt;ROUND(((1-IntPriorityDiscount-IntPriorityIncentive)*'Intl Priority'!O71),2),ROUND('Intl Priority'!$O$105*(1+International_Fuel_Surcharge),2),ROUND(((1-IntPriorityDiscount-IntPriorityIncentive)*'Intl Priority'!O71)*(1+International_Fuel_Surcharge),2))</f>
        <v>287.03</v>
      </c>
      <c r="P74" s="283">
        <f>IF('Intl Priority'!$P$105&gt;ROUND(((1-IntPriorityDiscount-IntPriorityIncentive)*'Intl Priority'!P71),2),ROUND('Intl Priority'!$P$105*(1+International_Fuel_Surcharge),2),ROUND(((1-IntPriorityDiscount-IntPriorityIncentive)*'Intl Priority'!P71)*(1+International_Fuel_Surcharge),2))</f>
        <v>304.87</v>
      </c>
      <c r="Q74" s="283">
        <f>IF('Intl Priority'!$Q$105&gt;ROUND(((1-PuertoRicoDiscount)*'Intl Priority'!Q71),2),ROUND('Intl Priority'!$Q$105*(1+International_Fuel_Surcharge),2),ROUND(((1-PuertoRicoDiscount)*'Intl Priority'!Q71)*(1+International_Fuel_Surcharge),2))</f>
        <v>400.24</v>
      </c>
      <c r="R74" s="138"/>
      <c r="S74" s="138"/>
      <c r="T74" s="138"/>
      <c r="U74" s="138"/>
      <c r="V74" s="138"/>
      <c r="W74" s="138"/>
      <c r="X74" s="138"/>
      <c r="Y74" s="138"/>
      <c r="Z74" s="138"/>
    </row>
    <row r="75" ht="12.75" customHeight="1">
      <c r="A75" s="274">
        <v>90.0</v>
      </c>
      <c r="B75" s="283">
        <f>IF('Intl Priority'!$B$105&gt;ROUND(((1-IntPriorityDiscount-IntPriorityIncentive)*'Intl Priority'!B72),2),ROUND('Intl Priority'!$B$105*(1+International_Fuel_Surcharge),2),ROUND(((1-IntPriorityDiscount-IntPriorityIncentive)*'Intl Priority'!B72)*(1+International_Fuel_Surcharge),2))</f>
        <v>122.34</v>
      </c>
      <c r="C75" s="283">
        <f>IF('Intl Priority'!$C$105&gt;ROUND(((1-IntPriorityDiscount-IntPriorityIncentive)*'Intl Priority'!C72),2),ROUND('Intl Priority'!$C$105*(1+International_Fuel_Surcharge),2),ROUND(((1-IntPriorityDiscount-IntPriorityIncentive)*'Intl Priority'!C72)*(1+International_Fuel_Surcharge),2))</f>
        <v>141.46</v>
      </c>
      <c r="D75" s="283">
        <f>IF('Intl Priority'!$D$105&gt;ROUND(((1-IntPriorityDiscount-IntPriorityIncentive)*'Intl Priority'!D72),2),ROUND('Intl Priority'!$D$105*(1+International_Fuel_Surcharge),2),ROUND(((1-IntPriorityDiscount-IntPriorityIncentive)*'Intl Priority'!D72)*(1+International_Fuel_Surcharge),2))</f>
        <v>148.07</v>
      </c>
      <c r="E75" s="283">
        <f>IF('Intl Priority'!$E$105&gt;ROUND(((1-IntPriorityDiscount-IntPriorityIncentive)*'Intl Priority'!E72),2),ROUND('Intl Priority'!$E$105*(1+International_Fuel_Surcharge),2),ROUND(((1-IntPriorityDiscount-IntPriorityIncentive)*'Intl Priority'!E72)*(1+International_Fuel_Surcharge),2))</f>
        <v>229.15</v>
      </c>
      <c r="F75" s="283">
        <f>IF('Intl Priority'!$F$105&gt;ROUND(((1-IntPriorityDiscount-IntPriorityIncentive)*'Intl Priority'!F72),2),ROUND('Intl Priority'!$F$105*(1+International_Fuel_Surcharge),2),ROUND(((1-IntPriorityDiscount-IntPriorityIncentive)*'Intl Priority'!F72)*(1+International_Fuel_Surcharge),2))</f>
        <v>402.51</v>
      </c>
      <c r="G75" s="283">
        <f>IF('Intl Priority'!$G$105&gt;ROUND(((1-IntPriorityDiscount-IntPriorityIncentive)*'Intl Priority'!G72),2),ROUND('Intl Priority'!$G$105*(1+International_Fuel_Surcharge),2),ROUND(((1-IntPriorityDiscount-IntPriorityIncentive)*'Intl Priority'!G72)*(1+International_Fuel_Surcharge),2))</f>
        <v>221.14</v>
      </c>
      <c r="H75" s="283">
        <f>IF('Intl Priority'!$H$105&gt;ROUND(((1-IntPriorityDiscount-IntPriorityIncentive)*'Intl Priority'!H72),2),ROUND('Intl Priority'!$H$105*(1+International_Fuel_Surcharge),2),ROUND(((1-IntPriorityDiscount-IntPriorityIncentive)*'Intl Priority'!H72)*(1+International_Fuel_Surcharge),2))</f>
        <v>223.49</v>
      </c>
      <c r="I75" s="283">
        <f>IF('Intl Priority'!$I$105&gt;ROUND(((1-IntPriorityDiscount-IntPriorityIncentive)*'Intl Priority'!I72),2),ROUND('Intl Priority'!$I$105*(1+International_Fuel_Surcharge),2),ROUND(((1-IntPriorityDiscount-IntPriorityIncentive)*'Intl Priority'!I72)*(1+International_Fuel_Surcharge),2))</f>
        <v>235.25</v>
      </c>
      <c r="J75" s="283">
        <f>IF('Intl Priority'!$J$105&gt;ROUND(((1-IntPriorityDiscount-IntPriorityIncentive)*'Intl Priority'!J72),2),ROUND('Intl Priority'!$J$105*(1+International_Fuel_Surcharge),2),ROUND(((1-IntPriorityDiscount-IntPriorityIncentive)*'Intl Priority'!J72)*(1+International_Fuel_Surcharge),2))</f>
        <v>175.73</v>
      </c>
      <c r="K75" s="283">
        <f>IF('Intl Priority'!$K$105&gt;ROUND(((1-IntPriorityDiscount-IntPriorityIncentive)*'Intl Priority'!K72),2),ROUND('Intl Priority'!$K$105*(1+International_Fuel_Surcharge),2),ROUND(((1-IntPriorityDiscount-IntPriorityIncentive)*'Intl Priority'!K72)*(1+International_Fuel_Surcharge),2))</f>
        <v>360.07</v>
      </c>
      <c r="L75" s="283">
        <f>IF('Intl Priority'!$L$105&gt;ROUND(((1-IntPriorityDiscount-IntPriorityIncentive)*'Intl Priority'!L72),2),ROUND('Intl Priority'!$L$105*(1+International_Fuel_Surcharge),2),ROUND(((1-IntPriorityDiscount-IntPriorityIncentive)*'Intl Priority'!L72)*(1+International_Fuel_Surcharge),2))</f>
        <v>266.08</v>
      </c>
      <c r="M75" s="283">
        <f>IF('Intl Priority'!$M$105&gt;ROUND(((1-IntPriorityDiscount-IntPriorityIncentive)*'Intl Priority'!M72),2),ROUND('Intl Priority'!$M$105*(1+International_Fuel_Surcharge),2),ROUND(((1-IntPriorityDiscount-IntPriorityIncentive)*'Intl Priority'!M72)*(1+International_Fuel_Surcharge),2))</f>
        <v>409.78</v>
      </c>
      <c r="N75" s="283">
        <f>IF('Intl Priority'!$N$105&gt;ROUND(((1-IntPriorityDiscount-IntPriorityIncentive)*'Intl Priority'!N72),2),ROUND('Intl Priority'!$N$105*(1+International_Fuel_Surcharge),2),ROUND(((1-IntPriorityDiscount-IntPriorityIncentive)*'Intl Priority'!N72)*(1+International_Fuel_Surcharge),2))</f>
        <v>393.53</v>
      </c>
      <c r="O75" s="283">
        <f>IF('Intl Priority'!$O$105&gt;ROUND(((1-IntPriorityDiscount-IntPriorityIncentive)*'Intl Priority'!O72),2),ROUND('Intl Priority'!$O$105*(1+International_Fuel_Surcharge),2),ROUND(((1-IntPriorityDiscount-IntPriorityIncentive)*'Intl Priority'!O72)*(1+International_Fuel_Surcharge),2))</f>
        <v>292.11</v>
      </c>
      <c r="P75" s="283">
        <f>IF('Intl Priority'!$P$105&gt;ROUND(((1-IntPriorityDiscount-IntPriorityIncentive)*'Intl Priority'!P72),2),ROUND('Intl Priority'!$P$105*(1+International_Fuel_Surcharge),2),ROUND(((1-IntPriorityDiscount-IntPriorityIncentive)*'Intl Priority'!P72)*(1+International_Fuel_Surcharge),2))</f>
        <v>309.74</v>
      </c>
      <c r="Q75" s="283">
        <f>IF('Intl Priority'!$Q$105&gt;ROUND(((1-PuertoRicoDiscount)*'Intl Priority'!Q72),2),ROUND('Intl Priority'!$Q$105*(1+International_Fuel_Surcharge),2),ROUND(((1-PuertoRicoDiscount)*'Intl Priority'!Q72)*(1+International_Fuel_Surcharge),2))</f>
        <v>405.6</v>
      </c>
      <c r="R75" s="138"/>
      <c r="S75" s="138"/>
      <c r="T75" s="138"/>
      <c r="U75" s="138"/>
      <c r="V75" s="138"/>
      <c r="W75" s="138"/>
      <c r="X75" s="138"/>
      <c r="Y75" s="138"/>
      <c r="Z75" s="138"/>
    </row>
    <row r="76" ht="12.75" customHeight="1">
      <c r="A76" s="274">
        <v>92.0</v>
      </c>
      <c r="B76" s="283">
        <f>IF('Intl Priority'!$B$105&gt;ROUND(((1-IntPriorityDiscount-IntPriorityIncentive)*'Intl Priority'!B73),2),ROUND('Intl Priority'!$B$105*(1+International_Fuel_Surcharge),2),ROUND(((1-IntPriorityDiscount-IntPriorityIncentive)*'Intl Priority'!B73)*(1+International_Fuel_Surcharge),2))</f>
        <v>123.37</v>
      </c>
      <c r="C76" s="283">
        <f>IF('Intl Priority'!$C$105&gt;ROUND(((1-IntPriorityDiscount-IntPriorityIncentive)*'Intl Priority'!C73),2),ROUND('Intl Priority'!$C$105*(1+International_Fuel_Surcharge),2),ROUND(((1-IntPriorityDiscount-IntPriorityIncentive)*'Intl Priority'!C73)*(1+International_Fuel_Surcharge),2))</f>
        <v>141.63</v>
      </c>
      <c r="D76" s="283">
        <f>IF('Intl Priority'!$D$105&gt;ROUND(((1-IntPriorityDiscount-IntPriorityIncentive)*'Intl Priority'!D73),2),ROUND('Intl Priority'!$D$105*(1+International_Fuel_Surcharge),2),ROUND(((1-IntPriorityDiscount-IntPriorityIncentive)*'Intl Priority'!D73)*(1+International_Fuel_Surcharge),2))</f>
        <v>148.26</v>
      </c>
      <c r="E76" s="283">
        <f>IF('Intl Priority'!$E$105&gt;ROUND(((1-IntPriorityDiscount-IntPriorityIncentive)*'Intl Priority'!E73),2),ROUND('Intl Priority'!$E$105*(1+International_Fuel_Surcharge),2),ROUND(((1-IntPriorityDiscount-IntPriorityIncentive)*'Intl Priority'!E73)*(1+International_Fuel_Surcharge),2))</f>
        <v>229.64</v>
      </c>
      <c r="F76" s="283">
        <f>IF('Intl Priority'!$F$105&gt;ROUND(((1-IntPriorityDiscount-IntPriorityIncentive)*'Intl Priority'!F73),2),ROUND('Intl Priority'!$F$105*(1+International_Fuel_Surcharge),2),ROUND(((1-IntPriorityDiscount-IntPriorityIncentive)*'Intl Priority'!F73)*(1+International_Fuel_Surcharge),2))</f>
        <v>403.14</v>
      </c>
      <c r="G76" s="283">
        <f>IF('Intl Priority'!$G$105&gt;ROUND(((1-IntPriorityDiscount-IntPriorityIncentive)*'Intl Priority'!G73),2),ROUND('Intl Priority'!$G$105*(1+International_Fuel_Surcharge),2),ROUND(((1-IntPriorityDiscount-IntPriorityIncentive)*'Intl Priority'!G73)*(1+International_Fuel_Surcharge),2))</f>
        <v>221.6</v>
      </c>
      <c r="H76" s="283">
        <f>IF('Intl Priority'!$H$105&gt;ROUND(((1-IntPriorityDiscount-IntPriorityIncentive)*'Intl Priority'!H73),2),ROUND('Intl Priority'!$H$105*(1+International_Fuel_Surcharge),2),ROUND(((1-IntPriorityDiscount-IntPriorityIncentive)*'Intl Priority'!H73)*(1+International_Fuel_Surcharge),2))</f>
        <v>223.96</v>
      </c>
      <c r="I76" s="283">
        <f>IF('Intl Priority'!$I$105&gt;ROUND(((1-IntPriorityDiscount-IntPriorityIncentive)*'Intl Priority'!I73),2),ROUND('Intl Priority'!$I$105*(1+International_Fuel_Surcharge),2),ROUND(((1-IntPriorityDiscount-IntPriorityIncentive)*'Intl Priority'!I73)*(1+International_Fuel_Surcharge),2))</f>
        <v>247.06</v>
      </c>
      <c r="J76" s="283">
        <f>IF('Intl Priority'!$J$105&gt;ROUND(((1-IntPriorityDiscount-IntPriorityIncentive)*'Intl Priority'!J73),2),ROUND('Intl Priority'!$J$105*(1+International_Fuel_Surcharge),2),ROUND(((1-IntPriorityDiscount-IntPriorityIncentive)*'Intl Priority'!J73)*(1+International_Fuel_Surcharge),2))</f>
        <v>175.8</v>
      </c>
      <c r="K76" s="283">
        <f>IF('Intl Priority'!$K$105&gt;ROUND(((1-IntPriorityDiscount-IntPriorityIncentive)*'Intl Priority'!K73),2),ROUND('Intl Priority'!$K$105*(1+International_Fuel_Surcharge),2),ROUND(((1-IntPriorityDiscount-IntPriorityIncentive)*'Intl Priority'!K73)*(1+International_Fuel_Surcharge),2))</f>
        <v>363.56</v>
      </c>
      <c r="L76" s="283">
        <f>IF('Intl Priority'!$L$105&gt;ROUND(((1-IntPriorityDiscount-IntPriorityIncentive)*'Intl Priority'!L73),2),ROUND('Intl Priority'!$L$105*(1+International_Fuel_Surcharge),2),ROUND(((1-IntPriorityDiscount-IntPriorityIncentive)*'Intl Priority'!L73)*(1+International_Fuel_Surcharge),2))</f>
        <v>267.61</v>
      </c>
      <c r="M76" s="283">
        <f>IF('Intl Priority'!$M$105&gt;ROUND(((1-IntPriorityDiscount-IntPriorityIncentive)*'Intl Priority'!M73),2),ROUND('Intl Priority'!$M$105*(1+International_Fuel_Surcharge),2),ROUND(((1-IntPriorityDiscount-IntPriorityIncentive)*'Intl Priority'!M73)*(1+International_Fuel_Surcharge),2))</f>
        <v>409.83</v>
      </c>
      <c r="N76" s="283">
        <f>IF('Intl Priority'!$N$105&gt;ROUND(((1-IntPriorityDiscount-IntPriorityIncentive)*'Intl Priority'!N73),2),ROUND('Intl Priority'!$N$105*(1+International_Fuel_Surcharge),2),ROUND(((1-IntPriorityDiscount-IntPriorityIncentive)*'Intl Priority'!N73)*(1+International_Fuel_Surcharge),2))</f>
        <v>393.58</v>
      </c>
      <c r="O76" s="283">
        <f>IF('Intl Priority'!$O$105&gt;ROUND(((1-IntPriorityDiscount-IntPriorityIncentive)*'Intl Priority'!O73),2),ROUND('Intl Priority'!$O$105*(1+International_Fuel_Surcharge),2),ROUND(((1-IntPriorityDiscount-IntPriorityIncentive)*'Intl Priority'!O73)*(1+International_Fuel_Surcharge),2))</f>
        <v>292.62</v>
      </c>
      <c r="P76" s="283">
        <f>IF('Intl Priority'!$P$105&gt;ROUND(((1-IntPriorityDiscount-IntPriorityIncentive)*'Intl Priority'!P73),2),ROUND('Intl Priority'!$P$105*(1+International_Fuel_Surcharge),2),ROUND(((1-IntPriorityDiscount-IntPriorityIncentive)*'Intl Priority'!P73)*(1+International_Fuel_Surcharge),2))</f>
        <v>310.23</v>
      </c>
      <c r="Q76" s="283">
        <f>IF('Intl Priority'!$Q$105&gt;ROUND(((1-PuertoRicoDiscount)*'Intl Priority'!Q73),2),ROUND('Intl Priority'!$Q$105*(1+International_Fuel_Surcharge),2),ROUND(((1-PuertoRicoDiscount)*'Intl Priority'!Q73)*(1+International_Fuel_Surcharge),2))</f>
        <v>413.04</v>
      </c>
      <c r="R76" s="138"/>
      <c r="S76" s="138"/>
      <c r="T76" s="138"/>
      <c r="U76" s="138"/>
      <c r="V76" s="138"/>
      <c r="W76" s="138"/>
      <c r="X76" s="138"/>
      <c r="Y76" s="138"/>
      <c r="Z76" s="138"/>
    </row>
    <row r="77" ht="12.75" customHeight="1">
      <c r="A77" s="274">
        <v>94.0</v>
      </c>
      <c r="B77" s="283">
        <f>IF('Intl Priority'!$B$105&gt;ROUND(((1-IntPriorityDiscount-IntPriorityIncentive)*'Intl Priority'!B74),2),ROUND('Intl Priority'!$B$105*(1+International_Fuel_Surcharge),2),ROUND(((1-IntPriorityDiscount-IntPriorityIncentive)*'Intl Priority'!B74)*(1+International_Fuel_Surcharge),2))</f>
        <v>123.63</v>
      </c>
      <c r="C77" s="283">
        <f>IF('Intl Priority'!$C$105&gt;ROUND(((1-IntPriorityDiscount-IntPriorityIncentive)*'Intl Priority'!C74),2),ROUND('Intl Priority'!$C$105*(1+International_Fuel_Surcharge),2),ROUND(((1-IntPriorityDiscount-IntPriorityIncentive)*'Intl Priority'!C74)*(1+International_Fuel_Surcharge),2))</f>
        <v>145.14</v>
      </c>
      <c r="D77" s="283">
        <f>IF('Intl Priority'!$D$105&gt;ROUND(((1-IntPriorityDiscount-IntPriorityIncentive)*'Intl Priority'!D74),2),ROUND('Intl Priority'!$D$105*(1+International_Fuel_Surcharge),2),ROUND(((1-IntPriorityDiscount-IntPriorityIncentive)*'Intl Priority'!D74)*(1+International_Fuel_Surcharge),2))</f>
        <v>148.33</v>
      </c>
      <c r="E77" s="283">
        <f>IF('Intl Priority'!$E$105&gt;ROUND(((1-IntPriorityDiscount-IntPriorityIncentive)*'Intl Priority'!E74),2),ROUND('Intl Priority'!$E$105*(1+International_Fuel_Surcharge),2),ROUND(((1-IntPriorityDiscount-IntPriorityIncentive)*'Intl Priority'!E74)*(1+International_Fuel_Surcharge),2))</f>
        <v>234.05</v>
      </c>
      <c r="F77" s="283">
        <f>IF('Intl Priority'!$F$105&gt;ROUND(((1-IntPriorityDiscount-IntPriorityIncentive)*'Intl Priority'!F74),2),ROUND('Intl Priority'!$F$105*(1+International_Fuel_Surcharge),2),ROUND(((1-IntPriorityDiscount-IntPriorityIncentive)*'Intl Priority'!F74)*(1+International_Fuel_Surcharge),2))</f>
        <v>403.89</v>
      </c>
      <c r="G77" s="283">
        <f>IF('Intl Priority'!$G$105&gt;ROUND(((1-IntPriorityDiscount-IntPriorityIncentive)*'Intl Priority'!G74),2),ROUND('Intl Priority'!$G$105*(1+International_Fuel_Surcharge),2),ROUND(((1-IntPriorityDiscount-IntPriorityIncentive)*'Intl Priority'!G74)*(1+International_Fuel_Surcharge),2))</f>
        <v>222.74</v>
      </c>
      <c r="H77" s="283">
        <f>IF('Intl Priority'!$H$105&gt;ROUND(((1-IntPriorityDiscount-IntPriorityIncentive)*'Intl Priority'!H74),2),ROUND('Intl Priority'!$H$105*(1+International_Fuel_Surcharge),2),ROUND(((1-IntPriorityDiscount-IntPriorityIncentive)*'Intl Priority'!H74)*(1+International_Fuel_Surcharge),2))</f>
        <v>224.45</v>
      </c>
      <c r="I77" s="283">
        <f>IF('Intl Priority'!$I$105&gt;ROUND(((1-IntPriorityDiscount-IntPriorityIncentive)*'Intl Priority'!I74),2),ROUND('Intl Priority'!$I$105*(1+International_Fuel_Surcharge),2),ROUND(((1-IntPriorityDiscount-IntPriorityIncentive)*'Intl Priority'!I74)*(1+International_Fuel_Surcharge),2))</f>
        <v>248.3</v>
      </c>
      <c r="J77" s="283">
        <f>IF('Intl Priority'!$J$105&gt;ROUND(((1-IntPriorityDiscount-IntPriorityIncentive)*'Intl Priority'!J74),2),ROUND('Intl Priority'!$J$105*(1+International_Fuel_Surcharge),2),ROUND(((1-IntPriorityDiscount-IntPriorityIncentive)*'Intl Priority'!J74)*(1+International_Fuel_Surcharge),2))</f>
        <v>175.85</v>
      </c>
      <c r="K77" s="283">
        <f>IF('Intl Priority'!$K$105&gt;ROUND(((1-IntPriorityDiscount-IntPriorityIncentive)*'Intl Priority'!K74),2),ROUND('Intl Priority'!$K$105*(1+International_Fuel_Surcharge),2),ROUND(((1-IntPriorityDiscount-IntPriorityIncentive)*'Intl Priority'!K74)*(1+International_Fuel_Surcharge),2))</f>
        <v>366.94</v>
      </c>
      <c r="L77" s="283">
        <f>IF('Intl Priority'!$L$105&gt;ROUND(((1-IntPriorityDiscount-IntPriorityIncentive)*'Intl Priority'!L74),2),ROUND('Intl Priority'!$L$105*(1+International_Fuel_Surcharge),2),ROUND(((1-IntPriorityDiscount-IntPriorityIncentive)*'Intl Priority'!L74)*(1+International_Fuel_Surcharge),2))</f>
        <v>298.21</v>
      </c>
      <c r="M77" s="283">
        <f>IF('Intl Priority'!$M$105&gt;ROUND(((1-IntPriorityDiscount-IntPriorityIncentive)*'Intl Priority'!M74),2),ROUND('Intl Priority'!$M$105*(1+International_Fuel_Surcharge),2),ROUND(((1-IntPriorityDiscount-IntPriorityIncentive)*'Intl Priority'!M74)*(1+International_Fuel_Surcharge),2))</f>
        <v>409.87</v>
      </c>
      <c r="N77" s="283">
        <f>IF('Intl Priority'!$N$105&gt;ROUND(((1-IntPriorityDiscount-IntPriorityIncentive)*'Intl Priority'!N74),2),ROUND('Intl Priority'!$N$105*(1+International_Fuel_Surcharge),2),ROUND(((1-IntPriorityDiscount-IntPriorityIncentive)*'Intl Priority'!N74)*(1+International_Fuel_Surcharge),2))</f>
        <v>393.63</v>
      </c>
      <c r="O77" s="283">
        <f>IF('Intl Priority'!$O$105&gt;ROUND(((1-IntPriorityDiscount-IntPriorityIncentive)*'Intl Priority'!O74),2),ROUND('Intl Priority'!$O$105*(1+International_Fuel_Surcharge),2),ROUND(((1-IntPriorityDiscount-IntPriorityIncentive)*'Intl Priority'!O74)*(1+International_Fuel_Surcharge),2))</f>
        <v>293.36</v>
      </c>
      <c r="P77" s="283">
        <f>IF('Intl Priority'!$P$105&gt;ROUND(((1-IntPriorityDiscount-IntPriorityIncentive)*'Intl Priority'!P74),2),ROUND('Intl Priority'!$P$105*(1+International_Fuel_Surcharge),2),ROUND(((1-IntPriorityDiscount-IntPriorityIncentive)*'Intl Priority'!P74)*(1+International_Fuel_Surcharge),2))</f>
        <v>310.28</v>
      </c>
      <c r="Q77" s="283">
        <f>IF('Intl Priority'!$Q$105&gt;ROUND(((1-PuertoRicoDiscount)*'Intl Priority'!Q74),2),ROUND('Intl Priority'!$Q$105*(1+International_Fuel_Surcharge),2),ROUND(((1-PuertoRicoDiscount)*'Intl Priority'!Q74)*(1+International_Fuel_Surcharge),2))</f>
        <v>413.13</v>
      </c>
      <c r="R77" s="138"/>
      <c r="S77" s="138"/>
      <c r="T77" s="138"/>
      <c r="U77" s="138"/>
      <c r="V77" s="138"/>
      <c r="W77" s="138"/>
      <c r="X77" s="138"/>
      <c r="Y77" s="138"/>
      <c r="Z77" s="138"/>
    </row>
    <row r="78" ht="12.75" customHeight="1">
      <c r="A78" s="274">
        <v>96.0</v>
      </c>
      <c r="B78" s="283">
        <f>IF('Intl Priority'!$B$105&gt;ROUND(((1-IntPriorityDiscount-IntPriorityIncentive)*'Intl Priority'!B75),2),ROUND('Intl Priority'!$B$105*(1+International_Fuel_Surcharge),2),ROUND(((1-IntPriorityDiscount-IntPriorityIncentive)*'Intl Priority'!B75)*(1+International_Fuel_Surcharge),2))</f>
        <v>126.89</v>
      </c>
      <c r="C78" s="283">
        <f>IF('Intl Priority'!$C$105&gt;ROUND(((1-IntPriorityDiscount-IntPriorityIncentive)*'Intl Priority'!C75),2),ROUND('Intl Priority'!$C$105*(1+International_Fuel_Surcharge),2),ROUND(((1-IntPriorityDiscount-IntPriorityIncentive)*'Intl Priority'!C75)*(1+International_Fuel_Surcharge),2))</f>
        <v>147.84</v>
      </c>
      <c r="D78" s="283">
        <f>IF('Intl Priority'!$D$105&gt;ROUND(((1-IntPriorityDiscount-IntPriorityIncentive)*'Intl Priority'!D75),2),ROUND('Intl Priority'!$D$105*(1+International_Fuel_Surcharge),2),ROUND(((1-IntPriorityDiscount-IntPriorityIncentive)*'Intl Priority'!D75)*(1+International_Fuel_Surcharge),2))</f>
        <v>148.39</v>
      </c>
      <c r="E78" s="283">
        <f>IF('Intl Priority'!$E$105&gt;ROUND(((1-IntPriorityDiscount-IntPriorityIncentive)*'Intl Priority'!E75),2),ROUND('Intl Priority'!$E$105*(1+International_Fuel_Surcharge),2),ROUND(((1-IntPriorityDiscount-IntPriorityIncentive)*'Intl Priority'!E75)*(1+International_Fuel_Surcharge),2))</f>
        <v>234.49</v>
      </c>
      <c r="F78" s="283">
        <f>IF('Intl Priority'!$F$105&gt;ROUND(((1-IntPriorityDiscount-IntPriorityIncentive)*'Intl Priority'!F75),2),ROUND('Intl Priority'!$F$105*(1+International_Fuel_Surcharge),2),ROUND(((1-IntPriorityDiscount-IntPriorityIncentive)*'Intl Priority'!F75)*(1+International_Fuel_Surcharge),2))</f>
        <v>407.54</v>
      </c>
      <c r="G78" s="283">
        <f>IF('Intl Priority'!$G$105&gt;ROUND(((1-IntPriorityDiscount-IntPriorityIncentive)*'Intl Priority'!G75),2),ROUND('Intl Priority'!$G$105*(1+International_Fuel_Surcharge),2),ROUND(((1-IntPriorityDiscount-IntPriorityIncentive)*'Intl Priority'!G75)*(1+International_Fuel_Surcharge),2))</f>
        <v>227.41</v>
      </c>
      <c r="H78" s="283">
        <f>IF('Intl Priority'!$H$105&gt;ROUND(((1-IntPriorityDiscount-IntPriorityIncentive)*'Intl Priority'!H75),2),ROUND('Intl Priority'!$H$105*(1+International_Fuel_Surcharge),2),ROUND(((1-IntPriorityDiscount-IntPriorityIncentive)*'Intl Priority'!H75)*(1+International_Fuel_Surcharge),2))</f>
        <v>224.56</v>
      </c>
      <c r="I78" s="283">
        <f>IF('Intl Priority'!$I$105&gt;ROUND(((1-IntPriorityDiscount-IntPriorityIncentive)*'Intl Priority'!I75),2),ROUND('Intl Priority'!$I$105*(1+International_Fuel_Surcharge),2),ROUND(((1-IntPriorityDiscount-IntPriorityIncentive)*'Intl Priority'!I75)*(1+International_Fuel_Surcharge),2))</f>
        <v>265.86</v>
      </c>
      <c r="J78" s="283">
        <f>IF('Intl Priority'!$J$105&gt;ROUND(((1-IntPriorityDiscount-IntPriorityIncentive)*'Intl Priority'!J75),2),ROUND('Intl Priority'!$J$105*(1+International_Fuel_Surcharge),2),ROUND(((1-IntPriorityDiscount-IntPriorityIncentive)*'Intl Priority'!J75)*(1+International_Fuel_Surcharge),2))</f>
        <v>175.9</v>
      </c>
      <c r="K78" s="283">
        <f>IF('Intl Priority'!$K$105&gt;ROUND(((1-IntPriorityDiscount-IntPriorityIncentive)*'Intl Priority'!K75),2),ROUND('Intl Priority'!$K$105*(1+International_Fuel_Surcharge),2),ROUND(((1-IntPriorityDiscount-IntPriorityIncentive)*'Intl Priority'!K75)*(1+International_Fuel_Surcharge),2))</f>
        <v>372.21</v>
      </c>
      <c r="L78" s="283">
        <f>IF('Intl Priority'!$L$105&gt;ROUND(((1-IntPriorityDiscount-IntPriorityIncentive)*'Intl Priority'!L75),2),ROUND('Intl Priority'!$L$105*(1+International_Fuel_Surcharge),2),ROUND(((1-IntPriorityDiscount-IntPriorityIncentive)*'Intl Priority'!L75)*(1+International_Fuel_Surcharge),2))</f>
        <v>302.19</v>
      </c>
      <c r="M78" s="283">
        <f>IF('Intl Priority'!$M$105&gt;ROUND(((1-IntPriorityDiscount-IntPriorityIncentive)*'Intl Priority'!M75),2),ROUND('Intl Priority'!$M$105*(1+International_Fuel_Surcharge),2),ROUND(((1-IntPriorityDiscount-IntPriorityIncentive)*'Intl Priority'!M75)*(1+International_Fuel_Surcharge),2))</f>
        <v>410.52</v>
      </c>
      <c r="N78" s="283">
        <f>IF('Intl Priority'!$N$105&gt;ROUND(((1-IntPriorityDiscount-IntPriorityIncentive)*'Intl Priority'!N75),2),ROUND('Intl Priority'!$N$105*(1+International_Fuel_Surcharge),2),ROUND(((1-IntPriorityDiscount-IntPriorityIncentive)*'Intl Priority'!N75)*(1+International_Fuel_Surcharge),2))</f>
        <v>394.5</v>
      </c>
      <c r="O78" s="283">
        <f>IF('Intl Priority'!$O$105&gt;ROUND(((1-IntPriorityDiscount-IntPriorityIncentive)*'Intl Priority'!O75),2),ROUND('Intl Priority'!$O$105*(1+International_Fuel_Surcharge),2),ROUND(((1-IntPriorityDiscount-IntPriorityIncentive)*'Intl Priority'!O75)*(1+International_Fuel_Surcharge),2))</f>
        <v>298.94</v>
      </c>
      <c r="P78" s="283">
        <f>IF('Intl Priority'!$P$105&gt;ROUND(((1-IntPriorityDiscount-IntPriorityIncentive)*'Intl Priority'!P75),2),ROUND('Intl Priority'!$P$105*(1+International_Fuel_Surcharge),2),ROUND(((1-IntPriorityDiscount-IntPriorityIncentive)*'Intl Priority'!P75)*(1+International_Fuel_Surcharge),2))</f>
        <v>310.32</v>
      </c>
      <c r="Q78" s="283">
        <f>IF('Intl Priority'!$Q$105&gt;ROUND(((1-PuertoRicoDiscount)*'Intl Priority'!Q75),2),ROUND('Intl Priority'!$Q$105*(1+International_Fuel_Surcharge),2),ROUND(((1-PuertoRicoDiscount)*'Intl Priority'!Q75)*(1+International_Fuel_Surcharge),2))</f>
        <v>420.14</v>
      </c>
      <c r="R78" s="34"/>
      <c r="S78" s="34"/>
      <c r="T78" s="34"/>
      <c r="U78" s="34"/>
      <c r="V78" s="34"/>
      <c r="W78" s="34"/>
      <c r="X78" s="34"/>
      <c r="Y78" s="34"/>
      <c r="Z78" s="34"/>
    </row>
    <row r="79" ht="12.75" customHeight="1">
      <c r="A79" s="274">
        <v>98.0</v>
      </c>
      <c r="B79" s="283">
        <f>IF('Intl Priority'!$B$105&gt;ROUND(((1-IntPriorityDiscount-IntPriorityIncentive)*'Intl Priority'!B76),2),ROUND('Intl Priority'!$B$105*(1+International_Fuel_Surcharge),2),ROUND(((1-IntPriorityDiscount-IntPriorityIncentive)*'Intl Priority'!B76)*(1+International_Fuel_Surcharge),2))</f>
        <v>127.21</v>
      </c>
      <c r="C79" s="283">
        <f>IF('Intl Priority'!$C$105&gt;ROUND(((1-IntPriorityDiscount-IntPriorityIncentive)*'Intl Priority'!C76),2),ROUND('Intl Priority'!$C$105*(1+International_Fuel_Surcharge),2),ROUND(((1-IntPriorityDiscount-IntPriorityIncentive)*'Intl Priority'!C76)*(1+International_Fuel_Surcharge),2))</f>
        <v>148.72</v>
      </c>
      <c r="D79" s="283">
        <f>IF('Intl Priority'!$D$105&gt;ROUND(((1-IntPriorityDiscount-IntPriorityIncentive)*'Intl Priority'!D76),2),ROUND('Intl Priority'!$D$105*(1+International_Fuel_Surcharge),2),ROUND(((1-IntPriorityDiscount-IntPriorityIncentive)*'Intl Priority'!D76)*(1+International_Fuel_Surcharge),2))</f>
        <v>148.44</v>
      </c>
      <c r="E79" s="283">
        <f>IF('Intl Priority'!$E$105&gt;ROUND(((1-IntPriorityDiscount-IntPriorityIncentive)*'Intl Priority'!E76),2),ROUND('Intl Priority'!$E$105*(1+International_Fuel_Surcharge),2),ROUND(((1-IntPriorityDiscount-IntPriorityIncentive)*'Intl Priority'!E76)*(1+International_Fuel_Surcharge),2))</f>
        <v>239.32</v>
      </c>
      <c r="F79" s="283">
        <f>IF('Intl Priority'!$F$105&gt;ROUND(((1-IntPriorityDiscount-IntPriorityIncentive)*'Intl Priority'!F76),2),ROUND('Intl Priority'!$F$105*(1+International_Fuel_Surcharge),2),ROUND(((1-IntPriorityDiscount-IntPriorityIncentive)*'Intl Priority'!F76)*(1+International_Fuel_Surcharge),2))</f>
        <v>408.99</v>
      </c>
      <c r="G79" s="283">
        <f>IF('Intl Priority'!$G$105&gt;ROUND(((1-IntPriorityDiscount-IntPriorityIncentive)*'Intl Priority'!G76),2),ROUND('Intl Priority'!$G$105*(1+International_Fuel_Surcharge),2),ROUND(((1-IntPriorityDiscount-IntPriorityIncentive)*'Intl Priority'!G76)*(1+International_Fuel_Surcharge),2))</f>
        <v>230.97</v>
      </c>
      <c r="H79" s="283">
        <f>IF('Intl Priority'!$H$105&gt;ROUND(((1-IntPriorityDiscount-IntPriorityIncentive)*'Intl Priority'!H76),2),ROUND('Intl Priority'!$H$105*(1+International_Fuel_Surcharge),2),ROUND(((1-IntPriorityDiscount-IntPriorityIncentive)*'Intl Priority'!H76)*(1+International_Fuel_Surcharge),2))</f>
        <v>225.01</v>
      </c>
      <c r="I79" s="283">
        <f>IF('Intl Priority'!$I$105&gt;ROUND(((1-IntPriorityDiscount-IntPriorityIncentive)*'Intl Priority'!I76),2),ROUND('Intl Priority'!$I$105*(1+International_Fuel_Surcharge),2),ROUND(((1-IntPriorityDiscount-IntPriorityIncentive)*'Intl Priority'!I76)*(1+International_Fuel_Surcharge),2))</f>
        <v>267.62</v>
      </c>
      <c r="J79" s="283">
        <f>IF('Intl Priority'!$J$105&gt;ROUND(((1-IntPriorityDiscount-IntPriorityIncentive)*'Intl Priority'!J76),2),ROUND('Intl Priority'!$J$105*(1+International_Fuel_Surcharge),2),ROUND(((1-IntPriorityDiscount-IntPriorityIncentive)*'Intl Priority'!J76)*(1+International_Fuel_Surcharge),2))</f>
        <v>176.43</v>
      </c>
      <c r="K79" s="283">
        <f>IF('Intl Priority'!$K$105&gt;ROUND(((1-IntPriorityDiscount-IntPriorityIncentive)*'Intl Priority'!K76),2),ROUND('Intl Priority'!$K$105*(1+International_Fuel_Surcharge),2),ROUND(((1-IntPriorityDiscount-IntPriorityIncentive)*'Intl Priority'!K76)*(1+International_Fuel_Surcharge),2))</f>
        <v>373.95</v>
      </c>
      <c r="L79" s="283">
        <f>IF('Intl Priority'!$L$105&gt;ROUND(((1-IntPriorityDiscount-IntPriorityIncentive)*'Intl Priority'!L76),2),ROUND('Intl Priority'!$L$105*(1+International_Fuel_Surcharge),2),ROUND(((1-IntPriorityDiscount-IntPriorityIncentive)*'Intl Priority'!L76)*(1+International_Fuel_Surcharge),2))</f>
        <v>302.59</v>
      </c>
      <c r="M79" s="283">
        <f>IF('Intl Priority'!$M$105&gt;ROUND(((1-IntPriorityDiscount-IntPriorityIncentive)*'Intl Priority'!M76),2),ROUND('Intl Priority'!$M$105*(1+International_Fuel_Surcharge),2),ROUND(((1-IntPriorityDiscount-IntPriorityIncentive)*'Intl Priority'!M76)*(1+International_Fuel_Surcharge),2))</f>
        <v>411.85</v>
      </c>
      <c r="N79" s="283">
        <f>IF('Intl Priority'!$N$105&gt;ROUND(((1-IntPriorityDiscount-IntPriorityIncentive)*'Intl Priority'!N76),2),ROUND('Intl Priority'!$N$105*(1+International_Fuel_Surcharge),2),ROUND(((1-IntPriorityDiscount-IntPriorityIncentive)*'Intl Priority'!N76)*(1+International_Fuel_Surcharge),2))</f>
        <v>394.59</v>
      </c>
      <c r="O79" s="283">
        <f>IF('Intl Priority'!$O$105&gt;ROUND(((1-IntPriorityDiscount-IntPriorityIncentive)*'Intl Priority'!O76),2),ROUND('Intl Priority'!$O$105*(1+International_Fuel_Surcharge),2),ROUND(((1-IntPriorityDiscount-IntPriorityIncentive)*'Intl Priority'!O76)*(1+International_Fuel_Surcharge),2))</f>
        <v>301.27</v>
      </c>
      <c r="P79" s="283">
        <f>IF('Intl Priority'!$P$105&gt;ROUND(((1-IntPriorityDiscount-IntPriorityIncentive)*'Intl Priority'!P76),2),ROUND('Intl Priority'!$P$105*(1+International_Fuel_Surcharge),2),ROUND(((1-IntPriorityDiscount-IntPriorityIncentive)*'Intl Priority'!P76)*(1+International_Fuel_Surcharge),2))</f>
        <v>310.37</v>
      </c>
      <c r="Q79" s="283">
        <f>IF('Intl Priority'!$Q$105&gt;ROUND(((1-PuertoRicoDiscount)*'Intl Priority'!Q76),2),ROUND('Intl Priority'!$Q$105*(1+International_Fuel_Surcharge),2),ROUND(((1-PuertoRicoDiscount)*'Intl Priority'!Q76)*(1+International_Fuel_Surcharge),2))</f>
        <v>420.38</v>
      </c>
      <c r="R79" s="138"/>
      <c r="S79" s="138"/>
      <c r="T79" s="138"/>
      <c r="U79" s="138"/>
      <c r="V79" s="138"/>
      <c r="W79" s="138"/>
      <c r="X79" s="138"/>
      <c r="Y79" s="138"/>
      <c r="Z79" s="138"/>
    </row>
    <row r="80" ht="12.75" customHeight="1">
      <c r="A80" s="274">
        <v>100.0</v>
      </c>
      <c r="B80" s="283">
        <f>IF('Intl Priority'!$B$105&gt;ROUND(((1-IntPriorityDiscount-IntPriorityIncentive)*'Intl Priority'!B77),2),ROUND('Intl Priority'!$B$105*(1+International_Fuel_Surcharge),2),ROUND(((1-IntPriorityDiscount-IntPriorityIncentive)*'Intl Priority'!B77)*(1+International_Fuel_Surcharge),2))</f>
        <v>130.11</v>
      </c>
      <c r="C80" s="283">
        <f>IF('Intl Priority'!$C$105&gt;ROUND(((1-IntPriorityDiscount-IntPriorityIncentive)*'Intl Priority'!C77),2),ROUND('Intl Priority'!$C$105*(1+International_Fuel_Surcharge),2),ROUND(((1-IntPriorityDiscount-IntPriorityIncentive)*'Intl Priority'!C77)*(1+International_Fuel_Surcharge),2))</f>
        <v>150.08</v>
      </c>
      <c r="D80" s="283">
        <f>IF('Intl Priority'!$D$105&gt;ROUND(((1-IntPriorityDiscount-IntPriorityIncentive)*'Intl Priority'!D77),2),ROUND('Intl Priority'!$D$105*(1+International_Fuel_Surcharge),2),ROUND(((1-IntPriorityDiscount-IntPriorityIncentive)*'Intl Priority'!D77)*(1+International_Fuel_Surcharge),2))</f>
        <v>148.49</v>
      </c>
      <c r="E80" s="283">
        <f>IF('Intl Priority'!$E$105&gt;ROUND(((1-IntPriorityDiscount-IntPriorityIncentive)*'Intl Priority'!E77),2),ROUND('Intl Priority'!$E$105*(1+International_Fuel_Surcharge),2),ROUND(((1-IntPriorityDiscount-IntPriorityIncentive)*'Intl Priority'!E77)*(1+International_Fuel_Surcharge),2))</f>
        <v>244.46</v>
      </c>
      <c r="F80" s="283">
        <f>IF('Intl Priority'!$F$105&gt;ROUND(((1-IntPriorityDiscount-IntPriorityIncentive)*'Intl Priority'!F77),2),ROUND('Intl Priority'!$F$105*(1+International_Fuel_Surcharge),2),ROUND(((1-IntPriorityDiscount-IntPriorityIncentive)*'Intl Priority'!F77)*(1+International_Fuel_Surcharge),2))</f>
        <v>409.13</v>
      </c>
      <c r="G80" s="283">
        <f>IF('Intl Priority'!$G$105&gt;ROUND(((1-IntPriorityDiscount-IntPriorityIncentive)*'Intl Priority'!G77),2),ROUND('Intl Priority'!$G$105*(1+International_Fuel_Surcharge),2),ROUND(((1-IntPriorityDiscount-IntPriorityIncentive)*'Intl Priority'!G77)*(1+International_Fuel_Surcharge),2))</f>
        <v>231.43</v>
      </c>
      <c r="H80" s="283">
        <f>IF('Intl Priority'!$H$105&gt;ROUND(((1-IntPriorityDiscount-IntPriorityIncentive)*'Intl Priority'!H77),2),ROUND('Intl Priority'!$H$105*(1+International_Fuel_Surcharge),2),ROUND(((1-IntPriorityDiscount-IntPriorityIncentive)*'Intl Priority'!H77)*(1+International_Fuel_Surcharge),2))</f>
        <v>233.87</v>
      </c>
      <c r="I80" s="283">
        <f>IF('Intl Priority'!$I$105&gt;ROUND(((1-IntPriorityDiscount-IntPriorityIncentive)*'Intl Priority'!I77),2),ROUND('Intl Priority'!$I$105*(1+International_Fuel_Surcharge),2),ROUND(((1-IntPriorityDiscount-IntPriorityIncentive)*'Intl Priority'!I77)*(1+International_Fuel_Surcharge),2))</f>
        <v>267.79</v>
      </c>
      <c r="J80" s="283">
        <f>IF('Intl Priority'!$J$105&gt;ROUND(((1-IntPriorityDiscount-IntPriorityIncentive)*'Intl Priority'!J77),2),ROUND('Intl Priority'!$J$105*(1+International_Fuel_Surcharge),2),ROUND(((1-IntPriorityDiscount-IntPriorityIncentive)*'Intl Priority'!J77)*(1+International_Fuel_Surcharge),2))</f>
        <v>186.93</v>
      </c>
      <c r="K80" s="283">
        <f>IF('Intl Priority'!$K$105&gt;ROUND(((1-IntPriorityDiscount-IntPriorityIncentive)*'Intl Priority'!K77),2),ROUND('Intl Priority'!$K$105*(1+International_Fuel_Surcharge),2),ROUND(((1-IntPriorityDiscount-IntPriorityIncentive)*'Intl Priority'!K77)*(1+International_Fuel_Surcharge),2))</f>
        <v>374.13</v>
      </c>
      <c r="L80" s="283">
        <f>IF('Intl Priority'!$L$105&gt;ROUND(((1-IntPriorityDiscount-IntPriorityIncentive)*'Intl Priority'!L77),2),ROUND('Intl Priority'!$L$105*(1+International_Fuel_Surcharge),2),ROUND(((1-IntPriorityDiscount-IntPriorityIncentive)*'Intl Priority'!L77)*(1+International_Fuel_Surcharge),2))</f>
        <v>302.85</v>
      </c>
      <c r="M80" s="283">
        <f>IF('Intl Priority'!$M$105&gt;ROUND(((1-IntPriorityDiscount-IntPriorityIncentive)*'Intl Priority'!M77),2),ROUND('Intl Priority'!$M$105*(1+International_Fuel_Surcharge),2),ROUND(((1-IntPriorityDiscount-IntPriorityIncentive)*'Intl Priority'!M77)*(1+International_Fuel_Surcharge),2))</f>
        <v>428.41</v>
      </c>
      <c r="N80" s="283">
        <f>IF('Intl Priority'!$N$105&gt;ROUND(((1-IntPriorityDiscount-IntPriorityIncentive)*'Intl Priority'!N77),2),ROUND('Intl Priority'!$N$105*(1+International_Fuel_Surcharge),2),ROUND(((1-IntPriorityDiscount-IntPriorityIncentive)*'Intl Priority'!N77)*(1+International_Fuel_Surcharge),2))</f>
        <v>394.63</v>
      </c>
      <c r="O80" s="283">
        <f>IF('Intl Priority'!$O$105&gt;ROUND(((1-IntPriorityDiscount-IntPriorityIncentive)*'Intl Priority'!O77),2),ROUND('Intl Priority'!$O$105*(1+International_Fuel_Surcharge),2),ROUND(((1-IntPriorityDiscount-IntPriorityIncentive)*'Intl Priority'!O77)*(1+International_Fuel_Surcharge),2))</f>
        <v>302.66</v>
      </c>
      <c r="P80" s="283">
        <f>IF('Intl Priority'!$P$105&gt;ROUND(((1-IntPriorityDiscount-IntPriorityIncentive)*'Intl Priority'!P77),2),ROUND('Intl Priority'!$P$105*(1+International_Fuel_Surcharge),2),ROUND(((1-IntPriorityDiscount-IntPriorityIncentive)*'Intl Priority'!P77)*(1+International_Fuel_Surcharge),2))</f>
        <v>311.25</v>
      </c>
      <c r="Q80" s="283">
        <f>IF('Intl Priority'!$Q$105&gt;ROUND(((1-PuertoRicoDiscount)*'Intl Priority'!Q77),2),ROUND('Intl Priority'!$Q$105*(1+International_Fuel_Surcharge),2),ROUND(((1-PuertoRicoDiscount)*'Intl Priority'!Q77)*(1+International_Fuel_Surcharge),2))</f>
        <v>420.45</v>
      </c>
      <c r="R80" s="138"/>
      <c r="S80" s="138"/>
      <c r="T80" s="138"/>
      <c r="U80" s="138"/>
      <c r="V80" s="138"/>
      <c r="W80" s="138"/>
      <c r="X80" s="138"/>
      <c r="Y80" s="138"/>
      <c r="Z80" s="138"/>
    </row>
    <row r="81" ht="12.75" customHeight="1">
      <c r="A81" s="274">
        <v>105.0</v>
      </c>
      <c r="B81" s="283">
        <f>IF('Intl Priority'!$B$105&gt;ROUND(((1-IntPriorityDiscount-IntPriorityIncentive)*'Intl Priority'!B78),2),ROUND('Intl Priority'!$B$105*(1+International_Fuel_Surcharge),2),ROUND(((1-IntPriorityDiscount-IntPriorityIncentive)*'Intl Priority'!B78)*(1+International_Fuel_Surcharge),2))</f>
        <v>136.97</v>
      </c>
      <c r="C81" s="283">
        <f>IF('Intl Priority'!$C$105&gt;ROUND(((1-IntPriorityDiscount-IntPriorityIncentive)*'Intl Priority'!C78),2),ROUND('Intl Priority'!$C$105*(1+International_Fuel_Surcharge),2),ROUND(((1-IntPriorityDiscount-IntPriorityIncentive)*'Intl Priority'!C78)*(1+International_Fuel_Surcharge),2))</f>
        <v>150.23</v>
      </c>
      <c r="D81" s="283">
        <f>IF('Intl Priority'!$D$105&gt;ROUND(((1-IntPriorityDiscount-IntPriorityIncentive)*'Intl Priority'!D78),2),ROUND('Intl Priority'!$D$105*(1+International_Fuel_Surcharge),2),ROUND(((1-IntPriorityDiscount-IntPriorityIncentive)*'Intl Priority'!D78)*(1+International_Fuel_Surcharge),2))</f>
        <v>148.71</v>
      </c>
      <c r="E81" s="283">
        <f>IF('Intl Priority'!$E$105&gt;ROUND(((1-IntPriorityDiscount-IntPriorityIncentive)*'Intl Priority'!E78),2),ROUND('Intl Priority'!$E$105*(1+International_Fuel_Surcharge),2),ROUND(((1-IntPriorityDiscount-IntPriorityIncentive)*'Intl Priority'!E78)*(1+International_Fuel_Surcharge),2))</f>
        <v>244.97</v>
      </c>
      <c r="F81" s="283">
        <f>IF('Intl Priority'!$F$105&gt;ROUND(((1-IntPriorityDiscount-IntPriorityIncentive)*'Intl Priority'!F78),2),ROUND('Intl Priority'!$F$105*(1+International_Fuel_Surcharge),2),ROUND(((1-IntPriorityDiscount-IntPriorityIncentive)*'Intl Priority'!F78)*(1+International_Fuel_Surcharge),2))</f>
        <v>412.04</v>
      </c>
      <c r="G81" s="283">
        <f>IF('Intl Priority'!$G$105&gt;ROUND(((1-IntPriorityDiscount-IntPriorityIncentive)*'Intl Priority'!G78),2),ROUND('Intl Priority'!$G$105*(1+International_Fuel_Surcharge),2),ROUND(((1-IntPriorityDiscount-IntPriorityIncentive)*'Intl Priority'!G78)*(1+International_Fuel_Surcharge),2))</f>
        <v>236.08</v>
      </c>
      <c r="H81" s="283">
        <f>IF('Intl Priority'!$H$105&gt;ROUND(((1-IntPriorityDiscount-IntPriorityIncentive)*'Intl Priority'!H78),2),ROUND('Intl Priority'!$H$105*(1+International_Fuel_Surcharge),2),ROUND(((1-IntPriorityDiscount-IntPriorityIncentive)*'Intl Priority'!H78)*(1+International_Fuel_Surcharge),2))</f>
        <v>238.58</v>
      </c>
      <c r="I81" s="283">
        <f>IF('Intl Priority'!$I$105&gt;ROUND(((1-IntPriorityDiscount-IntPriorityIncentive)*'Intl Priority'!I78),2),ROUND('Intl Priority'!$I$105*(1+International_Fuel_Surcharge),2),ROUND(((1-IntPriorityDiscount-IntPriorityIncentive)*'Intl Priority'!I78)*(1+International_Fuel_Surcharge),2))</f>
        <v>267.85</v>
      </c>
      <c r="J81" s="283">
        <f>IF('Intl Priority'!$J$105&gt;ROUND(((1-IntPriorityDiscount-IntPriorityIncentive)*'Intl Priority'!J78),2),ROUND('Intl Priority'!$J$105*(1+International_Fuel_Surcharge),2),ROUND(((1-IntPriorityDiscount-IntPriorityIncentive)*'Intl Priority'!J78)*(1+International_Fuel_Surcharge),2))</f>
        <v>188.85</v>
      </c>
      <c r="K81" s="283">
        <f>IF('Intl Priority'!$K$105&gt;ROUND(((1-IntPriorityDiscount-IntPriorityIncentive)*'Intl Priority'!K78),2),ROUND('Intl Priority'!$K$105*(1+International_Fuel_Surcharge),2),ROUND(((1-IntPriorityDiscount-IntPriorityIncentive)*'Intl Priority'!K78)*(1+International_Fuel_Surcharge),2))</f>
        <v>374.52</v>
      </c>
      <c r="L81" s="283">
        <f>IF('Intl Priority'!$L$105&gt;ROUND(((1-IntPriorityDiscount-IntPriorityIncentive)*'Intl Priority'!L78),2),ROUND('Intl Priority'!$L$105*(1+International_Fuel_Surcharge),2),ROUND(((1-IntPriorityDiscount-IntPriorityIncentive)*'Intl Priority'!L78)*(1+International_Fuel_Surcharge),2))</f>
        <v>308.07</v>
      </c>
      <c r="M81" s="283">
        <f>IF('Intl Priority'!$M$105&gt;ROUND(((1-IntPriorityDiscount-IntPriorityIncentive)*'Intl Priority'!M78),2),ROUND('Intl Priority'!$M$105*(1+International_Fuel_Surcharge),2),ROUND(((1-IntPriorityDiscount-IntPriorityIncentive)*'Intl Priority'!M78)*(1+International_Fuel_Surcharge),2))</f>
        <v>440.99</v>
      </c>
      <c r="N81" s="283">
        <f>IF('Intl Priority'!$N$105&gt;ROUND(((1-IntPriorityDiscount-IntPriorityIncentive)*'Intl Priority'!N78),2),ROUND('Intl Priority'!$N$105*(1+International_Fuel_Surcharge),2),ROUND(((1-IntPriorityDiscount-IntPriorityIncentive)*'Intl Priority'!N78)*(1+International_Fuel_Surcharge),2))</f>
        <v>394.68</v>
      </c>
      <c r="O81" s="283">
        <f>IF('Intl Priority'!$O$105&gt;ROUND(((1-IntPriorityDiscount-IntPriorityIncentive)*'Intl Priority'!O78),2),ROUND('Intl Priority'!$O$105*(1+International_Fuel_Surcharge),2),ROUND(((1-IntPriorityDiscount-IntPriorityIncentive)*'Intl Priority'!O78)*(1+International_Fuel_Surcharge),2))</f>
        <v>306.16</v>
      </c>
      <c r="P81" s="283">
        <f>IF('Intl Priority'!$P$105&gt;ROUND(((1-IntPriorityDiscount-IntPriorityIncentive)*'Intl Priority'!P78),2),ROUND('Intl Priority'!$P$105*(1+International_Fuel_Surcharge),2),ROUND(((1-IntPriorityDiscount-IntPriorityIncentive)*'Intl Priority'!P78)*(1+International_Fuel_Surcharge),2))</f>
        <v>328.9</v>
      </c>
      <c r="Q81" s="283">
        <f>IF('Intl Priority'!$Q$105&gt;ROUND(((1-PuertoRicoDiscount)*'Intl Priority'!Q78),2),ROUND('Intl Priority'!$Q$105*(1+International_Fuel_Surcharge),2),ROUND(((1-PuertoRicoDiscount)*'Intl Priority'!Q78)*(1+International_Fuel_Surcharge),2))</f>
        <v>437.82</v>
      </c>
      <c r="R81" s="138"/>
      <c r="S81" s="138"/>
      <c r="T81" s="138"/>
      <c r="U81" s="138"/>
      <c r="V81" s="138"/>
      <c r="W81" s="138"/>
      <c r="X81" s="138"/>
      <c r="Y81" s="138"/>
      <c r="Z81" s="138"/>
    </row>
    <row r="82" ht="12.75" customHeight="1">
      <c r="A82" s="274">
        <v>110.0</v>
      </c>
      <c r="B82" s="283">
        <f>IF('Intl Priority'!$B$105&gt;ROUND(((1-IntPriorityDiscount-IntPriorityIncentive)*'Intl Priority'!B79),2),ROUND('Intl Priority'!$B$105*(1+International_Fuel_Surcharge),2),ROUND(((1-IntPriorityDiscount-IntPriorityIncentive)*'Intl Priority'!B79)*(1+International_Fuel_Surcharge),2))</f>
        <v>137.95</v>
      </c>
      <c r="C82" s="283">
        <f>IF('Intl Priority'!$C$105&gt;ROUND(((1-IntPriorityDiscount-IntPriorityIncentive)*'Intl Priority'!C79),2),ROUND('Intl Priority'!$C$105*(1+International_Fuel_Surcharge),2),ROUND(((1-IntPriorityDiscount-IntPriorityIncentive)*'Intl Priority'!C79)*(1+International_Fuel_Surcharge),2))</f>
        <v>152.03</v>
      </c>
      <c r="D82" s="283">
        <f>IF('Intl Priority'!$D$105&gt;ROUND(((1-IntPriorityDiscount-IntPriorityIncentive)*'Intl Priority'!D79),2),ROUND('Intl Priority'!$D$105*(1+International_Fuel_Surcharge),2),ROUND(((1-IntPriorityDiscount-IntPriorityIncentive)*'Intl Priority'!D79)*(1+International_Fuel_Surcharge),2))</f>
        <v>153.1</v>
      </c>
      <c r="E82" s="283">
        <f>IF('Intl Priority'!$E$105&gt;ROUND(((1-IntPriorityDiscount-IntPriorityIncentive)*'Intl Priority'!E79),2),ROUND('Intl Priority'!$E$105*(1+International_Fuel_Surcharge),2),ROUND(((1-IntPriorityDiscount-IntPriorityIncentive)*'Intl Priority'!E79)*(1+International_Fuel_Surcharge),2))</f>
        <v>245.11</v>
      </c>
      <c r="F82" s="283">
        <f>IF('Intl Priority'!$F$105&gt;ROUND(((1-IntPriorityDiscount-IntPriorityIncentive)*'Intl Priority'!F79),2),ROUND('Intl Priority'!$F$105*(1+International_Fuel_Surcharge),2),ROUND(((1-IntPriorityDiscount-IntPriorityIncentive)*'Intl Priority'!F79)*(1+International_Fuel_Surcharge),2))</f>
        <v>419.91</v>
      </c>
      <c r="G82" s="283">
        <f>IF('Intl Priority'!$G$105&gt;ROUND(((1-IntPriorityDiscount-IntPriorityIncentive)*'Intl Priority'!G79),2),ROUND('Intl Priority'!$G$105*(1+International_Fuel_Surcharge),2),ROUND(((1-IntPriorityDiscount-IntPriorityIncentive)*'Intl Priority'!G79)*(1+International_Fuel_Surcharge),2))</f>
        <v>236.54</v>
      </c>
      <c r="H82" s="283">
        <f>IF('Intl Priority'!$H$105&gt;ROUND(((1-IntPriorityDiscount-IntPriorityIncentive)*'Intl Priority'!H79),2),ROUND('Intl Priority'!$H$105*(1+International_Fuel_Surcharge),2),ROUND(((1-IntPriorityDiscount-IntPriorityIncentive)*'Intl Priority'!H79)*(1+International_Fuel_Surcharge),2))</f>
        <v>239.05</v>
      </c>
      <c r="I82" s="283">
        <f>IF('Intl Priority'!$I$105&gt;ROUND(((1-IntPriorityDiscount-IntPriorityIncentive)*'Intl Priority'!I79),2),ROUND('Intl Priority'!$I$105*(1+International_Fuel_Surcharge),2),ROUND(((1-IntPriorityDiscount-IntPriorityIncentive)*'Intl Priority'!I79)*(1+International_Fuel_Surcharge),2))</f>
        <v>268.96</v>
      </c>
      <c r="J82" s="283">
        <f>IF('Intl Priority'!$J$105&gt;ROUND(((1-IntPriorityDiscount-IntPriorityIncentive)*'Intl Priority'!J79),2),ROUND('Intl Priority'!$J$105*(1+International_Fuel_Surcharge),2),ROUND(((1-IntPriorityDiscount-IntPriorityIncentive)*'Intl Priority'!J79)*(1+International_Fuel_Surcharge),2))</f>
        <v>190.08</v>
      </c>
      <c r="K82" s="283">
        <f>IF('Intl Priority'!$K$105&gt;ROUND(((1-IntPriorityDiscount-IntPriorityIncentive)*'Intl Priority'!K79),2),ROUND('Intl Priority'!$K$105*(1+International_Fuel_Surcharge),2),ROUND(((1-IntPriorityDiscount-IntPriorityIncentive)*'Intl Priority'!K79)*(1+International_Fuel_Surcharge),2))</f>
        <v>382.31</v>
      </c>
      <c r="L82" s="283">
        <f>IF('Intl Priority'!$L$105&gt;ROUND(((1-IntPriorityDiscount-IntPriorityIncentive)*'Intl Priority'!L79),2),ROUND('Intl Priority'!$L$105*(1+International_Fuel_Surcharge),2),ROUND(((1-IntPriorityDiscount-IntPriorityIncentive)*'Intl Priority'!L79)*(1+International_Fuel_Surcharge),2))</f>
        <v>308.59</v>
      </c>
      <c r="M82" s="283">
        <f>IF('Intl Priority'!$M$105&gt;ROUND(((1-IntPriorityDiscount-IntPriorityIncentive)*'Intl Priority'!M79),2),ROUND('Intl Priority'!$M$105*(1+International_Fuel_Surcharge),2),ROUND(((1-IntPriorityDiscount-IntPriorityIncentive)*'Intl Priority'!M79)*(1+International_Fuel_Surcharge),2))</f>
        <v>442.25</v>
      </c>
      <c r="N82" s="283">
        <f>IF('Intl Priority'!$N$105&gt;ROUND(((1-IntPriorityDiscount-IntPriorityIncentive)*'Intl Priority'!N79),2),ROUND('Intl Priority'!$N$105*(1+International_Fuel_Surcharge),2),ROUND(((1-IntPriorityDiscount-IntPriorityIncentive)*'Intl Priority'!N79)*(1+International_Fuel_Surcharge),2))</f>
        <v>394.73</v>
      </c>
      <c r="O82" s="283">
        <f>IF('Intl Priority'!$O$105&gt;ROUND(((1-IntPriorityDiscount-IntPriorityIncentive)*'Intl Priority'!O79),2),ROUND('Intl Priority'!$O$105*(1+International_Fuel_Surcharge),2),ROUND(((1-IntPriorityDiscount-IntPriorityIncentive)*'Intl Priority'!O79)*(1+International_Fuel_Surcharge),2))</f>
        <v>308.3</v>
      </c>
      <c r="P82" s="283">
        <f>IF('Intl Priority'!$P$105&gt;ROUND(((1-IntPriorityDiscount-IntPriorityIncentive)*'Intl Priority'!P79),2),ROUND('Intl Priority'!$P$105*(1+International_Fuel_Surcharge),2),ROUND(((1-IntPriorityDiscount-IntPriorityIncentive)*'Intl Priority'!P79)*(1+International_Fuel_Surcharge),2))</f>
        <v>331.87</v>
      </c>
      <c r="Q82" s="283">
        <f>IF('Intl Priority'!$Q$105&gt;ROUND(((1-PuertoRicoDiscount)*'Intl Priority'!Q79),2),ROUND('Intl Priority'!$Q$105*(1+International_Fuel_Surcharge),2),ROUND(((1-PuertoRicoDiscount)*'Intl Priority'!Q79)*(1+International_Fuel_Surcharge),2))</f>
        <v>447.69</v>
      </c>
      <c r="R82" s="138"/>
      <c r="S82" s="138"/>
      <c r="T82" s="138"/>
      <c r="U82" s="138"/>
      <c r="V82" s="138"/>
      <c r="W82" s="138"/>
      <c r="X82" s="138"/>
      <c r="Y82" s="138"/>
      <c r="Z82" s="138"/>
    </row>
    <row r="83" ht="12.75" customHeight="1">
      <c r="A83" s="274">
        <v>115.0</v>
      </c>
      <c r="B83" s="283">
        <f>IF('Intl Priority'!$B$105&gt;ROUND(((1-IntPriorityDiscount-IntPriorityIncentive)*'Intl Priority'!B80),2),ROUND('Intl Priority'!$B$105*(1+International_Fuel_Surcharge),2),ROUND(((1-IntPriorityDiscount-IntPriorityIncentive)*'Intl Priority'!B80)*(1+International_Fuel_Surcharge),2))</f>
        <v>138.05</v>
      </c>
      <c r="C83" s="283">
        <f>IF('Intl Priority'!$C$105&gt;ROUND(((1-IntPriorityDiscount-IntPriorityIncentive)*'Intl Priority'!C80),2),ROUND('Intl Priority'!$C$105*(1+International_Fuel_Surcharge),2),ROUND(((1-IntPriorityDiscount-IntPriorityIncentive)*'Intl Priority'!C80)*(1+International_Fuel_Surcharge),2))</f>
        <v>152.22</v>
      </c>
      <c r="D83" s="283">
        <f>IF('Intl Priority'!$D$105&gt;ROUND(((1-IntPriorityDiscount-IntPriorityIncentive)*'Intl Priority'!D80),2),ROUND('Intl Priority'!$D$105*(1+International_Fuel_Surcharge),2),ROUND(((1-IntPriorityDiscount-IntPriorityIncentive)*'Intl Priority'!D80)*(1+International_Fuel_Surcharge),2))</f>
        <v>154.05</v>
      </c>
      <c r="E83" s="283">
        <f>IF('Intl Priority'!$E$105&gt;ROUND(((1-IntPriorityDiscount-IntPriorityIncentive)*'Intl Priority'!E80),2),ROUND('Intl Priority'!$E$105*(1+International_Fuel_Surcharge),2),ROUND(((1-IntPriorityDiscount-IntPriorityIncentive)*'Intl Priority'!E80)*(1+International_Fuel_Surcharge),2))</f>
        <v>247.68</v>
      </c>
      <c r="F83" s="283">
        <f>IF('Intl Priority'!$F$105&gt;ROUND(((1-IntPriorityDiscount-IntPriorityIncentive)*'Intl Priority'!F80),2),ROUND('Intl Priority'!$F$105*(1+International_Fuel_Surcharge),2),ROUND(((1-IntPriorityDiscount-IntPriorityIncentive)*'Intl Priority'!F80)*(1+International_Fuel_Surcharge),2))</f>
        <v>420.7</v>
      </c>
      <c r="G83" s="283">
        <f>IF('Intl Priority'!$G$105&gt;ROUND(((1-IntPriorityDiscount-IntPriorityIncentive)*'Intl Priority'!G80),2),ROUND('Intl Priority'!$G$105*(1+International_Fuel_Surcharge),2),ROUND(((1-IntPriorityDiscount-IntPriorityIncentive)*'Intl Priority'!G80)*(1+International_Fuel_Surcharge),2))</f>
        <v>236.91</v>
      </c>
      <c r="H83" s="283">
        <f>IF('Intl Priority'!$H$105&gt;ROUND(((1-IntPriorityDiscount-IntPriorityIncentive)*'Intl Priority'!H80),2),ROUND('Intl Priority'!$H$105*(1+International_Fuel_Surcharge),2),ROUND(((1-IntPriorityDiscount-IntPriorityIncentive)*'Intl Priority'!H80)*(1+International_Fuel_Surcharge),2))</f>
        <v>243.75</v>
      </c>
      <c r="I83" s="283">
        <f>IF('Intl Priority'!$I$105&gt;ROUND(((1-IntPriorityDiscount-IntPriorityIncentive)*'Intl Priority'!I80),2),ROUND('Intl Priority'!$I$105*(1+International_Fuel_Surcharge),2),ROUND(((1-IntPriorityDiscount-IntPriorityIncentive)*'Intl Priority'!I80)*(1+International_Fuel_Surcharge),2))</f>
        <v>269.07</v>
      </c>
      <c r="J83" s="283">
        <f>IF('Intl Priority'!$J$105&gt;ROUND(((1-IntPriorityDiscount-IntPriorityIncentive)*'Intl Priority'!J80),2),ROUND('Intl Priority'!$J$105*(1+International_Fuel_Surcharge),2),ROUND(((1-IntPriorityDiscount-IntPriorityIncentive)*'Intl Priority'!J80)*(1+International_Fuel_Surcharge),2))</f>
        <v>190.86</v>
      </c>
      <c r="K83" s="283">
        <f>IF('Intl Priority'!$K$105&gt;ROUND(((1-IntPriorityDiscount-IntPriorityIncentive)*'Intl Priority'!K80),2),ROUND('Intl Priority'!$K$105*(1+International_Fuel_Surcharge),2),ROUND(((1-IntPriorityDiscount-IntPriorityIncentive)*'Intl Priority'!K80)*(1+International_Fuel_Surcharge),2))</f>
        <v>383.09</v>
      </c>
      <c r="L83" s="283">
        <f>IF('Intl Priority'!$L$105&gt;ROUND(((1-IntPriorityDiscount-IntPriorityIncentive)*'Intl Priority'!L80),2),ROUND('Intl Priority'!$L$105*(1+International_Fuel_Surcharge),2),ROUND(((1-IntPriorityDiscount-IntPriorityIncentive)*'Intl Priority'!L80)*(1+International_Fuel_Surcharge),2))</f>
        <v>308.64</v>
      </c>
      <c r="M83" s="283">
        <f>IF('Intl Priority'!$M$105&gt;ROUND(((1-IntPriorityDiscount-IntPriorityIncentive)*'Intl Priority'!M80),2),ROUND('Intl Priority'!$M$105*(1+International_Fuel_Surcharge),2),ROUND(((1-IntPriorityDiscount-IntPriorityIncentive)*'Intl Priority'!M80)*(1+International_Fuel_Surcharge),2))</f>
        <v>442.38</v>
      </c>
      <c r="N83" s="283">
        <f>IF('Intl Priority'!$N$105&gt;ROUND(((1-IntPriorityDiscount-IntPriorityIncentive)*'Intl Priority'!N80),2),ROUND('Intl Priority'!$N$105*(1+International_Fuel_Surcharge),2),ROUND(((1-IntPriorityDiscount-IntPriorityIncentive)*'Intl Priority'!N80)*(1+International_Fuel_Surcharge),2))</f>
        <v>394.77</v>
      </c>
      <c r="O83" s="283">
        <f>IF('Intl Priority'!$O$105&gt;ROUND(((1-IntPriorityDiscount-IntPriorityIncentive)*'Intl Priority'!O80),2),ROUND('Intl Priority'!$O$105*(1+International_Fuel_Surcharge),2),ROUND(((1-IntPriorityDiscount-IntPriorityIncentive)*'Intl Priority'!O80)*(1+International_Fuel_Surcharge),2))</f>
        <v>308.58</v>
      </c>
      <c r="P83" s="283">
        <f>IF('Intl Priority'!$P$105&gt;ROUND(((1-IntPriorityDiscount-IntPriorityIncentive)*'Intl Priority'!P80),2),ROUND('Intl Priority'!$P$105*(1+International_Fuel_Surcharge),2),ROUND(((1-IntPriorityDiscount-IntPriorityIncentive)*'Intl Priority'!P80)*(1+International_Fuel_Surcharge),2))</f>
        <v>332.17</v>
      </c>
      <c r="Q83" s="283">
        <f>IF('Intl Priority'!$Q$105&gt;ROUND(((1-PuertoRicoDiscount)*'Intl Priority'!Q80),2),ROUND('Intl Priority'!$Q$105*(1+International_Fuel_Surcharge),2),ROUND(((1-PuertoRicoDiscount)*'Intl Priority'!Q80)*(1+International_Fuel_Surcharge),2))</f>
        <v>453.57</v>
      </c>
      <c r="R83" s="138"/>
      <c r="S83" s="138"/>
      <c r="T83" s="138"/>
      <c r="U83" s="138"/>
      <c r="V83" s="138"/>
      <c r="W83" s="138"/>
      <c r="X83" s="138"/>
      <c r="Y83" s="138"/>
      <c r="Z83" s="138"/>
    </row>
    <row r="84" ht="12.75" customHeight="1">
      <c r="A84" s="274">
        <v>120.0</v>
      </c>
      <c r="B84" s="283">
        <f>IF('Intl Priority'!$B$105&gt;ROUND(((1-IntPriorityDiscount-IntPriorityIncentive)*'Intl Priority'!B81),2),ROUND('Intl Priority'!$B$105*(1+International_Fuel_Surcharge),2),ROUND(((1-IntPriorityDiscount-IntPriorityIncentive)*'Intl Priority'!B81)*(1+International_Fuel_Surcharge),2))</f>
        <v>138.2</v>
      </c>
      <c r="C84" s="283">
        <f>IF('Intl Priority'!$C$105&gt;ROUND(((1-IntPriorityDiscount-IntPriorityIncentive)*'Intl Priority'!C81),2),ROUND('Intl Priority'!$C$105*(1+International_Fuel_Surcharge),2),ROUND(((1-IntPriorityDiscount-IntPriorityIncentive)*'Intl Priority'!C81)*(1+International_Fuel_Surcharge),2))</f>
        <v>153.94</v>
      </c>
      <c r="D84" s="283">
        <f>IF('Intl Priority'!$D$105&gt;ROUND(((1-IntPriorityDiscount-IntPriorityIncentive)*'Intl Priority'!D81),2),ROUND('Intl Priority'!$D$105*(1+International_Fuel_Surcharge),2),ROUND(((1-IntPriorityDiscount-IntPriorityIncentive)*'Intl Priority'!D81)*(1+International_Fuel_Surcharge),2))</f>
        <v>154.14</v>
      </c>
      <c r="E84" s="283">
        <f>IF('Intl Priority'!$E$105&gt;ROUND(((1-IntPriorityDiscount-IntPriorityIncentive)*'Intl Priority'!E81),2),ROUND('Intl Priority'!$E$105*(1+International_Fuel_Surcharge),2),ROUND(((1-IntPriorityDiscount-IntPriorityIncentive)*'Intl Priority'!E81)*(1+International_Fuel_Surcharge),2))</f>
        <v>248.38</v>
      </c>
      <c r="F84" s="283">
        <f>IF('Intl Priority'!$F$105&gt;ROUND(((1-IntPriorityDiscount-IntPriorityIncentive)*'Intl Priority'!F81),2),ROUND('Intl Priority'!$F$105*(1+International_Fuel_Surcharge),2),ROUND(((1-IntPriorityDiscount-IntPriorityIncentive)*'Intl Priority'!F81)*(1+International_Fuel_Surcharge),2))</f>
        <v>421.21</v>
      </c>
      <c r="G84" s="283">
        <f>IF('Intl Priority'!$G$105&gt;ROUND(((1-IntPriorityDiscount-IntPriorityIncentive)*'Intl Priority'!G81),2),ROUND('Intl Priority'!$G$105*(1+International_Fuel_Surcharge),2),ROUND(((1-IntPriorityDiscount-IntPriorityIncentive)*'Intl Priority'!G81)*(1+International_Fuel_Surcharge),2))</f>
        <v>241.67</v>
      </c>
      <c r="H84" s="283">
        <f>IF('Intl Priority'!$H$105&gt;ROUND(((1-IntPriorityDiscount-IntPriorityIncentive)*'Intl Priority'!H81),2),ROUND('Intl Priority'!$H$105*(1+International_Fuel_Surcharge),2),ROUND(((1-IntPriorityDiscount-IntPriorityIncentive)*'Intl Priority'!H81)*(1+International_Fuel_Surcharge),2))</f>
        <v>244.22</v>
      </c>
      <c r="I84" s="283">
        <f>IF('Intl Priority'!$I$105&gt;ROUND(((1-IntPriorityDiscount-IntPriorityIncentive)*'Intl Priority'!I81),2),ROUND('Intl Priority'!$I$105*(1+International_Fuel_Surcharge),2),ROUND(((1-IntPriorityDiscount-IntPriorityIncentive)*'Intl Priority'!I81)*(1+International_Fuel_Surcharge),2))</f>
        <v>269.13</v>
      </c>
      <c r="J84" s="283">
        <f>IF('Intl Priority'!$J$105&gt;ROUND(((1-IntPriorityDiscount-IntPriorityIncentive)*'Intl Priority'!J81),2),ROUND('Intl Priority'!$J$105*(1+International_Fuel_Surcharge),2),ROUND(((1-IntPriorityDiscount-IntPriorityIncentive)*'Intl Priority'!J81)*(1+International_Fuel_Surcharge),2))</f>
        <v>203.29</v>
      </c>
      <c r="K84" s="283">
        <f>IF('Intl Priority'!$K$105&gt;ROUND(((1-IntPriorityDiscount-IntPriorityIncentive)*'Intl Priority'!K81),2),ROUND('Intl Priority'!$K$105*(1+International_Fuel_Surcharge),2),ROUND(((1-IntPriorityDiscount-IntPriorityIncentive)*'Intl Priority'!K81)*(1+International_Fuel_Surcharge),2))</f>
        <v>383.17</v>
      </c>
      <c r="L84" s="283">
        <f>IF('Intl Priority'!$L$105&gt;ROUND(((1-IntPriorityDiscount-IntPriorityIncentive)*'Intl Priority'!L81),2),ROUND('Intl Priority'!$L$105*(1+International_Fuel_Surcharge),2),ROUND(((1-IntPriorityDiscount-IntPriorityIncentive)*'Intl Priority'!L81)*(1+International_Fuel_Surcharge),2))</f>
        <v>308.69</v>
      </c>
      <c r="M84" s="283">
        <f>IF('Intl Priority'!$M$105&gt;ROUND(((1-IntPriorityDiscount-IntPriorityIncentive)*'Intl Priority'!M81),2),ROUND('Intl Priority'!$M$105*(1+International_Fuel_Surcharge),2),ROUND(((1-IntPriorityDiscount-IntPriorityIncentive)*'Intl Priority'!M81)*(1+International_Fuel_Surcharge),2))</f>
        <v>442.42</v>
      </c>
      <c r="N84" s="283">
        <f>IF('Intl Priority'!$N$105&gt;ROUND(((1-IntPriorityDiscount-IntPriorityIncentive)*'Intl Priority'!N81),2),ROUND('Intl Priority'!$N$105*(1+International_Fuel_Surcharge),2),ROUND(((1-IntPriorityDiscount-IntPriorityIncentive)*'Intl Priority'!N81)*(1+International_Fuel_Surcharge),2))</f>
        <v>395.42</v>
      </c>
      <c r="O84" s="283">
        <f>IF('Intl Priority'!$O$105&gt;ROUND(((1-IntPriorityDiscount-IntPriorityIncentive)*'Intl Priority'!O81),2),ROUND('Intl Priority'!$O$105*(1+International_Fuel_Surcharge),2),ROUND(((1-IntPriorityDiscount-IntPriorityIncentive)*'Intl Priority'!O81)*(1+International_Fuel_Surcharge),2))</f>
        <v>309.45</v>
      </c>
      <c r="P84" s="283">
        <f>IF('Intl Priority'!$P$105&gt;ROUND(((1-IntPriorityDiscount-IntPriorityIncentive)*'Intl Priority'!P81),2),ROUND('Intl Priority'!$P$105*(1+International_Fuel_Surcharge),2),ROUND(((1-IntPriorityDiscount-IntPriorityIncentive)*'Intl Priority'!P81)*(1+International_Fuel_Surcharge),2))</f>
        <v>332.22</v>
      </c>
      <c r="Q84" s="283">
        <f>IF('Intl Priority'!$Q$105&gt;ROUND(((1-PuertoRicoDiscount)*'Intl Priority'!Q81),2),ROUND('Intl Priority'!$Q$105*(1+International_Fuel_Surcharge),2),ROUND(((1-PuertoRicoDiscount)*'Intl Priority'!Q81)*(1+International_Fuel_Surcharge),2))</f>
        <v>454.98</v>
      </c>
      <c r="R84" s="138"/>
      <c r="S84" s="138"/>
      <c r="T84" s="138"/>
      <c r="U84" s="138"/>
      <c r="V84" s="138"/>
      <c r="W84" s="138"/>
      <c r="X84" s="138"/>
      <c r="Y84" s="138"/>
      <c r="Z84" s="138"/>
    </row>
    <row r="85" ht="12.75" customHeight="1">
      <c r="A85" s="274">
        <v>125.0</v>
      </c>
      <c r="B85" s="283">
        <f>IF('Intl Priority'!$B$105&gt;ROUND(((1-IntPriorityDiscount-IntPriorityIncentive)*'Intl Priority'!B82),2),ROUND('Intl Priority'!$B$105*(1+International_Fuel_Surcharge),2),ROUND(((1-IntPriorityDiscount-IntPriorityIncentive)*'Intl Priority'!B82)*(1+International_Fuel_Surcharge),2))</f>
        <v>141.28</v>
      </c>
      <c r="C85" s="283">
        <f>IF('Intl Priority'!$C$105&gt;ROUND(((1-IntPriorityDiscount-IntPriorityIncentive)*'Intl Priority'!C82),2),ROUND('Intl Priority'!$C$105*(1+International_Fuel_Surcharge),2),ROUND(((1-IntPriorityDiscount-IntPriorityIncentive)*'Intl Priority'!C82)*(1+International_Fuel_Surcharge),2))</f>
        <v>154.89</v>
      </c>
      <c r="D85" s="283">
        <f>IF('Intl Priority'!$D$105&gt;ROUND(((1-IntPriorityDiscount-IntPriorityIncentive)*'Intl Priority'!D82),2),ROUND('Intl Priority'!$D$105*(1+International_Fuel_Surcharge),2),ROUND(((1-IntPriorityDiscount-IntPriorityIncentive)*'Intl Priority'!D82)*(1+International_Fuel_Surcharge),2))</f>
        <v>154.44</v>
      </c>
      <c r="E85" s="283">
        <f>IF('Intl Priority'!$E$105&gt;ROUND(((1-IntPriorityDiscount-IntPriorityIncentive)*'Intl Priority'!E82),2),ROUND('Intl Priority'!$E$105*(1+International_Fuel_Surcharge),2),ROUND(((1-IntPriorityDiscount-IntPriorityIncentive)*'Intl Priority'!E82)*(1+International_Fuel_Surcharge),2))</f>
        <v>248.45</v>
      </c>
      <c r="F85" s="283">
        <f>IF('Intl Priority'!$F$105&gt;ROUND(((1-IntPriorityDiscount-IntPriorityIncentive)*'Intl Priority'!F82),2),ROUND('Intl Priority'!$F$105*(1+International_Fuel_Surcharge),2),ROUND(((1-IntPriorityDiscount-IntPriorityIncentive)*'Intl Priority'!F82)*(1+International_Fuel_Surcharge),2))</f>
        <v>421.49</v>
      </c>
      <c r="G85" s="283">
        <f>IF('Intl Priority'!$G$105&gt;ROUND(((1-IntPriorityDiscount-IntPriorityIncentive)*'Intl Priority'!G82),2),ROUND('Intl Priority'!$G$105*(1+International_Fuel_Surcharge),2),ROUND(((1-IntPriorityDiscount-IntPriorityIncentive)*'Intl Priority'!G82)*(1+International_Fuel_Surcharge),2))</f>
        <v>246.31</v>
      </c>
      <c r="H85" s="283">
        <f>IF('Intl Priority'!$H$105&gt;ROUND(((1-IntPriorityDiscount-IntPriorityIncentive)*'Intl Priority'!H82),2),ROUND('Intl Priority'!$H$105*(1+International_Fuel_Surcharge),2),ROUND(((1-IntPriorityDiscount-IntPriorityIncentive)*'Intl Priority'!H82)*(1+International_Fuel_Surcharge),2))</f>
        <v>246.53</v>
      </c>
      <c r="I85" s="283">
        <f>IF('Intl Priority'!$I$105&gt;ROUND(((1-IntPriorityDiscount-IntPriorityIncentive)*'Intl Priority'!I82),2),ROUND('Intl Priority'!$I$105*(1+International_Fuel_Surcharge),2),ROUND(((1-IntPriorityDiscount-IntPriorityIncentive)*'Intl Priority'!I82)*(1+International_Fuel_Surcharge),2))</f>
        <v>270.28</v>
      </c>
      <c r="J85" s="283">
        <f>IF('Intl Priority'!$J$105&gt;ROUND(((1-IntPriorityDiscount-IntPriorityIncentive)*'Intl Priority'!J82),2),ROUND('Intl Priority'!$J$105*(1+International_Fuel_Surcharge),2),ROUND(((1-IntPriorityDiscount-IntPriorityIncentive)*'Intl Priority'!J82)*(1+International_Fuel_Surcharge),2))</f>
        <v>204.53</v>
      </c>
      <c r="K85" s="283">
        <f>IF('Intl Priority'!$K$105&gt;ROUND(((1-IntPriorityDiscount-IntPriorityIncentive)*'Intl Priority'!K82),2),ROUND('Intl Priority'!$K$105*(1+International_Fuel_Surcharge),2),ROUND(((1-IntPriorityDiscount-IntPriorityIncentive)*'Intl Priority'!K82)*(1+International_Fuel_Surcharge),2))</f>
        <v>383.24</v>
      </c>
      <c r="L85" s="283">
        <f>IF('Intl Priority'!$L$105&gt;ROUND(((1-IntPriorityDiscount-IntPriorityIncentive)*'Intl Priority'!L82),2),ROUND('Intl Priority'!$L$105*(1+International_Fuel_Surcharge),2),ROUND(((1-IntPriorityDiscount-IntPriorityIncentive)*'Intl Priority'!L82)*(1+International_Fuel_Surcharge),2))</f>
        <v>309.26</v>
      </c>
      <c r="M85" s="283">
        <f>IF('Intl Priority'!$M$105&gt;ROUND(((1-IntPriorityDiscount-IntPriorityIncentive)*'Intl Priority'!M82),2),ROUND('Intl Priority'!$M$105*(1+International_Fuel_Surcharge),2),ROUND(((1-IntPriorityDiscount-IntPriorityIncentive)*'Intl Priority'!M82)*(1+International_Fuel_Surcharge),2))</f>
        <v>442.61</v>
      </c>
      <c r="N85" s="283">
        <f>IF('Intl Priority'!$N$105&gt;ROUND(((1-IntPriorityDiscount-IntPriorityIncentive)*'Intl Priority'!N82),2),ROUND('Intl Priority'!$N$105*(1+International_Fuel_Surcharge),2),ROUND(((1-IntPriorityDiscount-IntPriorityIncentive)*'Intl Priority'!N82)*(1+International_Fuel_Surcharge),2))</f>
        <v>407.61</v>
      </c>
      <c r="O85" s="283">
        <f>IF('Intl Priority'!$O$105&gt;ROUND(((1-IntPriorityDiscount-IntPriorityIncentive)*'Intl Priority'!O82),2),ROUND('Intl Priority'!$O$105*(1+International_Fuel_Surcharge),2),ROUND(((1-IntPriorityDiscount-IntPriorityIncentive)*'Intl Priority'!O82)*(1+International_Fuel_Surcharge),2))</f>
        <v>316.41</v>
      </c>
      <c r="P85" s="283">
        <f>IF('Intl Priority'!$P$105&gt;ROUND(((1-IntPriorityDiscount-IntPriorityIncentive)*'Intl Priority'!P82),2),ROUND('Intl Priority'!$P$105*(1+International_Fuel_Surcharge),2),ROUND(((1-IntPriorityDiscount-IntPriorityIncentive)*'Intl Priority'!P82)*(1+International_Fuel_Surcharge),2))</f>
        <v>332.26</v>
      </c>
      <c r="Q85" s="283">
        <f>IF('Intl Priority'!$Q$105&gt;ROUND(((1-PuertoRicoDiscount)*'Intl Priority'!Q82),2),ROUND('Intl Priority'!$Q$105*(1+International_Fuel_Surcharge),2),ROUND(((1-PuertoRicoDiscount)*'Intl Priority'!Q82)*(1+International_Fuel_Surcharge),2))</f>
        <v>465.28</v>
      </c>
      <c r="R85" s="138"/>
      <c r="S85" s="138"/>
      <c r="T85" s="138"/>
      <c r="U85" s="138"/>
      <c r="V85" s="138"/>
      <c r="W85" s="138"/>
      <c r="X85" s="138"/>
      <c r="Y85" s="138"/>
      <c r="Z85" s="138"/>
    </row>
    <row r="86" ht="12.75" customHeight="1">
      <c r="A86" s="274">
        <v>130.0</v>
      </c>
      <c r="B86" s="283">
        <f>IF('Intl Priority'!$B$105&gt;ROUND(((1-IntPriorityDiscount-IntPriorityIncentive)*'Intl Priority'!B83),2),ROUND('Intl Priority'!$B$105*(1+International_Fuel_Surcharge),2),ROUND(((1-IntPriorityDiscount-IntPriorityIncentive)*'Intl Priority'!B83)*(1+International_Fuel_Surcharge),2))</f>
        <v>141.59</v>
      </c>
      <c r="C86" s="283">
        <f>IF('Intl Priority'!$C$105&gt;ROUND(((1-IntPriorityDiscount-IntPriorityIncentive)*'Intl Priority'!C83),2),ROUND('Intl Priority'!$C$105*(1+International_Fuel_Surcharge),2),ROUND(((1-IntPriorityDiscount-IntPriorityIncentive)*'Intl Priority'!C83)*(1+International_Fuel_Surcharge),2))</f>
        <v>155.84</v>
      </c>
      <c r="D86" s="283">
        <f>IF('Intl Priority'!$D$105&gt;ROUND(((1-IntPriorityDiscount-IntPriorityIncentive)*'Intl Priority'!D83),2),ROUND('Intl Priority'!$D$105*(1+International_Fuel_Surcharge),2),ROUND(((1-IntPriorityDiscount-IntPriorityIncentive)*'Intl Priority'!D83)*(1+International_Fuel_Surcharge),2))</f>
        <v>160.5</v>
      </c>
      <c r="E86" s="283">
        <f>IF('Intl Priority'!$E$105&gt;ROUND(((1-IntPriorityDiscount-IntPriorityIncentive)*'Intl Priority'!E83),2),ROUND('Intl Priority'!$E$105*(1+International_Fuel_Surcharge),2),ROUND(((1-IntPriorityDiscount-IntPriorityIncentive)*'Intl Priority'!E83)*(1+International_Fuel_Surcharge),2))</f>
        <v>248.8</v>
      </c>
      <c r="F86" s="283">
        <f>IF('Intl Priority'!$F$105&gt;ROUND(((1-IntPriorityDiscount-IntPriorityIncentive)*'Intl Priority'!F83),2),ROUND('Intl Priority'!$F$105*(1+International_Fuel_Surcharge),2),ROUND(((1-IntPriorityDiscount-IntPriorityIncentive)*'Intl Priority'!F83)*(1+International_Fuel_Surcharge),2))</f>
        <v>427.01</v>
      </c>
      <c r="G86" s="283">
        <f>IF('Intl Priority'!$G$105&gt;ROUND(((1-IntPriorityDiscount-IntPriorityIncentive)*'Intl Priority'!G83),2),ROUND('Intl Priority'!$G$105*(1+International_Fuel_Surcharge),2),ROUND(((1-IntPriorityDiscount-IntPriorityIncentive)*'Intl Priority'!G83)*(1+International_Fuel_Surcharge),2))</f>
        <v>246.84</v>
      </c>
      <c r="H86" s="283">
        <f>IF('Intl Priority'!$H$105&gt;ROUND(((1-IntPriorityDiscount-IntPriorityIncentive)*'Intl Priority'!H83),2),ROUND('Intl Priority'!$H$105*(1+International_Fuel_Surcharge),2),ROUND(((1-IntPriorityDiscount-IntPriorityIncentive)*'Intl Priority'!H83)*(1+International_Fuel_Surcharge),2))</f>
        <v>246.76</v>
      </c>
      <c r="I86" s="283">
        <f>IF('Intl Priority'!$I$105&gt;ROUND(((1-IntPriorityDiscount-IntPriorityIncentive)*'Intl Priority'!I83),2),ROUND('Intl Priority'!$I$105*(1+International_Fuel_Surcharge),2),ROUND(((1-IntPriorityDiscount-IntPriorityIncentive)*'Intl Priority'!I83)*(1+International_Fuel_Surcharge),2))</f>
        <v>278.38</v>
      </c>
      <c r="J86" s="283">
        <f>IF('Intl Priority'!$J$105&gt;ROUND(((1-IntPriorityDiscount-IntPriorityIncentive)*'Intl Priority'!J83),2),ROUND('Intl Priority'!$J$105*(1+International_Fuel_Surcharge),2),ROUND(((1-IntPriorityDiscount-IntPriorityIncentive)*'Intl Priority'!J83)*(1+International_Fuel_Surcharge),2))</f>
        <v>204.65</v>
      </c>
      <c r="K86" s="283">
        <f>IF('Intl Priority'!$K$105&gt;ROUND(((1-IntPriorityDiscount-IntPriorityIncentive)*'Intl Priority'!K83),2),ROUND('Intl Priority'!$K$105*(1+International_Fuel_Surcharge),2),ROUND(((1-IntPriorityDiscount-IntPriorityIncentive)*'Intl Priority'!K83)*(1+International_Fuel_Surcharge),2))</f>
        <v>383.31</v>
      </c>
      <c r="L86" s="283">
        <f>IF('Intl Priority'!$L$105&gt;ROUND(((1-IntPriorityDiscount-IntPriorityIncentive)*'Intl Priority'!L83),2),ROUND('Intl Priority'!$L$105*(1+International_Fuel_Surcharge),2),ROUND(((1-IntPriorityDiscount-IntPriorityIncentive)*'Intl Priority'!L83)*(1+International_Fuel_Surcharge),2))</f>
        <v>309.83</v>
      </c>
      <c r="M86" s="283">
        <f>IF('Intl Priority'!$M$105&gt;ROUND(((1-IntPriorityDiscount-IntPriorityIncentive)*'Intl Priority'!M83),2),ROUND('Intl Priority'!$M$105*(1+International_Fuel_Surcharge),2),ROUND(((1-IntPriorityDiscount-IntPriorityIncentive)*'Intl Priority'!M83)*(1+International_Fuel_Surcharge),2))</f>
        <v>446.43</v>
      </c>
      <c r="N86" s="283">
        <f>IF('Intl Priority'!$N$105&gt;ROUND(((1-IntPriorityDiscount-IntPriorityIncentive)*'Intl Priority'!N83),2),ROUND('Intl Priority'!$N$105*(1+International_Fuel_Surcharge),2),ROUND(((1-IntPriorityDiscount-IntPriorityIncentive)*'Intl Priority'!N83)*(1+International_Fuel_Surcharge),2))</f>
        <v>414.14</v>
      </c>
      <c r="O86" s="283">
        <f>IF('Intl Priority'!$O$105&gt;ROUND(((1-IntPriorityDiscount-IntPriorityIncentive)*'Intl Priority'!O83),2),ROUND('Intl Priority'!$O$105*(1+International_Fuel_Surcharge),2),ROUND(((1-IntPriorityDiscount-IntPriorityIncentive)*'Intl Priority'!O83)*(1+International_Fuel_Surcharge),2))</f>
        <v>317.23</v>
      </c>
      <c r="P86" s="283">
        <f>IF('Intl Priority'!$P$105&gt;ROUND(((1-IntPriorityDiscount-IntPriorityIncentive)*'Intl Priority'!P83),2),ROUND('Intl Priority'!$P$105*(1+International_Fuel_Surcharge),2),ROUND(((1-IntPriorityDiscount-IntPriorityIncentive)*'Intl Priority'!P83)*(1+International_Fuel_Surcharge),2))</f>
        <v>332.82</v>
      </c>
      <c r="Q86" s="283">
        <f>IF('Intl Priority'!$Q$105&gt;ROUND(((1-PuertoRicoDiscount)*'Intl Priority'!Q83),2),ROUND('Intl Priority'!$Q$105*(1+International_Fuel_Surcharge),2),ROUND(((1-PuertoRicoDiscount)*'Intl Priority'!Q83)*(1+International_Fuel_Surcharge),2))</f>
        <v>465.41</v>
      </c>
      <c r="R86" s="138"/>
      <c r="S86" s="138"/>
      <c r="T86" s="138"/>
      <c r="U86" s="138"/>
      <c r="V86" s="138"/>
      <c r="W86" s="138"/>
      <c r="X86" s="138"/>
      <c r="Y86" s="138"/>
      <c r="Z86" s="138"/>
    </row>
    <row r="87" ht="12.75" customHeight="1">
      <c r="A87" s="274">
        <v>135.0</v>
      </c>
      <c r="B87" s="283">
        <f>IF('Intl Priority'!$B$105&gt;ROUND(((1-IntPriorityDiscount-IntPriorityIncentive)*'Intl Priority'!B84),2),ROUND('Intl Priority'!$B$105*(1+International_Fuel_Surcharge),2),ROUND(((1-IntPriorityDiscount-IntPriorityIncentive)*'Intl Priority'!B84)*(1+International_Fuel_Surcharge),2))</f>
        <v>141.64</v>
      </c>
      <c r="C87" s="283">
        <f>IF('Intl Priority'!$C$105&gt;ROUND(((1-IntPriorityDiscount-IntPriorityIncentive)*'Intl Priority'!C84),2),ROUND('Intl Priority'!$C$105*(1+International_Fuel_Surcharge),2),ROUND(((1-IntPriorityDiscount-IntPriorityIncentive)*'Intl Priority'!C84)*(1+International_Fuel_Surcharge),2))</f>
        <v>156.79</v>
      </c>
      <c r="D87" s="283">
        <f>IF('Intl Priority'!$D$105&gt;ROUND(((1-IntPriorityDiscount-IntPriorityIncentive)*'Intl Priority'!D84),2),ROUND('Intl Priority'!$D$105*(1+International_Fuel_Surcharge),2),ROUND(((1-IntPriorityDiscount-IntPriorityIncentive)*'Intl Priority'!D84)*(1+International_Fuel_Surcharge),2))</f>
        <v>161.45</v>
      </c>
      <c r="E87" s="283">
        <f>IF('Intl Priority'!$E$105&gt;ROUND(((1-IntPriorityDiscount-IntPriorityIncentive)*'Intl Priority'!E84),2),ROUND('Intl Priority'!$E$105*(1+International_Fuel_Surcharge),2),ROUND(((1-IntPriorityDiscount-IntPriorityIncentive)*'Intl Priority'!E84)*(1+International_Fuel_Surcharge),2))</f>
        <v>255.65</v>
      </c>
      <c r="F87" s="283">
        <f>IF('Intl Priority'!$F$105&gt;ROUND(((1-IntPriorityDiscount-IntPriorityIncentive)*'Intl Priority'!F84),2),ROUND('Intl Priority'!$F$105*(1+International_Fuel_Surcharge),2),ROUND(((1-IntPriorityDiscount-IntPriorityIncentive)*'Intl Priority'!F84)*(1+International_Fuel_Surcharge),2))</f>
        <v>427.56</v>
      </c>
      <c r="G87" s="283">
        <f>IF('Intl Priority'!$G$105&gt;ROUND(((1-IntPriorityDiscount-IntPriorityIncentive)*'Intl Priority'!G84),2),ROUND('Intl Priority'!$G$105*(1+International_Fuel_Surcharge),2),ROUND(((1-IntPriorityDiscount-IntPriorityIncentive)*'Intl Priority'!G84)*(1+International_Fuel_Surcharge),2))</f>
        <v>246.9</v>
      </c>
      <c r="H87" s="283">
        <f>IF('Intl Priority'!$H$105&gt;ROUND(((1-IntPriorityDiscount-IntPriorityIncentive)*'Intl Priority'!H84),2),ROUND('Intl Priority'!$H$105*(1+International_Fuel_Surcharge),2),ROUND(((1-IntPriorityDiscount-IntPriorityIncentive)*'Intl Priority'!H84)*(1+International_Fuel_Surcharge),2))</f>
        <v>247.68</v>
      </c>
      <c r="I87" s="283">
        <f>IF('Intl Priority'!$I$105&gt;ROUND(((1-IntPriorityDiscount-IntPriorityIncentive)*'Intl Priority'!I84),2),ROUND('Intl Priority'!$I$105*(1+International_Fuel_Surcharge),2),ROUND(((1-IntPriorityDiscount-IntPriorityIncentive)*'Intl Priority'!I84)*(1+International_Fuel_Surcharge),2))</f>
        <v>284.14</v>
      </c>
      <c r="J87" s="283">
        <f>IF('Intl Priority'!$J$105&gt;ROUND(((1-IntPriorityDiscount-IntPriorityIncentive)*'Intl Priority'!J84),2),ROUND('Intl Priority'!$J$105*(1+International_Fuel_Surcharge),2),ROUND(((1-IntPriorityDiscount-IntPriorityIncentive)*'Intl Priority'!J84)*(1+International_Fuel_Surcharge),2))</f>
        <v>204.71</v>
      </c>
      <c r="K87" s="283">
        <f>IF('Intl Priority'!$K$105&gt;ROUND(((1-IntPriorityDiscount-IntPriorityIncentive)*'Intl Priority'!K84),2),ROUND('Intl Priority'!$K$105*(1+International_Fuel_Surcharge),2),ROUND(((1-IntPriorityDiscount-IntPriorityIncentive)*'Intl Priority'!K84)*(1+International_Fuel_Surcharge),2))</f>
        <v>384.71</v>
      </c>
      <c r="L87" s="283">
        <f>IF('Intl Priority'!$L$105&gt;ROUND(((1-IntPriorityDiscount-IntPriorityIncentive)*'Intl Priority'!L84),2),ROUND('Intl Priority'!$L$105*(1+International_Fuel_Surcharge),2),ROUND(((1-IntPriorityDiscount-IntPriorityIncentive)*'Intl Priority'!L84)*(1+International_Fuel_Surcharge),2))</f>
        <v>309.89</v>
      </c>
      <c r="M87" s="283">
        <f>IF('Intl Priority'!$M$105&gt;ROUND(((1-IntPriorityDiscount-IntPriorityIncentive)*'Intl Priority'!M84),2),ROUND('Intl Priority'!$M$105*(1+International_Fuel_Surcharge),2),ROUND(((1-IntPriorityDiscount-IntPriorityIncentive)*'Intl Priority'!M84)*(1+International_Fuel_Surcharge),2))</f>
        <v>446.83</v>
      </c>
      <c r="N87" s="283">
        <f>IF('Intl Priority'!$N$105&gt;ROUND(((1-IntPriorityDiscount-IntPriorityIncentive)*'Intl Priority'!N84),2),ROUND('Intl Priority'!$N$105*(1+International_Fuel_Surcharge),2),ROUND(((1-IntPriorityDiscount-IntPriorityIncentive)*'Intl Priority'!N84)*(1+International_Fuel_Surcharge),2))</f>
        <v>414.79</v>
      </c>
      <c r="O87" s="283">
        <f>IF('Intl Priority'!$O$105&gt;ROUND(((1-IntPriorityDiscount-IntPriorityIncentive)*'Intl Priority'!O84),2),ROUND('Intl Priority'!$O$105*(1+International_Fuel_Surcharge),2),ROUND(((1-IntPriorityDiscount-IntPriorityIncentive)*'Intl Priority'!O84)*(1+International_Fuel_Surcharge),2))</f>
        <v>333.2</v>
      </c>
      <c r="P87" s="283">
        <f>IF('Intl Priority'!$P$105&gt;ROUND(((1-IntPriorityDiscount-IntPriorityIncentive)*'Intl Priority'!P84),2),ROUND('Intl Priority'!$P$105*(1+International_Fuel_Surcharge),2),ROUND(((1-IntPriorityDiscount-IntPriorityIncentive)*'Intl Priority'!P84)*(1+International_Fuel_Surcharge),2))</f>
        <v>332.88</v>
      </c>
      <c r="Q87" s="283">
        <f>IF('Intl Priority'!$Q$105&gt;ROUND(((1-PuertoRicoDiscount)*'Intl Priority'!Q84),2),ROUND('Intl Priority'!$Q$105*(1+International_Fuel_Surcharge),2),ROUND(((1-PuertoRicoDiscount)*'Intl Priority'!Q84)*(1+International_Fuel_Surcharge),2))</f>
        <v>473.19</v>
      </c>
      <c r="R87" s="138"/>
      <c r="S87" s="138"/>
      <c r="T87" s="138"/>
      <c r="U87" s="138"/>
      <c r="V87" s="138"/>
      <c r="W87" s="138"/>
      <c r="X87" s="138"/>
      <c r="Y87" s="138"/>
      <c r="Z87" s="138"/>
    </row>
    <row r="88" ht="12.75" customHeight="1">
      <c r="A88" s="274">
        <v>140.0</v>
      </c>
      <c r="B88" s="283">
        <f>IF('Intl Priority'!$B$105&gt;ROUND(((1-IntPriorityDiscount-IntPriorityIncentive)*'Intl Priority'!B85),2),ROUND('Intl Priority'!$B$105*(1+International_Fuel_Surcharge),2),ROUND(((1-IntPriorityDiscount-IntPriorityIncentive)*'Intl Priority'!B85)*(1+International_Fuel_Surcharge),2))</f>
        <v>142.12</v>
      </c>
      <c r="C88" s="283">
        <f>IF('Intl Priority'!$C$105&gt;ROUND(((1-IntPriorityDiscount-IntPriorityIncentive)*'Intl Priority'!C85),2),ROUND('Intl Priority'!$C$105*(1+International_Fuel_Surcharge),2),ROUND(((1-IntPriorityDiscount-IntPriorityIncentive)*'Intl Priority'!C85)*(1+International_Fuel_Surcharge),2))</f>
        <v>157.74</v>
      </c>
      <c r="D88" s="283">
        <f>IF('Intl Priority'!$D$105&gt;ROUND(((1-IntPriorityDiscount-IntPriorityIncentive)*'Intl Priority'!D85),2),ROUND('Intl Priority'!$D$105*(1+International_Fuel_Surcharge),2),ROUND(((1-IntPriorityDiscount-IntPriorityIncentive)*'Intl Priority'!D85)*(1+International_Fuel_Surcharge),2))</f>
        <v>161.55</v>
      </c>
      <c r="E88" s="283">
        <f>IF('Intl Priority'!$E$105&gt;ROUND(((1-IntPriorityDiscount-IntPriorityIncentive)*'Intl Priority'!E85),2),ROUND('Intl Priority'!$E$105*(1+International_Fuel_Surcharge),2),ROUND(((1-IntPriorityDiscount-IntPriorityIncentive)*'Intl Priority'!E85)*(1+International_Fuel_Surcharge),2))</f>
        <v>256.34</v>
      </c>
      <c r="F88" s="283">
        <f>IF('Intl Priority'!$F$105&gt;ROUND(((1-IntPriorityDiscount-IntPriorityIncentive)*'Intl Priority'!F85),2),ROUND('Intl Priority'!$F$105*(1+International_Fuel_Surcharge),2),ROUND(((1-IntPriorityDiscount-IntPriorityIncentive)*'Intl Priority'!F85)*(1+International_Fuel_Surcharge),2))</f>
        <v>427.62</v>
      </c>
      <c r="G88" s="283">
        <f>IF('Intl Priority'!$G$105&gt;ROUND(((1-IntPriorityDiscount-IntPriorityIncentive)*'Intl Priority'!G85),2),ROUND('Intl Priority'!$G$105*(1+International_Fuel_Surcharge),2),ROUND(((1-IntPriorityDiscount-IntPriorityIncentive)*'Intl Priority'!G85)*(1+International_Fuel_Surcharge),2))</f>
        <v>246.96</v>
      </c>
      <c r="H88" s="283">
        <f>IF('Intl Priority'!$H$105&gt;ROUND(((1-IntPriorityDiscount-IntPriorityIncentive)*'Intl Priority'!H85),2),ROUND('Intl Priority'!$H$105*(1+International_Fuel_Surcharge),2),ROUND(((1-IntPriorityDiscount-IntPriorityIncentive)*'Intl Priority'!H85)*(1+International_Fuel_Surcharge),2))</f>
        <v>253.56</v>
      </c>
      <c r="I88" s="283">
        <f>IF('Intl Priority'!$I$105&gt;ROUND(((1-IntPriorityDiscount-IntPriorityIncentive)*'Intl Priority'!I85),2),ROUND('Intl Priority'!$I$105*(1+International_Fuel_Surcharge),2),ROUND(((1-IntPriorityDiscount-IntPriorityIncentive)*'Intl Priority'!I85)*(1+International_Fuel_Surcharge),2))</f>
        <v>284.71</v>
      </c>
      <c r="J88" s="283">
        <f>IF('Intl Priority'!$J$105&gt;ROUND(((1-IntPriorityDiscount-IntPriorityIncentive)*'Intl Priority'!J85),2),ROUND('Intl Priority'!$J$105*(1+International_Fuel_Surcharge),2),ROUND(((1-IntPriorityDiscount-IntPriorityIncentive)*'Intl Priority'!J85)*(1+International_Fuel_Surcharge),2))</f>
        <v>205.46</v>
      </c>
      <c r="K88" s="283">
        <f>IF('Intl Priority'!$K$105&gt;ROUND(((1-IntPriorityDiscount-IntPriorityIncentive)*'Intl Priority'!K85),2),ROUND('Intl Priority'!$K$105*(1+International_Fuel_Surcharge),2),ROUND(((1-IntPriorityDiscount-IntPriorityIncentive)*'Intl Priority'!K85)*(1+International_Fuel_Surcharge),2))</f>
        <v>385.85</v>
      </c>
      <c r="L88" s="283">
        <f>IF('Intl Priority'!$L$105&gt;ROUND(((1-IntPriorityDiscount-IntPriorityIncentive)*'Intl Priority'!L85),2),ROUND('Intl Priority'!$L$105*(1+International_Fuel_Surcharge),2),ROUND(((1-IntPriorityDiscount-IntPriorityIncentive)*'Intl Priority'!L85)*(1+International_Fuel_Surcharge),2))</f>
        <v>309.96</v>
      </c>
      <c r="M88" s="283">
        <f>IF('Intl Priority'!$M$105&gt;ROUND(((1-IntPriorityDiscount-IntPriorityIncentive)*'Intl Priority'!M85),2),ROUND('Intl Priority'!$M$105*(1+International_Fuel_Surcharge),2),ROUND(((1-IntPriorityDiscount-IntPriorityIncentive)*'Intl Priority'!M85)*(1+International_Fuel_Surcharge),2))</f>
        <v>446.89</v>
      </c>
      <c r="N88" s="283">
        <f>IF('Intl Priority'!$N$105&gt;ROUND(((1-IntPriorityDiscount-IntPriorityIncentive)*'Intl Priority'!N85),2),ROUND('Intl Priority'!$N$105*(1+International_Fuel_Surcharge),2),ROUND(((1-IntPriorityDiscount-IntPriorityIncentive)*'Intl Priority'!N85)*(1+International_Fuel_Surcharge),2))</f>
        <v>414.86</v>
      </c>
      <c r="O88" s="283">
        <f>IF('Intl Priority'!$O$105&gt;ROUND(((1-IntPriorityDiscount-IntPriorityIncentive)*'Intl Priority'!O85),2),ROUND('Intl Priority'!$O$105*(1+International_Fuel_Surcharge),2),ROUND(((1-IntPriorityDiscount-IntPriorityIncentive)*'Intl Priority'!O85)*(1+International_Fuel_Surcharge),2))</f>
        <v>334.8</v>
      </c>
      <c r="P88" s="283">
        <f>IF('Intl Priority'!$P$105&gt;ROUND(((1-IntPriorityDiscount-IntPriorityIncentive)*'Intl Priority'!P85),2),ROUND('Intl Priority'!$P$105*(1+International_Fuel_Surcharge),2),ROUND(((1-IntPriorityDiscount-IntPriorityIncentive)*'Intl Priority'!P85)*(1+International_Fuel_Surcharge),2))</f>
        <v>332.93</v>
      </c>
      <c r="Q88" s="283">
        <f>IF('Intl Priority'!$Q$105&gt;ROUND(((1-PuertoRicoDiscount)*'Intl Priority'!Q85),2),ROUND('Intl Priority'!$Q$105*(1+International_Fuel_Surcharge),2),ROUND(((1-PuertoRicoDiscount)*'Intl Priority'!Q85)*(1+International_Fuel_Surcharge),2))</f>
        <v>473.31</v>
      </c>
      <c r="R88" s="138"/>
      <c r="S88" s="138"/>
      <c r="T88" s="138"/>
      <c r="U88" s="138"/>
      <c r="V88" s="138"/>
      <c r="W88" s="138"/>
      <c r="X88" s="138"/>
      <c r="Y88" s="138"/>
      <c r="Z88" s="138"/>
    </row>
    <row r="89" ht="12.75" customHeight="1">
      <c r="A89" s="274">
        <v>145.0</v>
      </c>
      <c r="B89" s="283">
        <f>IF('Intl Priority'!$B$105&gt;ROUND(((1-IntPriorityDiscount-IntPriorityIncentive)*'Intl Priority'!B86),2),ROUND('Intl Priority'!$B$105*(1+International_Fuel_Surcharge),2),ROUND(((1-IntPriorityDiscount-IntPriorityIncentive)*'Intl Priority'!B86)*(1+International_Fuel_Surcharge),2))</f>
        <v>142.9</v>
      </c>
      <c r="C89" s="283">
        <f>IF('Intl Priority'!$C$105&gt;ROUND(((1-IntPriorityDiscount-IntPriorityIncentive)*'Intl Priority'!C86),2),ROUND('Intl Priority'!$C$105*(1+International_Fuel_Surcharge),2),ROUND(((1-IntPriorityDiscount-IntPriorityIncentive)*'Intl Priority'!C86)*(1+International_Fuel_Surcharge),2))</f>
        <v>158.69</v>
      </c>
      <c r="D89" s="283">
        <f>IF('Intl Priority'!$D$105&gt;ROUND(((1-IntPriorityDiscount-IntPriorityIncentive)*'Intl Priority'!D86),2),ROUND('Intl Priority'!$D$105*(1+International_Fuel_Surcharge),2),ROUND(((1-IntPriorityDiscount-IntPriorityIncentive)*'Intl Priority'!D86)*(1+International_Fuel_Surcharge),2))</f>
        <v>163.05</v>
      </c>
      <c r="E89" s="283">
        <f>IF('Intl Priority'!$E$105&gt;ROUND(((1-IntPriorityDiscount-IntPriorityIncentive)*'Intl Priority'!E86),2),ROUND('Intl Priority'!$E$105*(1+International_Fuel_Surcharge),2),ROUND(((1-IntPriorityDiscount-IntPriorityIncentive)*'Intl Priority'!E86)*(1+International_Fuel_Surcharge),2))</f>
        <v>256.41</v>
      </c>
      <c r="F89" s="283">
        <f>IF('Intl Priority'!$F$105&gt;ROUND(((1-IntPriorityDiscount-IntPriorityIncentive)*'Intl Priority'!F86),2),ROUND('Intl Priority'!$F$105*(1+International_Fuel_Surcharge),2),ROUND(((1-IntPriorityDiscount-IntPriorityIncentive)*'Intl Priority'!F86)*(1+International_Fuel_Surcharge),2))</f>
        <v>428.22</v>
      </c>
      <c r="G89" s="283">
        <f>IF('Intl Priority'!$G$105&gt;ROUND(((1-IntPriorityDiscount-IntPriorityIncentive)*'Intl Priority'!G86),2),ROUND('Intl Priority'!$G$105*(1+International_Fuel_Surcharge),2),ROUND(((1-IntPriorityDiscount-IntPriorityIncentive)*'Intl Priority'!G86)*(1+International_Fuel_Surcharge),2))</f>
        <v>247.39</v>
      </c>
      <c r="H89" s="283">
        <f>IF('Intl Priority'!$H$105&gt;ROUND(((1-IntPriorityDiscount-IntPriorityIncentive)*'Intl Priority'!H86),2),ROUND('Intl Priority'!$H$105*(1+International_Fuel_Surcharge),2),ROUND(((1-IntPriorityDiscount-IntPriorityIncentive)*'Intl Priority'!H86)*(1+International_Fuel_Surcharge),2))</f>
        <v>255.9</v>
      </c>
      <c r="I89" s="283">
        <f>IF('Intl Priority'!$I$105&gt;ROUND(((1-IntPriorityDiscount-IntPriorityIncentive)*'Intl Priority'!I86),2),ROUND('Intl Priority'!$I$105*(1+International_Fuel_Surcharge),2),ROUND(((1-IntPriorityDiscount-IntPriorityIncentive)*'Intl Priority'!I86)*(1+International_Fuel_Surcharge),2))</f>
        <v>284.77</v>
      </c>
      <c r="J89" s="283">
        <f>IF('Intl Priority'!$J$105&gt;ROUND(((1-IntPriorityDiscount-IntPriorityIncentive)*'Intl Priority'!J86),2),ROUND('Intl Priority'!$J$105*(1+International_Fuel_Surcharge),2),ROUND(((1-IntPriorityDiscount-IntPriorityIncentive)*'Intl Priority'!J86)*(1+International_Fuel_Surcharge),2))</f>
        <v>219.35</v>
      </c>
      <c r="K89" s="283">
        <f>IF('Intl Priority'!$K$105&gt;ROUND(((1-IntPriorityDiscount-IntPriorityIncentive)*'Intl Priority'!K86),2),ROUND('Intl Priority'!$K$105*(1+International_Fuel_Surcharge),2),ROUND(((1-IntPriorityDiscount-IntPriorityIncentive)*'Intl Priority'!K86)*(1+International_Fuel_Surcharge),2))</f>
        <v>408.26</v>
      </c>
      <c r="L89" s="283">
        <f>IF('Intl Priority'!$L$105&gt;ROUND(((1-IntPriorityDiscount-IntPriorityIncentive)*'Intl Priority'!L86),2),ROUND('Intl Priority'!$L$105*(1+International_Fuel_Surcharge),2),ROUND(((1-IntPriorityDiscount-IntPriorityIncentive)*'Intl Priority'!L86)*(1+International_Fuel_Surcharge),2))</f>
        <v>310.03</v>
      </c>
      <c r="M89" s="283">
        <f>IF('Intl Priority'!$M$105&gt;ROUND(((1-IntPriorityDiscount-IntPriorityIncentive)*'Intl Priority'!M86),2),ROUND('Intl Priority'!$M$105*(1+International_Fuel_Surcharge),2),ROUND(((1-IntPriorityDiscount-IntPriorityIncentive)*'Intl Priority'!M86)*(1+International_Fuel_Surcharge),2))</f>
        <v>446.94</v>
      </c>
      <c r="N89" s="283">
        <f>IF('Intl Priority'!$N$105&gt;ROUND(((1-IntPriorityDiscount-IntPriorityIncentive)*'Intl Priority'!N86),2),ROUND('Intl Priority'!$N$105*(1+International_Fuel_Surcharge),2),ROUND(((1-IntPriorityDiscount-IntPriorityIncentive)*'Intl Priority'!N86)*(1+International_Fuel_Surcharge),2))</f>
        <v>416.21</v>
      </c>
      <c r="O89" s="283">
        <f>IF('Intl Priority'!$O$105&gt;ROUND(((1-IntPriorityDiscount-IntPriorityIncentive)*'Intl Priority'!O86),2),ROUND('Intl Priority'!$O$105*(1+International_Fuel_Surcharge),2),ROUND(((1-IntPriorityDiscount-IntPriorityIncentive)*'Intl Priority'!O86)*(1+International_Fuel_Surcharge),2))</f>
        <v>334.96</v>
      </c>
      <c r="P89" s="283">
        <f>IF('Intl Priority'!$P$105&gt;ROUND(((1-IntPriorityDiscount-IntPriorityIncentive)*'Intl Priority'!P86),2),ROUND('Intl Priority'!$P$105*(1+International_Fuel_Surcharge),2),ROUND(((1-IntPriorityDiscount-IntPriorityIncentive)*'Intl Priority'!P86)*(1+International_Fuel_Surcharge),2))</f>
        <v>332.98</v>
      </c>
      <c r="Q89" s="283">
        <f>IF('Intl Priority'!$Q$105&gt;ROUND(((1-PuertoRicoDiscount)*'Intl Priority'!Q86),2),ROUND('Intl Priority'!$Q$105*(1+International_Fuel_Surcharge),2),ROUND(((1-PuertoRicoDiscount)*'Intl Priority'!Q86)*(1+International_Fuel_Surcharge),2))</f>
        <v>477.95</v>
      </c>
      <c r="R89" s="138"/>
      <c r="S89" s="138"/>
      <c r="T89" s="138"/>
      <c r="U89" s="138"/>
      <c r="V89" s="138"/>
      <c r="W89" s="138"/>
      <c r="X89" s="138"/>
      <c r="Y89" s="138"/>
      <c r="Z89" s="138"/>
    </row>
    <row r="90" ht="12.75" customHeight="1">
      <c r="A90" s="274">
        <v>150.0</v>
      </c>
      <c r="B90" s="283">
        <f>IF('Intl Priority'!$B$105&gt;ROUND(((1-IntPriorityDiscount-IntPriorityIncentive)*'Intl Priority'!B87),2),ROUND('Intl Priority'!$B$105*(1+International_Fuel_Surcharge),2),ROUND(((1-IntPriorityDiscount-IntPriorityIncentive)*'Intl Priority'!B87)*(1+International_Fuel_Surcharge),2))</f>
        <v>143.72</v>
      </c>
      <c r="C90" s="283">
        <f>IF('Intl Priority'!$C$105&gt;ROUND(((1-IntPriorityDiscount-IntPriorityIncentive)*'Intl Priority'!C87),2),ROUND('Intl Priority'!$C$105*(1+International_Fuel_Surcharge),2),ROUND(((1-IntPriorityDiscount-IntPriorityIncentive)*'Intl Priority'!C87)*(1+International_Fuel_Surcharge),2))</f>
        <v>159.64</v>
      </c>
      <c r="D90" s="283">
        <f>IF('Intl Priority'!$D$105&gt;ROUND(((1-IntPriorityDiscount-IntPriorityIncentive)*'Intl Priority'!D87),2),ROUND('Intl Priority'!$D$105*(1+International_Fuel_Surcharge),2),ROUND(((1-IntPriorityDiscount-IntPriorityIncentive)*'Intl Priority'!D87)*(1+International_Fuel_Surcharge),2))</f>
        <v>163.21</v>
      </c>
      <c r="E90" s="283">
        <f>IF('Intl Priority'!$E$105&gt;ROUND(((1-IntPriorityDiscount-IntPriorityIncentive)*'Intl Priority'!E87),2),ROUND('Intl Priority'!$E$105*(1+International_Fuel_Surcharge),2),ROUND(((1-IntPriorityDiscount-IntPriorityIncentive)*'Intl Priority'!E87)*(1+International_Fuel_Surcharge),2))</f>
        <v>256.8</v>
      </c>
      <c r="F90" s="283">
        <f>IF('Intl Priority'!$F$105&gt;ROUND(((1-IntPriorityDiscount-IntPriorityIncentive)*'Intl Priority'!F87),2),ROUND('Intl Priority'!$F$105*(1+International_Fuel_Surcharge),2),ROUND(((1-IntPriorityDiscount-IntPriorityIncentive)*'Intl Priority'!F87)*(1+International_Fuel_Surcharge),2))</f>
        <v>429.42</v>
      </c>
      <c r="G90" s="283">
        <f>IF('Intl Priority'!$G$105&gt;ROUND(((1-IntPriorityDiscount-IntPriorityIncentive)*'Intl Priority'!G87),2),ROUND('Intl Priority'!$G$105*(1+International_Fuel_Surcharge),2),ROUND(((1-IntPriorityDiscount-IntPriorityIncentive)*'Intl Priority'!G87)*(1+International_Fuel_Surcharge),2))</f>
        <v>255.89</v>
      </c>
      <c r="H90" s="283">
        <f>IF('Intl Priority'!$H$105&gt;ROUND(((1-IntPriorityDiscount-IntPriorityIncentive)*'Intl Priority'!H87),2),ROUND('Intl Priority'!$H$105*(1+International_Fuel_Surcharge),2),ROUND(((1-IntPriorityDiscount-IntPriorityIncentive)*'Intl Priority'!H87)*(1+International_Fuel_Surcharge),2))</f>
        <v>256.14</v>
      </c>
      <c r="I90" s="283">
        <f>IF('Intl Priority'!$I$105&gt;ROUND(((1-IntPriorityDiscount-IntPriorityIncentive)*'Intl Priority'!I87),2),ROUND('Intl Priority'!$I$105*(1+International_Fuel_Surcharge),2),ROUND(((1-IntPriorityDiscount-IntPriorityIncentive)*'Intl Priority'!I87)*(1+International_Fuel_Surcharge),2))</f>
        <v>284.82</v>
      </c>
      <c r="J90" s="283">
        <f>IF('Intl Priority'!$J$105&gt;ROUND(((1-IntPriorityDiscount-IntPriorityIncentive)*'Intl Priority'!J87),2),ROUND('Intl Priority'!$J$105*(1+International_Fuel_Surcharge),2),ROUND(((1-IntPriorityDiscount-IntPriorityIncentive)*'Intl Priority'!J87)*(1+International_Fuel_Surcharge),2))</f>
        <v>220.75</v>
      </c>
      <c r="K90" s="283">
        <f>IF('Intl Priority'!$K$105&gt;ROUND(((1-IntPriorityDiscount-IntPriorityIncentive)*'Intl Priority'!K87),2),ROUND('Intl Priority'!$K$105*(1+International_Fuel_Surcharge),2),ROUND(((1-IntPriorityDiscount-IntPriorityIncentive)*'Intl Priority'!K87)*(1+International_Fuel_Surcharge),2))</f>
        <v>411.76</v>
      </c>
      <c r="L90" s="283">
        <f>IF('Intl Priority'!$L$105&gt;ROUND(((1-IntPriorityDiscount-IntPriorityIncentive)*'Intl Priority'!L87),2),ROUND('Intl Priority'!$L$105*(1+International_Fuel_Surcharge),2),ROUND(((1-IntPriorityDiscount-IntPriorityIncentive)*'Intl Priority'!L87)*(1+International_Fuel_Surcharge),2))</f>
        <v>311.52</v>
      </c>
      <c r="M90" s="283">
        <f>IF('Intl Priority'!$M$105&gt;ROUND(((1-IntPriorityDiscount-IntPriorityIncentive)*'Intl Priority'!M87),2),ROUND('Intl Priority'!$M$105*(1+International_Fuel_Surcharge),2),ROUND(((1-IntPriorityDiscount-IntPriorityIncentive)*'Intl Priority'!M87)*(1+International_Fuel_Surcharge),2))</f>
        <v>446.99</v>
      </c>
      <c r="N90" s="283">
        <f>IF('Intl Priority'!$N$105&gt;ROUND(((1-IntPriorityDiscount-IntPriorityIncentive)*'Intl Priority'!N87),2),ROUND('Intl Priority'!$N$105*(1+International_Fuel_Surcharge),2),ROUND(((1-IntPriorityDiscount-IntPriorityIncentive)*'Intl Priority'!N87)*(1+International_Fuel_Surcharge),2))</f>
        <v>436.99</v>
      </c>
      <c r="O90" s="283">
        <f>IF('Intl Priority'!$O$105&gt;ROUND(((1-IntPriorityDiscount-IntPriorityIncentive)*'Intl Priority'!O87),2),ROUND('Intl Priority'!$O$105*(1+International_Fuel_Surcharge),2),ROUND(((1-IntPriorityDiscount-IntPriorityIncentive)*'Intl Priority'!O87)*(1+International_Fuel_Surcharge),2))</f>
        <v>335.01</v>
      </c>
      <c r="P90" s="283">
        <f>IF('Intl Priority'!$P$105&gt;ROUND(((1-IntPriorityDiscount-IntPriorityIncentive)*'Intl Priority'!P87),2),ROUND('Intl Priority'!$P$105*(1+International_Fuel_Surcharge),2),ROUND(((1-IntPriorityDiscount-IntPriorityIncentive)*'Intl Priority'!P87)*(1+International_Fuel_Surcharge),2))</f>
        <v>333.47</v>
      </c>
      <c r="Q90" s="283">
        <f>IF('Intl Priority'!$Q$105&gt;ROUND(((1-PuertoRicoDiscount)*'Intl Priority'!Q87),2),ROUND('Intl Priority'!$Q$105*(1+International_Fuel_Surcharge),2),ROUND(((1-PuertoRicoDiscount)*'Intl Priority'!Q87)*(1+International_Fuel_Surcharge),2))</f>
        <v>478.11</v>
      </c>
      <c r="R90" s="138"/>
      <c r="S90" s="138"/>
      <c r="T90" s="138"/>
      <c r="U90" s="138"/>
      <c r="V90" s="138"/>
      <c r="W90" s="138"/>
      <c r="X90" s="138"/>
      <c r="Y90" s="138"/>
      <c r="Z90" s="138"/>
    </row>
    <row r="91" ht="12.75" customHeight="1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</row>
    <row r="92" ht="12.75" customHeight="1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</row>
    <row r="93" ht="12.75" customHeight="1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</row>
    <row r="94" ht="12.75" customHeight="1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</row>
    <row r="95" ht="12.75" customHeight="1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</row>
    <row r="96" ht="12.75" customHeight="1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</row>
    <row r="97" ht="12.75" customHeight="1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</row>
    <row r="98" ht="12.75" customHeight="1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ht="12.75" customHeight="1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ht="12.75" customHeight="1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ht="12.75" customHeight="1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ht="12.75" customHeight="1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ht="12.75" customHeight="1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ht="12.75" customHeight="1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ht="12.75" customHeight="1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ht="12.75" customHeight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ht="12.75" customHeight="1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ht="12.75" customHeight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ht="12.75" customHeight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ht="12.75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ht="12.75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ht="12.75" customHeight="1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ht="12.75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</row>
    <row r="114" ht="12.75" customHeight="1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</row>
    <row r="115" ht="12.75" customHeigh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ht="12.7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ht="12.7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ht="12.75" customHeight="1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</row>
    <row r="119" ht="12.75" customHeight="1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</row>
    <row r="120" ht="12.75" customHeight="1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</row>
    <row r="121" ht="12.7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</row>
    <row r="122" ht="12.75" customHeight="1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</row>
    <row r="123" ht="12.7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</row>
    <row r="124" ht="12.75" customHeight="1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ht="12.7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ht="12.75" customHeight="1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</row>
    <row r="127" ht="12.75" customHeight="1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</row>
    <row r="128" ht="12.75" customHeight="1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</row>
    <row r="129" ht="12.75" customHeight="1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</row>
    <row r="130" ht="12.75" customHeight="1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</row>
    <row r="131" ht="12.75" customHeight="1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</row>
    <row r="132" ht="12.75" customHeight="1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</row>
    <row r="133" ht="12.75" customHeight="1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</row>
    <row r="134" ht="12.75" customHeigh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</row>
    <row r="135" ht="12.75" customHeight="1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</row>
    <row r="136" ht="12.75" customHeight="1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</row>
    <row r="137" ht="12.75" customHeight="1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</row>
    <row r="138" ht="12.75" customHeight="1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</row>
    <row r="139" ht="12.75" customHeight="1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</row>
    <row r="140" ht="12.75" customHeight="1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</row>
    <row r="141" ht="12.75" customHeight="1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</row>
    <row r="142" ht="12.75" customHeight="1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</row>
    <row r="143" ht="12.75" customHeight="1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</row>
    <row r="144" ht="12.75" customHeigh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</row>
    <row r="145" ht="12.75" customHeight="1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</row>
    <row r="146" ht="12.75" customHeight="1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</row>
    <row r="147" ht="12.75" customHeight="1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</row>
    <row r="148" ht="12.75" customHeight="1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</row>
    <row r="149" ht="12.75" customHeight="1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</row>
    <row r="150" ht="12.7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</row>
    <row r="151" ht="12.75" customHeight="1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</row>
    <row r="152" ht="12.7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</row>
    <row r="153" ht="12.75" customHeight="1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</row>
    <row r="154" ht="12.75" customHeight="1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</row>
    <row r="155" ht="12.75" customHeight="1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</row>
    <row r="156" ht="12.75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</row>
    <row r="157" ht="12.75" customHeight="1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</row>
    <row r="158" ht="12.75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</row>
    <row r="159" ht="12.75" customHeight="1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</row>
    <row r="160" ht="12.75" customHeigh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</row>
    <row r="161" ht="12.75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</row>
    <row r="162" ht="12.75" customHeight="1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</row>
    <row r="163" ht="12.75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</row>
    <row r="164" ht="12.75" customHeight="1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</row>
    <row r="165" ht="12.75" customHeight="1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</row>
    <row r="166" ht="12.75" customHeight="1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</row>
    <row r="167" ht="12.75" customHeight="1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</row>
    <row r="168" ht="12.75" customHeight="1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</row>
    <row r="169" ht="12.75" customHeight="1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</row>
    <row r="170" ht="12.7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</row>
    <row r="171" ht="12.75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</row>
    <row r="172" ht="12.75" customHeight="1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</row>
    <row r="173" ht="12.75" customHeight="1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</row>
    <row r="174" ht="12.75" customHeight="1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</row>
    <row r="175" ht="12.7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</row>
    <row r="176" ht="12.75" customHeight="1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</row>
    <row r="177" ht="12.7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</row>
    <row r="178" ht="12.75" customHeigh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</row>
    <row r="179" ht="12.75" customHeight="1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</row>
    <row r="180" ht="12.75" customHeight="1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</row>
    <row r="181" ht="12.75" customHeight="1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</row>
    <row r="182" ht="12.75" customHeight="1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</row>
    <row r="183" ht="12.7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</row>
    <row r="184" ht="12.75" customHeight="1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</row>
    <row r="185" ht="12.75" customHeight="1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</row>
    <row r="186" ht="12.75" customHeight="1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</row>
    <row r="187" ht="12.75" customHeight="1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</row>
    <row r="188" ht="12.7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</row>
    <row r="189" ht="12.75" customHeight="1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</row>
    <row r="190" ht="12.75" customHeight="1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</row>
    <row r="191" ht="12.75" customHeight="1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</row>
    <row r="192" ht="12.7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</row>
    <row r="193" ht="12.75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</row>
    <row r="194" ht="12.75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</row>
    <row r="195" ht="12.7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</row>
    <row r="196" ht="12.7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</row>
    <row r="197" ht="12.7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</row>
    <row r="198" ht="12.7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</row>
    <row r="199" ht="12.75" customHeight="1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</row>
    <row r="200" ht="12.75" customHeight="1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</row>
    <row r="201" ht="12.75" customHeight="1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</row>
    <row r="202" ht="12.75" customHeight="1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</row>
    <row r="203" ht="12.75" customHeight="1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</row>
    <row r="204" ht="12.75" customHeight="1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</row>
    <row r="205" ht="12.75" customHeight="1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</row>
    <row r="206" ht="12.75" customHeight="1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</row>
    <row r="207" ht="12.75" customHeight="1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</row>
    <row r="208" ht="12.7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</row>
    <row r="209" ht="12.75" customHeight="1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</row>
    <row r="210" ht="12.75" customHeight="1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</row>
    <row r="211" ht="12.75" customHeight="1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</row>
    <row r="212" ht="12.75" customHeight="1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</row>
    <row r="213" ht="12.75" customHeight="1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</row>
    <row r="214" ht="12.75" customHeight="1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</row>
    <row r="215" ht="12.75" customHeight="1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</row>
    <row r="216" ht="12.75" customHeight="1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</row>
    <row r="217" ht="12.75" customHeight="1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</row>
    <row r="218" ht="12.75" customHeight="1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</row>
    <row r="219" ht="12.75" customHeight="1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</row>
    <row r="220" ht="12.75" customHeight="1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</row>
    <row r="221" ht="12.75" customHeight="1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</row>
    <row r="222" ht="12.75" customHeight="1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</row>
    <row r="223" ht="12.75" customHeight="1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</row>
    <row r="224" ht="12.75" customHeight="1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</row>
    <row r="225" ht="12.75" customHeight="1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</row>
    <row r="226" ht="12.75" customHeight="1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</row>
    <row r="227" ht="12.75" customHeight="1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</row>
    <row r="228" ht="12.75" customHeight="1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</row>
    <row r="229" ht="12.75" customHeight="1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</row>
    <row r="230" ht="12.75" customHeight="1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</row>
    <row r="231" ht="12.75" customHeight="1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</row>
    <row r="232" ht="12.75" customHeight="1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</row>
    <row r="233" ht="12.75" customHeight="1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</row>
    <row r="234" ht="12.75" customHeight="1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</row>
    <row r="235" ht="12.75" customHeight="1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</row>
    <row r="236" ht="12.75" customHeight="1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</row>
    <row r="237" ht="12.75" customHeight="1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</row>
    <row r="238" ht="12.75" customHeight="1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</row>
    <row r="239" ht="12.75" customHeight="1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</row>
    <row r="240" ht="12.75" customHeight="1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</row>
    <row r="241" ht="12.75" customHeight="1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</row>
    <row r="242" ht="12.75" customHeight="1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</row>
    <row r="243" ht="12.75" customHeight="1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</row>
    <row r="244" ht="12.75" customHeight="1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</row>
    <row r="245" ht="12.75" customHeight="1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</row>
    <row r="246" ht="12.75" customHeight="1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</row>
    <row r="247" ht="12.75" customHeight="1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</row>
    <row r="248" ht="12.75" customHeight="1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</row>
    <row r="249" ht="12.75" customHeight="1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</row>
    <row r="250" ht="12.75" customHeight="1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</row>
    <row r="251" ht="12.75" customHeight="1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</row>
    <row r="252" ht="12.75" customHeight="1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</row>
    <row r="253" ht="12.75" customHeight="1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</row>
    <row r="254" ht="12.75" customHeight="1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</row>
    <row r="255" ht="12.75" customHeight="1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</row>
    <row r="256" ht="12.75" customHeight="1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</row>
    <row r="257" ht="12.75" customHeight="1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</row>
    <row r="258" ht="12.75" customHeight="1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</row>
    <row r="259" ht="12.75" customHeight="1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</row>
    <row r="260" ht="12.75" customHeight="1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</row>
    <row r="261" ht="12.75" customHeight="1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</row>
    <row r="262" ht="12.75" customHeight="1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</row>
    <row r="263" ht="12.75" customHeight="1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</row>
    <row r="264" ht="12.75" customHeight="1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</row>
    <row r="265" ht="12.75" customHeight="1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</row>
    <row r="266" ht="12.75" customHeight="1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</row>
    <row r="267" ht="12.75" customHeight="1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</row>
    <row r="268" ht="12.75" customHeight="1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</row>
    <row r="269" ht="12.75" customHeight="1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</row>
    <row r="270" ht="12.75" customHeight="1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</row>
    <row r="271" ht="12.75" customHeight="1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</row>
    <row r="272" ht="12.75" customHeight="1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</row>
    <row r="273" ht="12.75" customHeight="1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</row>
    <row r="274" ht="12.75" customHeight="1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</row>
    <row r="275" ht="12.75" customHeight="1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</row>
    <row r="276" ht="12.75" customHeight="1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</row>
    <row r="277" ht="12.75" customHeight="1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</row>
    <row r="278" ht="12.75" customHeight="1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</row>
    <row r="279" ht="12.75" customHeight="1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</row>
    <row r="280" ht="12.75" customHeight="1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</row>
    <row r="281" ht="12.75" customHeight="1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</row>
    <row r="282" ht="12.75" customHeight="1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</row>
    <row r="283" ht="12.75" customHeight="1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</row>
    <row r="284" ht="12.75" customHeight="1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</row>
    <row r="285" ht="12.75" customHeight="1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</row>
    <row r="286" ht="12.75" customHeight="1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</row>
    <row r="287" ht="12.75" customHeight="1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</row>
    <row r="288" ht="12.75" customHeight="1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</row>
    <row r="289" ht="12.75" customHeight="1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</row>
    <row r="290" ht="12.75" customHeight="1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</row>
    <row r="291" ht="12.75" customHeight="1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</row>
    <row r="292" ht="12.75" customHeight="1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</row>
    <row r="293" ht="12.75" customHeight="1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</row>
    <row r="294" ht="12.75" customHeight="1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</row>
    <row r="295" ht="12.75" customHeight="1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</row>
    <row r="296" ht="12.75" customHeight="1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</row>
    <row r="297" ht="12.75" customHeight="1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</row>
    <row r="298" ht="12.75" customHeight="1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</row>
    <row r="299" ht="12.75" customHeight="1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</row>
    <row r="300" ht="12.75" customHeight="1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</row>
    <row r="301" ht="12.75" customHeight="1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</row>
    <row r="302" ht="12.75" customHeight="1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</row>
    <row r="303" ht="12.75" customHeight="1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</row>
    <row r="304" ht="12.75" customHeight="1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</row>
    <row r="305" ht="12.75" customHeight="1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</row>
    <row r="306" ht="12.75" customHeight="1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</row>
    <row r="307" ht="12.75" customHeight="1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</row>
    <row r="308" ht="12.75" customHeight="1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</row>
    <row r="309" ht="12.75" customHeight="1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</row>
    <row r="310" ht="12.75" customHeight="1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</row>
    <row r="311" ht="12.75" customHeight="1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</row>
    <row r="312" ht="12.75" customHeight="1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</row>
    <row r="313" ht="12.75" customHeight="1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</row>
    <row r="314" ht="12.75" customHeight="1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</row>
    <row r="315" ht="12.75" customHeight="1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</row>
    <row r="316" ht="12.75" customHeight="1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</row>
    <row r="317" ht="12.75" customHeight="1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</row>
    <row r="318" ht="12.75" customHeight="1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</row>
    <row r="319" ht="12.75" customHeight="1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</row>
    <row r="320" ht="12.75" customHeight="1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</row>
    <row r="321" ht="12.75" customHeight="1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</row>
    <row r="322" ht="12.75" customHeight="1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</row>
    <row r="323" ht="12.75" customHeight="1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</row>
    <row r="324" ht="12.75" customHeight="1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</row>
    <row r="325" ht="12.75" customHeight="1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</row>
    <row r="326" ht="12.75" customHeight="1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</row>
    <row r="327" ht="12.75" customHeight="1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</row>
    <row r="328" ht="12.75" customHeight="1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</row>
    <row r="329" ht="12.75" customHeight="1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</row>
    <row r="330" ht="12.75" customHeight="1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</row>
    <row r="331" ht="12.75" customHeight="1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</row>
    <row r="332" ht="12.75" customHeight="1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</row>
    <row r="333" ht="12.75" customHeight="1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</row>
    <row r="334" ht="12.75" customHeight="1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</row>
    <row r="335" ht="12.75" customHeight="1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</row>
    <row r="336" ht="12.75" customHeight="1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</row>
    <row r="337" ht="12.75" customHeight="1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</row>
    <row r="338" ht="12.75" customHeight="1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</row>
    <row r="339" ht="12.75" customHeight="1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</row>
    <row r="340" ht="12.75" customHeight="1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</row>
    <row r="341" ht="12.75" customHeight="1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</row>
    <row r="342" ht="12.75" customHeight="1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</row>
    <row r="343" ht="12.75" customHeight="1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</row>
    <row r="344" ht="12.75" customHeight="1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</row>
    <row r="345" ht="12.75" customHeight="1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</row>
    <row r="346" ht="12.75" customHeight="1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</row>
    <row r="347" ht="12.75" customHeight="1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</row>
    <row r="348" ht="12.75" customHeight="1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</row>
    <row r="349" ht="12.75" customHeight="1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</row>
    <row r="350" ht="12.75" customHeight="1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</row>
    <row r="351" ht="12.75" customHeight="1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</row>
    <row r="352" ht="12.75" customHeight="1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</row>
    <row r="353" ht="12.75" customHeight="1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</row>
    <row r="354" ht="12.75" customHeight="1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</row>
    <row r="355" ht="12.75" customHeight="1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</row>
    <row r="356" ht="12.75" customHeight="1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</row>
    <row r="357" ht="12.75" customHeight="1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</row>
    <row r="358" ht="12.75" customHeight="1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</row>
    <row r="359" ht="12.75" customHeight="1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</row>
    <row r="360" ht="12.75" customHeight="1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</row>
    <row r="361" ht="12.75" customHeight="1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</row>
    <row r="362" ht="12.75" customHeight="1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</row>
    <row r="363" ht="12.75" customHeight="1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</row>
    <row r="364" ht="12.75" customHeight="1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</row>
    <row r="365" ht="12.75" customHeight="1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</row>
    <row r="366" ht="12.75" customHeight="1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</row>
    <row r="367" ht="12.75" customHeight="1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</row>
    <row r="368" ht="12.75" customHeight="1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</row>
    <row r="369" ht="12.75" customHeight="1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</row>
    <row r="370" ht="12.75" customHeight="1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</row>
    <row r="371" ht="12.75" customHeight="1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</row>
    <row r="372" ht="12.75" customHeight="1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</row>
    <row r="373" ht="12.75" customHeight="1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</row>
    <row r="374" ht="12.75" customHeight="1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</row>
    <row r="375" ht="12.75" customHeight="1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</row>
    <row r="376" ht="12.75" customHeight="1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</row>
    <row r="377" ht="12.75" customHeight="1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</row>
    <row r="378" ht="12.75" customHeight="1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</row>
    <row r="379" ht="12.75" customHeight="1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</row>
    <row r="380" ht="12.75" customHeight="1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</row>
    <row r="381" ht="12.75" customHeight="1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</row>
    <row r="382" ht="12.75" customHeight="1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</row>
    <row r="383" ht="12.75" customHeight="1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</row>
    <row r="384" ht="12.75" customHeight="1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</row>
    <row r="385" ht="12.75" customHeight="1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</row>
    <row r="386" ht="12.75" customHeight="1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</row>
    <row r="387" ht="12.75" customHeight="1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</row>
    <row r="388" ht="12.75" customHeight="1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</row>
    <row r="389" ht="12.75" customHeight="1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</row>
    <row r="390" ht="12.75" customHeight="1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</row>
    <row r="391" ht="12.75" customHeight="1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</row>
    <row r="392" ht="12.75" customHeight="1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</row>
    <row r="393" ht="12.75" customHeight="1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</row>
    <row r="394" ht="12.75" customHeight="1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</row>
    <row r="395" ht="12.75" customHeight="1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</row>
    <row r="396" ht="12.75" customHeight="1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</row>
    <row r="397" ht="12.75" customHeight="1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</row>
    <row r="398" ht="12.75" customHeight="1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</row>
    <row r="399" ht="12.75" customHeight="1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</row>
    <row r="400" ht="12.75" customHeight="1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</row>
    <row r="401" ht="12.75" customHeight="1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</row>
    <row r="402" ht="12.75" customHeight="1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</row>
    <row r="403" ht="12.75" customHeight="1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</row>
    <row r="404" ht="12.75" customHeight="1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</row>
    <row r="405" ht="12.75" customHeight="1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</row>
    <row r="406" ht="12.75" customHeight="1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</row>
    <row r="407" ht="12.75" customHeight="1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</row>
    <row r="408" ht="12.75" customHeight="1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</row>
    <row r="409" ht="12.75" customHeight="1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</row>
    <row r="410" ht="12.75" customHeight="1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</row>
    <row r="411" ht="12.75" customHeight="1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</row>
    <row r="412" ht="12.75" customHeight="1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</row>
    <row r="413" ht="12.75" customHeight="1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</row>
    <row r="414" ht="12.75" customHeight="1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</row>
    <row r="415" ht="12.75" customHeight="1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</row>
    <row r="416" ht="12.75" customHeight="1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</row>
    <row r="417" ht="12.75" customHeight="1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</row>
    <row r="418" ht="12.75" customHeight="1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</row>
    <row r="419" ht="12.75" customHeight="1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</row>
    <row r="420" ht="12.75" customHeight="1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</row>
    <row r="421" ht="12.75" customHeight="1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</row>
    <row r="422" ht="12.75" customHeight="1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</row>
    <row r="423" ht="12.75" customHeight="1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</row>
    <row r="424" ht="12.75" customHeight="1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</row>
    <row r="425" ht="12.75" customHeight="1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</row>
    <row r="426" ht="12.75" customHeight="1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</row>
    <row r="427" ht="12.75" customHeight="1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</row>
    <row r="428" ht="12.75" customHeight="1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</row>
    <row r="429" ht="12.75" customHeight="1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</row>
    <row r="430" ht="12.75" customHeight="1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</row>
    <row r="431" ht="12.75" customHeight="1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</row>
    <row r="432" ht="12.75" customHeight="1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</row>
    <row r="433" ht="12.75" customHeight="1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</row>
    <row r="434" ht="12.75" customHeight="1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</row>
    <row r="435" ht="12.75" customHeight="1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</row>
    <row r="436" ht="12.75" customHeight="1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</row>
    <row r="437" ht="12.75" customHeight="1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</row>
    <row r="438" ht="12.75" customHeight="1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</row>
    <row r="439" ht="12.75" customHeight="1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</row>
    <row r="440" ht="12.75" customHeight="1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</row>
    <row r="441" ht="12.75" customHeight="1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</row>
    <row r="442" ht="12.75" customHeight="1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</row>
    <row r="443" ht="12.75" customHeight="1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</row>
    <row r="444" ht="12.75" customHeight="1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</row>
    <row r="445" ht="12.75" customHeight="1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</row>
    <row r="446" ht="12.75" customHeight="1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</row>
    <row r="447" ht="12.75" customHeight="1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</row>
    <row r="448" ht="12.75" customHeight="1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</row>
    <row r="449" ht="12.75" customHeight="1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</row>
    <row r="450" ht="12.75" customHeight="1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</row>
    <row r="451" ht="12.75" customHeight="1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</row>
    <row r="452" ht="12.75" customHeight="1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</row>
    <row r="453" ht="12.75" customHeight="1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</row>
    <row r="454" ht="12.75" customHeight="1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</row>
    <row r="455" ht="12.75" customHeight="1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</row>
    <row r="456" ht="12.75" customHeight="1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</row>
    <row r="457" ht="12.75" customHeight="1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</row>
    <row r="458" ht="12.75" customHeight="1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</row>
    <row r="459" ht="12.75" customHeight="1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</row>
    <row r="460" ht="12.75" customHeight="1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</row>
    <row r="461" ht="12.75" customHeight="1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</row>
    <row r="462" ht="12.75" customHeight="1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</row>
    <row r="463" ht="12.75" customHeight="1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</row>
    <row r="464" ht="12.75" customHeight="1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</row>
    <row r="465" ht="12.75" customHeight="1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</row>
    <row r="466" ht="12.75" customHeight="1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</row>
    <row r="467" ht="12.75" customHeight="1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</row>
    <row r="468" ht="12.75" customHeight="1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</row>
    <row r="469" ht="12.75" customHeight="1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</row>
    <row r="470" ht="12.75" customHeight="1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</row>
    <row r="471" ht="12.75" customHeight="1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</row>
    <row r="472" ht="12.75" customHeight="1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</row>
    <row r="473" ht="12.75" customHeight="1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</row>
    <row r="474" ht="12.75" customHeight="1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</row>
    <row r="475" ht="12.75" customHeight="1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</row>
    <row r="476" ht="12.75" customHeight="1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</row>
    <row r="477" ht="12.75" customHeight="1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</row>
    <row r="478" ht="12.75" customHeight="1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</row>
    <row r="479" ht="12.75" customHeight="1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</row>
    <row r="480" ht="12.75" customHeight="1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</row>
    <row r="481" ht="12.75" customHeight="1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</row>
    <row r="482" ht="12.75" customHeight="1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</row>
    <row r="483" ht="12.75" customHeight="1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</row>
    <row r="484" ht="12.75" customHeight="1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</row>
    <row r="485" ht="12.75" customHeight="1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</row>
    <row r="486" ht="12.75" customHeight="1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</row>
    <row r="487" ht="12.75" customHeight="1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</row>
    <row r="488" ht="12.75" customHeight="1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</row>
    <row r="489" ht="12.75" customHeight="1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</row>
    <row r="490" ht="12.75" customHeight="1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</row>
    <row r="491" ht="12.75" customHeight="1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</row>
    <row r="492" ht="12.75" customHeight="1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</row>
    <row r="493" ht="12.75" customHeight="1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</row>
    <row r="494" ht="12.75" customHeight="1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</row>
    <row r="495" ht="12.75" customHeight="1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</row>
    <row r="496" ht="12.75" customHeight="1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</row>
    <row r="497" ht="12.75" customHeight="1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</row>
    <row r="498" ht="12.75" customHeight="1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</row>
    <row r="499" ht="12.75" customHeight="1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</row>
    <row r="500" ht="12.75" customHeight="1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</row>
    <row r="501" ht="12.75" customHeight="1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</row>
    <row r="502" ht="12.75" customHeight="1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</row>
    <row r="503" ht="12.75" customHeight="1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</row>
    <row r="504" ht="12.75" customHeight="1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</row>
    <row r="505" ht="12.75" customHeight="1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</row>
    <row r="506" ht="12.75" customHeight="1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</row>
    <row r="507" ht="12.75" customHeight="1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</row>
    <row r="508" ht="12.75" customHeight="1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</row>
    <row r="509" ht="12.75" customHeight="1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</row>
    <row r="510" ht="12.75" customHeight="1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</row>
    <row r="511" ht="12.75" customHeight="1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</row>
    <row r="512" ht="12.75" customHeight="1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</row>
    <row r="513" ht="12.75" customHeight="1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</row>
    <row r="514" ht="12.75" customHeight="1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</row>
    <row r="515" ht="12.75" customHeight="1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</row>
    <row r="516" ht="12.75" customHeight="1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</row>
    <row r="517" ht="12.75" customHeight="1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</row>
    <row r="518" ht="12.75" customHeight="1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</row>
    <row r="519" ht="12.75" customHeight="1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</row>
    <row r="520" ht="12.75" customHeight="1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</row>
    <row r="521" ht="12.75" customHeight="1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</row>
    <row r="522" ht="12.75" customHeight="1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</row>
    <row r="523" ht="12.75" customHeight="1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</row>
    <row r="524" ht="12.75" customHeight="1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</row>
    <row r="525" ht="12.75" customHeight="1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</row>
    <row r="526" ht="12.75" customHeight="1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</row>
    <row r="527" ht="12.75" customHeight="1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</row>
    <row r="528" ht="12.75" customHeight="1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</row>
    <row r="529" ht="12.75" customHeight="1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</row>
    <row r="530" ht="12.75" customHeight="1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</row>
    <row r="531" ht="12.75" customHeight="1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</row>
    <row r="532" ht="12.75" customHeight="1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</row>
    <row r="533" ht="12.75" customHeight="1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</row>
    <row r="534" ht="12.75" customHeight="1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</row>
    <row r="535" ht="12.75" customHeight="1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</row>
    <row r="536" ht="12.75" customHeight="1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</row>
    <row r="537" ht="12.75" customHeight="1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</row>
    <row r="538" ht="12.75" customHeight="1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</row>
    <row r="539" ht="12.75" customHeight="1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</row>
    <row r="540" ht="12.75" customHeight="1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</row>
    <row r="541" ht="12.75" customHeight="1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</row>
    <row r="542" ht="12.75" customHeight="1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</row>
    <row r="543" ht="12.75" customHeight="1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</row>
    <row r="544" ht="12.75" customHeight="1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</row>
    <row r="545" ht="12.75" customHeight="1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</row>
    <row r="546" ht="12.75" customHeight="1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</row>
    <row r="547" ht="12.75" customHeight="1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</row>
    <row r="548" ht="12.75" customHeight="1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</row>
    <row r="549" ht="12.75" customHeight="1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</row>
    <row r="550" ht="12.75" customHeight="1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</row>
    <row r="551" ht="12.75" customHeight="1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</row>
    <row r="552" ht="12.75" customHeight="1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</row>
    <row r="553" ht="12.75" customHeight="1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</row>
    <row r="554" ht="12.75" customHeight="1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</row>
    <row r="555" ht="12.75" customHeight="1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</row>
    <row r="556" ht="12.75" customHeight="1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</row>
    <row r="557" ht="12.75" customHeight="1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</row>
    <row r="558" ht="12.75" customHeight="1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</row>
    <row r="559" ht="12.75" customHeight="1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</row>
    <row r="560" ht="12.75" customHeight="1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</row>
    <row r="561" ht="12.75" customHeight="1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</row>
    <row r="562" ht="12.75" customHeight="1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</row>
    <row r="563" ht="12.75" customHeight="1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</row>
    <row r="564" ht="12.75" customHeight="1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</row>
    <row r="565" ht="12.75" customHeight="1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</row>
    <row r="566" ht="12.75" customHeight="1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</row>
    <row r="567" ht="12.75" customHeight="1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</row>
    <row r="568" ht="12.75" customHeight="1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</row>
    <row r="569" ht="12.75" customHeight="1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</row>
    <row r="570" ht="12.75" customHeight="1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</row>
    <row r="571" ht="12.75" customHeight="1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</row>
    <row r="572" ht="12.75" customHeight="1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</row>
    <row r="573" ht="12.75" customHeight="1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</row>
    <row r="574" ht="12.75" customHeight="1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</row>
    <row r="575" ht="12.75" customHeight="1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</row>
    <row r="576" ht="12.75" customHeight="1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</row>
    <row r="577" ht="12.75" customHeight="1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</row>
    <row r="578" ht="12.75" customHeight="1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</row>
    <row r="579" ht="12.75" customHeight="1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</row>
    <row r="580" ht="12.75" customHeight="1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</row>
    <row r="581" ht="12.75" customHeight="1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</row>
    <row r="582" ht="12.75" customHeight="1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</row>
    <row r="583" ht="12.75" customHeight="1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</row>
    <row r="584" ht="12.75" customHeight="1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</row>
    <row r="585" ht="12.75" customHeight="1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</row>
    <row r="586" ht="12.75" customHeight="1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</row>
    <row r="587" ht="12.75" customHeight="1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</row>
    <row r="588" ht="12.75" customHeight="1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</row>
    <row r="589" ht="12.75" customHeight="1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</row>
    <row r="590" ht="12.75" customHeight="1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</row>
    <row r="591" ht="12.75" customHeight="1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</row>
    <row r="592" ht="12.75" customHeight="1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</row>
    <row r="593" ht="12.75" customHeight="1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</row>
    <row r="594" ht="12.75" customHeight="1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</row>
    <row r="595" ht="12.75" customHeight="1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</row>
    <row r="596" ht="12.75" customHeight="1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</row>
    <row r="597" ht="12.75" customHeight="1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</row>
    <row r="598" ht="12.75" customHeight="1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</row>
    <row r="599" ht="12.75" customHeight="1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</row>
    <row r="600" ht="12.75" customHeight="1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</row>
    <row r="601" ht="12.75" customHeight="1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</row>
    <row r="602" ht="12.75" customHeight="1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</row>
    <row r="603" ht="12.75" customHeight="1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</row>
    <row r="604" ht="12.75" customHeight="1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</row>
    <row r="605" ht="12.75" customHeight="1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</row>
    <row r="606" ht="12.75" customHeight="1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</row>
    <row r="607" ht="12.75" customHeight="1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</row>
    <row r="608" ht="12.75" customHeight="1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</row>
    <row r="609" ht="12.75" customHeight="1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</row>
    <row r="610" ht="12.75" customHeight="1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</row>
    <row r="611" ht="12.75" customHeight="1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</row>
    <row r="612" ht="12.75" customHeight="1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</row>
    <row r="613" ht="12.75" customHeight="1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</row>
    <row r="614" ht="12.75" customHeight="1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</row>
    <row r="615" ht="12.75" customHeight="1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</row>
    <row r="616" ht="12.75" customHeight="1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</row>
    <row r="617" ht="12.75" customHeight="1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</row>
    <row r="618" ht="12.75" customHeight="1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</row>
    <row r="619" ht="12.75" customHeight="1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</row>
    <row r="620" ht="12.75" customHeight="1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</row>
    <row r="621" ht="12.75" customHeight="1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</row>
    <row r="622" ht="12.75" customHeight="1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</row>
    <row r="623" ht="12.75" customHeight="1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</row>
    <row r="624" ht="12.75" customHeight="1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</row>
    <row r="625" ht="12.75" customHeight="1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</row>
    <row r="626" ht="12.75" customHeight="1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</row>
    <row r="627" ht="12.75" customHeight="1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</row>
    <row r="628" ht="12.75" customHeight="1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</row>
    <row r="629" ht="12.75" customHeight="1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</row>
    <row r="630" ht="12.75" customHeight="1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</row>
    <row r="631" ht="12.75" customHeight="1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</row>
    <row r="632" ht="12.75" customHeight="1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</row>
    <row r="633" ht="12.75" customHeight="1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</row>
    <row r="634" ht="12.75" customHeight="1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</row>
    <row r="635" ht="12.75" customHeight="1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</row>
    <row r="636" ht="12.75" customHeight="1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</row>
    <row r="637" ht="12.75" customHeight="1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</row>
    <row r="638" ht="12.75" customHeight="1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</row>
    <row r="639" ht="12.75" customHeight="1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</row>
    <row r="640" ht="12.75" customHeight="1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</row>
    <row r="641" ht="12.75" customHeight="1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</row>
    <row r="642" ht="12.75" customHeight="1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</row>
    <row r="643" ht="12.75" customHeight="1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</row>
    <row r="644" ht="12.75" customHeight="1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</row>
    <row r="645" ht="12.75" customHeight="1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</row>
    <row r="646" ht="12.75" customHeight="1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</row>
    <row r="647" ht="12.75" customHeight="1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</row>
    <row r="648" ht="12.75" customHeight="1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</row>
    <row r="649" ht="12.75" customHeight="1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</row>
    <row r="650" ht="12.75" customHeight="1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</row>
    <row r="651" ht="12.75" customHeight="1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</row>
    <row r="652" ht="12.75" customHeight="1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</row>
    <row r="653" ht="12.75" customHeight="1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</row>
    <row r="654" ht="12.75" customHeight="1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</row>
    <row r="655" ht="12.75" customHeight="1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</row>
    <row r="656" ht="12.75" customHeight="1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</row>
    <row r="657" ht="12.75" customHeight="1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</row>
    <row r="658" ht="12.75" customHeight="1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</row>
    <row r="659" ht="12.75" customHeight="1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</row>
    <row r="660" ht="12.75" customHeight="1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</row>
    <row r="661" ht="12.75" customHeight="1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</row>
    <row r="662" ht="12.75" customHeight="1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</row>
    <row r="663" ht="12.75" customHeight="1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</row>
    <row r="664" ht="12.75" customHeight="1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</row>
    <row r="665" ht="12.75" customHeight="1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</row>
    <row r="666" ht="12.75" customHeight="1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</row>
    <row r="667" ht="12.75" customHeight="1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</row>
    <row r="668" ht="12.75" customHeight="1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</row>
    <row r="669" ht="12.75" customHeight="1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</row>
    <row r="670" ht="12.75" customHeight="1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</row>
    <row r="671" ht="12.75" customHeight="1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</row>
    <row r="672" ht="12.75" customHeight="1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</row>
    <row r="673" ht="12.75" customHeight="1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</row>
    <row r="674" ht="12.75" customHeight="1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</row>
    <row r="675" ht="12.75" customHeight="1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</row>
    <row r="676" ht="12.75" customHeight="1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</row>
    <row r="677" ht="12.75" customHeight="1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</row>
    <row r="678" ht="12.75" customHeight="1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</row>
    <row r="679" ht="12.75" customHeight="1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</row>
    <row r="680" ht="12.75" customHeight="1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</row>
    <row r="681" ht="12.75" customHeight="1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</row>
    <row r="682" ht="12.75" customHeight="1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</row>
    <row r="683" ht="12.75" customHeight="1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</row>
    <row r="684" ht="12.75" customHeight="1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</row>
    <row r="685" ht="12.75" customHeight="1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</row>
    <row r="686" ht="12.75" customHeight="1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</row>
    <row r="687" ht="12.75" customHeight="1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</row>
    <row r="688" ht="12.75" customHeight="1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</row>
    <row r="689" ht="12.75" customHeight="1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</row>
    <row r="690" ht="12.75" customHeight="1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</row>
    <row r="691" ht="12.75" customHeight="1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</row>
    <row r="692" ht="12.75" customHeight="1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</row>
    <row r="693" ht="12.75" customHeight="1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</row>
    <row r="694" ht="12.75" customHeight="1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</row>
    <row r="695" ht="12.75" customHeight="1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</row>
    <row r="696" ht="12.75" customHeight="1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</row>
    <row r="697" ht="12.75" customHeight="1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</row>
    <row r="698" ht="12.75" customHeight="1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</row>
    <row r="699" ht="12.75" customHeight="1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</row>
    <row r="700" ht="12.75" customHeight="1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</row>
    <row r="701" ht="12.75" customHeight="1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</row>
    <row r="702" ht="12.75" customHeight="1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</row>
    <row r="703" ht="12.75" customHeight="1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</row>
    <row r="704" ht="12.75" customHeight="1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</row>
    <row r="705" ht="12.75" customHeight="1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</row>
    <row r="706" ht="12.75" customHeight="1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</row>
    <row r="707" ht="12.75" customHeight="1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</row>
    <row r="708" ht="12.75" customHeight="1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</row>
    <row r="709" ht="12.75" customHeight="1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</row>
    <row r="710" ht="12.75" customHeight="1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</row>
    <row r="711" ht="12.75" customHeight="1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</row>
    <row r="712" ht="12.75" customHeight="1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</row>
    <row r="713" ht="12.75" customHeight="1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</row>
    <row r="714" ht="12.75" customHeight="1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</row>
    <row r="715" ht="12.75" customHeight="1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</row>
    <row r="716" ht="12.75" customHeight="1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</row>
    <row r="717" ht="12.75" customHeight="1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</row>
    <row r="718" ht="12.75" customHeight="1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</row>
    <row r="719" ht="12.75" customHeight="1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</row>
    <row r="720" ht="12.75" customHeight="1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</row>
    <row r="721" ht="12.75" customHeight="1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</row>
    <row r="722" ht="12.75" customHeight="1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</row>
    <row r="723" ht="12.75" customHeight="1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</row>
    <row r="724" ht="12.75" customHeight="1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</row>
    <row r="725" ht="12.75" customHeight="1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</row>
    <row r="726" ht="12.75" customHeight="1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</row>
    <row r="727" ht="12.75" customHeight="1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</row>
    <row r="728" ht="12.75" customHeight="1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</row>
    <row r="729" ht="12.75" customHeight="1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</row>
    <row r="730" ht="12.75" customHeight="1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</row>
    <row r="731" ht="12.75" customHeight="1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</row>
    <row r="732" ht="12.75" customHeight="1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</row>
    <row r="733" ht="12.75" customHeight="1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</row>
    <row r="734" ht="12.75" customHeight="1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</row>
    <row r="735" ht="12.75" customHeight="1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</row>
    <row r="736" ht="12.75" customHeight="1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</row>
    <row r="737" ht="12.75" customHeight="1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</row>
    <row r="738" ht="12.75" customHeight="1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</row>
    <row r="739" ht="12.75" customHeight="1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</row>
    <row r="740" ht="12.75" customHeight="1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</row>
    <row r="741" ht="12.75" customHeight="1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</row>
    <row r="742" ht="12.75" customHeight="1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</row>
    <row r="743" ht="12.75" customHeight="1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</row>
    <row r="744" ht="12.75" customHeight="1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</row>
    <row r="745" ht="12.75" customHeight="1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</row>
    <row r="746" ht="12.75" customHeight="1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</row>
    <row r="747" ht="12.75" customHeight="1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</row>
    <row r="748" ht="12.75" customHeight="1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</row>
    <row r="749" ht="12.75" customHeight="1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</row>
    <row r="750" ht="12.75" customHeight="1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</row>
    <row r="751" ht="12.75" customHeight="1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</row>
    <row r="752" ht="12.75" customHeight="1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</row>
    <row r="753" ht="12.75" customHeight="1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</row>
    <row r="754" ht="12.75" customHeight="1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</row>
    <row r="755" ht="12.75" customHeight="1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</row>
    <row r="756" ht="12.75" customHeight="1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</row>
    <row r="757" ht="12.75" customHeight="1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</row>
    <row r="758" ht="12.75" customHeight="1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</row>
    <row r="759" ht="12.75" customHeight="1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</row>
    <row r="760" ht="12.75" customHeight="1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</row>
    <row r="761" ht="12.75" customHeight="1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</row>
    <row r="762" ht="12.75" customHeight="1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</row>
    <row r="763" ht="12.75" customHeight="1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</row>
    <row r="764" ht="12.75" customHeight="1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</row>
    <row r="765" ht="12.75" customHeight="1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</row>
    <row r="766" ht="12.75" customHeight="1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</row>
    <row r="767" ht="12.75" customHeight="1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</row>
    <row r="768" ht="12.75" customHeight="1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</row>
    <row r="769" ht="12.75" customHeight="1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</row>
    <row r="770" ht="12.75" customHeight="1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</row>
    <row r="771" ht="12.75" customHeight="1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</row>
    <row r="772" ht="12.75" customHeight="1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</row>
    <row r="773" ht="12.75" customHeight="1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</row>
    <row r="774" ht="12.75" customHeight="1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</row>
    <row r="775" ht="12.75" customHeight="1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</row>
    <row r="776" ht="12.75" customHeight="1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</row>
    <row r="777" ht="12.75" customHeight="1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</row>
    <row r="778" ht="12.75" customHeight="1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</row>
    <row r="779" ht="12.75" customHeight="1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</row>
    <row r="780" ht="12.75" customHeight="1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</row>
    <row r="781" ht="12.75" customHeight="1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</row>
    <row r="782" ht="12.75" customHeight="1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</row>
    <row r="783" ht="12.75" customHeight="1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</row>
    <row r="784" ht="12.75" customHeight="1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</row>
    <row r="785" ht="12.75" customHeight="1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</row>
    <row r="786" ht="12.75" customHeight="1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</row>
    <row r="787" ht="12.75" customHeight="1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</row>
    <row r="788" ht="12.75" customHeight="1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</row>
    <row r="789" ht="12.75" customHeight="1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</row>
    <row r="790" ht="12.75" customHeight="1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</row>
    <row r="791" ht="12.75" customHeight="1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</row>
    <row r="792" ht="12.75" customHeight="1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</row>
    <row r="793" ht="12.75" customHeight="1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</row>
    <row r="794" ht="12.75" customHeight="1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</row>
    <row r="795" ht="12.75" customHeight="1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</row>
    <row r="796" ht="12.75" customHeight="1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</row>
    <row r="797" ht="12.75" customHeight="1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</row>
    <row r="798" ht="12.75" customHeight="1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</row>
    <row r="799" ht="12.75" customHeight="1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</row>
    <row r="800" ht="12.75" customHeight="1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</row>
    <row r="801" ht="12.75" customHeight="1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</row>
    <row r="802" ht="12.75" customHeight="1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</row>
    <row r="803" ht="12.75" customHeight="1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</row>
    <row r="804" ht="12.75" customHeight="1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</row>
    <row r="805" ht="12.75" customHeight="1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</row>
    <row r="806" ht="12.75" customHeight="1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</row>
    <row r="807" ht="12.75" customHeight="1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</row>
    <row r="808" ht="12.75" customHeight="1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</row>
    <row r="809" ht="12.75" customHeight="1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</row>
    <row r="810" ht="12.75" customHeight="1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</row>
    <row r="811" ht="12.75" customHeight="1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</row>
    <row r="812" ht="12.75" customHeight="1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</row>
    <row r="813" ht="12.75" customHeight="1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</row>
    <row r="814" ht="12.75" customHeight="1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</row>
    <row r="815" ht="12.75" customHeight="1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</row>
    <row r="816" ht="12.75" customHeight="1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</row>
    <row r="817" ht="12.75" customHeight="1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</row>
    <row r="818" ht="12.75" customHeight="1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</row>
    <row r="819" ht="12.75" customHeight="1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</row>
    <row r="820" ht="12.75" customHeight="1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</row>
    <row r="821" ht="12.75" customHeight="1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</row>
    <row r="822" ht="12.75" customHeight="1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</row>
    <row r="823" ht="12.75" customHeight="1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</row>
    <row r="824" ht="12.75" customHeight="1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</row>
    <row r="825" ht="12.75" customHeight="1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</row>
    <row r="826" ht="12.75" customHeight="1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</row>
    <row r="827" ht="12.75" customHeight="1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</row>
    <row r="828" ht="12.75" customHeight="1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</row>
    <row r="829" ht="12.75" customHeight="1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</row>
    <row r="830" ht="12.75" customHeight="1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</row>
    <row r="831" ht="12.75" customHeight="1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</row>
    <row r="832" ht="12.75" customHeight="1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</row>
    <row r="833" ht="12.75" customHeight="1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</row>
    <row r="834" ht="12.75" customHeight="1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</row>
    <row r="835" ht="12.75" customHeight="1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</row>
    <row r="836" ht="12.75" customHeight="1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</row>
    <row r="837" ht="12.75" customHeight="1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</row>
    <row r="838" ht="12.75" customHeight="1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</row>
    <row r="839" ht="12.75" customHeight="1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</row>
    <row r="840" ht="12.75" customHeight="1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</row>
    <row r="841" ht="12.75" customHeight="1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</row>
    <row r="842" ht="12.75" customHeight="1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</row>
    <row r="843" ht="12.75" customHeight="1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</row>
    <row r="844" ht="12.75" customHeight="1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</row>
    <row r="845" ht="12.75" customHeight="1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</row>
    <row r="846" ht="12.75" customHeight="1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</row>
    <row r="847" ht="12.75" customHeight="1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</row>
    <row r="848" ht="12.75" customHeight="1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</row>
    <row r="849" ht="12.75" customHeight="1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</row>
    <row r="850" ht="12.75" customHeight="1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</row>
    <row r="851" ht="12.75" customHeight="1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</row>
    <row r="852" ht="12.75" customHeight="1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</row>
    <row r="853" ht="12.75" customHeight="1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</row>
    <row r="854" ht="12.75" customHeight="1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</row>
    <row r="855" ht="12.75" customHeight="1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</row>
    <row r="856" ht="12.75" customHeight="1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</row>
    <row r="857" ht="12.75" customHeight="1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</row>
    <row r="858" ht="12.75" customHeight="1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</row>
    <row r="859" ht="12.75" customHeight="1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</row>
    <row r="860" ht="12.75" customHeight="1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</row>
    <row r="861" ht="12.75" customHeight="1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</row>
    <row r="862" ht="12.75" customHeight="1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</row>
    <row r="863" ht="12.75" customHeight="1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</row>
    <row r="864" ht="12.75" customHeight="1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</row>
    <row r="865" ht="12.75" customHeight="1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</row>
    <row r="866" ht="12.75" customHeight="1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</row>
    <row r="867" ht="12.75" customHeight="1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</row>
    <row r="868" ht="12.75" customHeight="1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</row>
    <row r="869" ht="12.75" customHeight="1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</row>
    <row r="870" ht="12.75" customHeight="1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</row>
    <row r="871" ht="12.75" customHeight="1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</row>
    <row r="872" ht="12.75" customHeight="1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</row>
    <row r="873" ht="12.75" customHeight="1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</row>
    <row r="874" ht="12.75" customHeight="1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</row>
    <row r="875" ht="12.75" customHeight="1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</row>
    <row r="876" ht="12.75" customHeight="1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</row>
    <row r="877" ht="12.75" customHeight="1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</row>
    <row r="878" ht="12.75" customHeight="1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</row>
    <row r="879" ht="12.75" customHeight="1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</row>
    <row r="880" ht="12.75" customHeight="1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</row>
    <row r="881" ht="12.75" customHeight="1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</row>
    <row r="882" ht="12.75" customHeight="1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</row>
    <row r="883" ht="12.75" customHeight="1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</row>
    <row r="884" ht="12.75" customHeight="1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</row>
    <row r="885" ht="12.75" customHeight="1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</row>
    <row r="886" ht="12.75" customHeight="1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</row>
    <row r="887" ht="12.75" customHeight="1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</row>
    <row r="888" ht="12.75" customHeight="1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</row>
    <row r="889" ht="12.75" customHeight="1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</row>
    <row r="890" ht="12.75" customHeight="1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</row>
    <row r="891" ht="12.75" customHeight="1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</row>
    <row r="892" ht="12.75" customHeight="1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</row>
    <row r="893" ht="12.75" customHeight="1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</row>
    <row r="894" ht="12.75" customHeight="1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</row>
    <row r="895" ht="12.75" customHeight="1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</row>
    <row r="896" ht="12.75" customHeight="1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</row>
    <row r="897" ht="12.75" customHeight="1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</row>
    <row r="898" ht="12.75" customHeight="1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</row>
    <row r="899" ht="12.75" customHeight="1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</row>
    <row r="900" ht="12.75" customHeight="1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</row>
    <row r="901" ht="12.75" customHeight="1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</row>
    <row r="902" ht="12.75" customHeight="1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</row>
    <row r="903" ht="12.75" customHeight="1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</row>
    <row r="904" ht="12.75" customHeight="1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</row>
    <row r="905" ht="12.75" customHeight="1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</row>
    <row r="906" ht="12.75" customHeight="1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</row>
    <row r="907" ht="12.75" customHeight="1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</row>
    <row r="908" ht="12.75" customHeight="1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</row>
    <row r="909" ht="12.75" customHeight="1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</row>
    <row r="910" ht="12.75" customHeight="1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</row>
    <row r="911" ht="12.75" customHeight="1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</row>
    <row r="912" ht="12.75" customHeight="1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</row>
    <row r="913" ht="12.75" customHeight="1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</row>
    <row r="914" ht="12.75" customHeight="1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</row>
    <row r="915" ht="12.75" customHeight="1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</row>
    <row r="916" ht="12.75" customHeight="1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</row>
    <row r="917" ht="12.75" customHeight="1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</row>
    <row r="918" ht="12.75" customHeight="1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</row>
    <row r="919" ht="12.75" customHeight="1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</row>
    <row r="920" ht="12.75" customHeight="1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</row>
    <row r="921" ht="12.75" customHeight="1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</row>
    <row r="922" ht="12.75" customHeight="1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</row>
    <row r="923" ht="12.75" customHeight="1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</row>
    <row r="924" ht="12.75" customHeight="1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</row>
    <row r="925" ht="12.75" customHeight="1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</row>
    <row r="926" ht="12.75" customHeight="1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</row>
    <row r="927" ht="12.75" customHeight="1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</row>
    <row r="928" ht="12.75" customHeight="1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</row>
    <row r="929" ht="12.75" customHeight="1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</row>
    <row r="930" ht="12.75" customHeight="1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</row>
    <row r="931" ht="12.75" customHeight="1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</row>
    <row r="932" ht="12.75" customHeight="1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</row>
    <row r="933" ht="12.75" customHeight="1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</row>
    <row r="934" ht="12.75" customHeight="1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</row>
    <row r="935" ht="12.75" customHeight="1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</row>
    <row r="936" ht="12.75" customHeight="1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</row>
    <row r="937" ht="12.75" customHeight="1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</row>
    <row r="938" ht="12.75" customHeight="1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</row>
    <row r="939" ht="12.75" customHeight="1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</row>
    <row r="940" ht="12.75" customHeight="1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</row>
    <row r="941" ht="12.75" customHeight="1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</row>
    <row r="942" ht="12.75" customHeight="1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</row>
    <row r="943" ht="12.75" customHeight="1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</row>
    <row r="944" ht="12.75" customHeight="1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</row>
    <row r="945" ht="12.75" customHeight="1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</row>
    <row r="946" ht="12.75" customHeight="1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</row>
    <row r="947" ht="12.75" customHeight="1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</row>
    <row r="948" ht="12.75" customHeight="1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</row>
    <row r="949" ht="12.75" customHeight="1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</row>
    <row r="950" ht="12.75" customHeight="1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</row>
    <row r="951" ht="12.75" customHeight="1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</row>
    <row r="952" ht="12.75" customHeight="1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</row>
    <row r="953" ht="12.75" customHeight="1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</row>
    <row r="954" ht="12.75" customHeight="1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</row>
    <row r="955" ht="12.75" customHeight="1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</row>
    <row r="956" ht="12.75" customHeight="1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</row>
    <row r="957" ht="12.75" customHeight="1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</row>
    <row r="958" ht="12.75" customHeight="1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</row>
    <row r="959" ht="12.75" customHeight="1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</row>
    <row r="960" ht="12.75" customHeight="1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</row>
    <row r="961" ht="12.75" customHeight="1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</row>
    <row r="962" ht="12.75" customHeight="1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</row>
    <row r="963" ht="12.75" customHeight="1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</row>
    <row r="964" ht="12.75" customHeight="1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</row>
    <row r="965" ht="12.75" customHeight="1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</row>
    <row r="966" ht="12.75" customHeight="1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</row>
    <row r="967" ht="12.75" customHeight="1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</row>
    <row r="968" ht="12.75" customHeight="1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</row>
    <row r="969" ht="12.75" customHeight="1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</row>
    <row r="970" ht="12.75" customHeight="1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</row>
    <row r="971" ht="12.75" customHeight="1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</row>
    <row r="972" ht="12.75" customHeight="1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</row>
    <row r="973" ht="12.75" customHeight="1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</row>
    <row r="974" ht="12.75" customHeight="1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</row>
    <row r="975" ht="12.75" customHeight="1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</row>
    <row r="976" ht="12.75" customHeight="1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</row>
    <row r="977" ht="12.75" customHeight="1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</row>
    <row r="978" ht="12.75" customHeight="1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</row>
    <row r="979" ht="12.75" customHeight="1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</row>
    <row r="980" ht="12.75" customHeight="1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</row>
    <row r="981" ht="12.75" customHeight="1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</row>
    <row r="982" ht="12.75" customHeight="1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</row>
    <row r="983" ht="12.75" customHeight="1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</row>
    <row r="984" ht="12.75" customHeight="1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</row>
    <row r="985" ht="12.75" customHeight="1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</row>
    <row r="986" ht="12.75" customHeight="1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</row>
    <row r="987" ht="12.75" customHeight="1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</row>
    <row r="988" ht="12.75" customHeight="1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</row>
    <row r="989" ht="12.75" customHeight="1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</row>
    <row r="990" ht="12.75" customHeight="1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</row>
    <row r="991" ht="12.75" customHeight="1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</row>
    <row r="992" ht="12.75" customHeight="1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  <c r="Z992" s="138"/>
    </row>
    <row r="993" ht="12.75" customHeight="1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  <c r="Z993" s="138"/>
    </row>
    <row r="994" ht="12.75" customHeight="1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  <c r="Z994" s="138"/>
    </row>
    <row r="995" ht="12.75" customHeight="1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</row>
    <row r="996" ht="12.75" customHeight="1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  <c r="Z996" s="138"/>
    </row>
    <row r="997" ht="12.75" customHeight="1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  <c r="Z997" s="138"/>
    </row>
    <row r="998" ht="12.75" customHeight="1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  <c r="Z998" s="138"/>
    </row>
    <row r="999" ht="12.75" customHeight="1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  <c r="Z999" s="138"/>
    </row>
    <row r="1000" ht="12.75" customHeight="1">
      <c r="A1000" s="138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</row>
  </sheetData>
  <conditionalFormatting sqref="A6:Q90">
    <cfRule type="expression" dxfId="0" priority="1">
      <formula>MOD(ROW(),2)=0</formula>
    </cfRule>
  </conditionalFormatting>
  <printOptions/>
  <pageMargins bottom="0.57" footer="0.0" header="0.0" left="0.75" right="0.75" top="0.51"/>
  <pageSetup scale="66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5A5A5"/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6" width="8.63"/>
    <col customWidth="1" min="7" max="7" width="9.25"/>
    <col customWidth="1" min="8" max="8" width="10.25"/>
    <col customWidth="1" min="9" max="12" width="8.63"/>
    <col customWidth="1" min="13" max="13" width="10.0"/>
    <col customWidth="1" min="14" max="16" width="8.63"/>
    <col customWidth="1" min="17" max="17" width="8.38"/>
    <col customWidth="1" min="18" max="26" width="9.38"/>
  </cols>
  <sheetData>
    <row r="1" ht="12.75" customHeight="1">
      <c r="A1" s="138"/>
      <c r="B1" s="288" t="s">
        <v>121</v>
      </c>
      <c r="C1" s="284"/>
      <c r="D1" s="284"/>
      <c r="E1" s="289">
        <f>ExpressIntResFeeWithFS</f>
        <v>7.84</v>
      </c>
      <c r="F1" s="138"/>
      <c r="G1" s="264" t="s">
        <v>113</v>
      </c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ht="12.75" customHeight="1">
      <c r="A2" s="138"/>
      <c r="B2" s="270" t="s">
        <v>115</v>
      </c>
      <c r="C2" s="138"/>
      <c r="D2" s="138"/>
      <c r="E2" s="138"/>
      <c r="F2" s="138"/>
      <c r="G2" s="264" t="s">
        <v>132</v>
      </c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ht="12.75" customHeight="1">
      <c r="A3" s="138"/>
      <c r="B3" s="270" t="s">
        <v>134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</row>
    <row r="4" ht="12.75" customHeight="1">
      <c r="A4" s="290"/>
      <c r="B4" s="291" t="s">
        <v>16</v>
      </c>
      <c r="C4" s="291" t="s">
        <v>16</v>
      </c>
      <c r="D4" s="291" t="s">
        <v>34</v>
      </c>
      <c r="E4" s="291" t="s">
        <v>35</v>
      </c>
      <c r="F4" s="291" t="s">
        <v>36</v>
      </c>
      <c r="G4" s="291" t="s">
        <v>37</v>
      </c>
      <c r="H4" s="291" t="s">
        <v>38</v>
      </c>
      <c r="I4" s="291" t="s">
        <v>39</v>
      </c>
      <c r="J4" s="291" t="s">
        <v>40</v>
      </c>
      <c r="K4" s="291" t="s">
        <v>41</v>
      </c>
      <c r="L4" s="291" t="s">
        <v>42</v>
      </c>
      <c r="M4" s="291" t="s">
        <v>43</v>
      </c>
      <c r="N4" s="291" t="s">
        <v>44</v>
      </c>
      <c r="O4" s="291" t="s">
        <v>45</v>
      </c>
      <c r="P4" s="291" t="s">
        <v>46</v>
      </c>
      <c r="Q4" s="291" t="s">
        <v>47</v>
      </c>
      <c r="R4" s="138"/>
      <c r="S4" s="138"/>
      <c r="T4" s="138"/>
      <c r="U4" s="138"/>
      <c r="V4" s="138"/>
      <c r="W4" s="138"/>
      <c r="X4" s="138"/>
      <c r="Y4" s="138"/>
      <c r="Z4" s="138"/>
    </row>
    <row r="5" ht="12.75" customHeight="1">
      <c r="A5" s="271" t="s">
        <v>1</v>
      </c>
      <c r="B5" s="272" t="s">
        <v>48</v>
      </c>
      <c r="C5" s="272" t="s">
        <v>49</v>
      </c>
      <c r="D5" s="272" t="s">
        <v>50</v>
      </c>
      <c r="E5" s="272" t="s">
        <v>51</v>
      </c>
      <c r="F5" s="272" t="s">
        <v>52</v>
      </c>
      <c r="G5" s="272" t="s">
        <v>53</v>
      </c>
      <c r="H5" s="272" t="s">
        <v>54</v>
      </c>
      <c r="I5" s="272" t="s">
        <v>55</v>
      </c>
      <c r="J5" s="272" t="s">
        <v>56</v>
      </c>
      <c r="K5" s="272" t="s">
        <v>57</v>
      </c>
      <c r="L5" s="272" t="s">
        <v>58</v>
      </c>
      <c r="M5" s="272" t="s">
        <v>59</v>
      </c>
      <c r="N5" s="272" t="s">
        <v>60</v>
      </c>
      <c r="O5" s="272" t="s">
        <v>61</v>
      </c>
      <c r="P5" s="272" t="s">
        <v>62</v>
      </c>
      <c r="Q5" s="272" t="s">
        <v>12</v>
      </c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294" t="s">
        <v>130</v>
      </c>
      <c r="B6" s="295">
        <f>ROUND((IF('Intl Economy Base'!$B$105&gt;ROUND(((1-IntEconomyDiscount-IntEoncomyIncentive)*'Intl Economy Base'!B3),2),ROUND('Intl Economy Base'!$B$105*(1+International_Fuel_Surcharge),2),ROUND(((1-IntEconomyDiscount-IntEoncomyIncentive)*'Intl Economy Base'!B3)*(1+International_Fuel_Surcharge),2)))*(1+FedEx_Markup),2)</f>
        <v>28.5</v>
      </c>
      <c r="C6" s="295">
        <f>ROUND((IF('Intl Economy Base'!$C$105&gt;ROUND(((1-IntEconomyDiscount-IntEoncomyIncentive)*'Intl Economy Base'!C3),2),ROUND('Intl Economy Base'!$C$105*(1+International_Fuel_Surcharge),2),ROUND(((1-IntEconomyDiscount-IntEoncomyIncentive)*'Intl Economy Base'!C3)*(1+International_Fuel_Surcharge),2)))*(1+FedEx_Markup),2)</f>
        <v>30.62</v>
      </c>
      <c r="D6" s="295">
        <f>ROUND((IF('Intl Economy Base'!$D$105&gt;ROUND(((1-IntEconomyDiscount-IntEoncomyIncentive)*'Intl Economy Base'!D3),2),ROUND('Intl Economy Base'!$D$105*(1+International_Fuel_Surcharge),2),ROUND(((1-IntEconomyDiscount-IntEoncomyIncentive)*'Intl Economy Base'!D3)*(1+International_Fuel_Surcharge),2)))*(1+FedEx_Markup),2)</f>
        <v>26.73</v>
      </c>
      <c r="E6" s="295">
        <f>ROUND((IF('Intl Economy Base'!$E$105&gt;ROUND(((1-IntEconomyDiscount-IntEoncomyIncentive)*'Intl Economy Base'!E3),2),ROUND('Intl Economy Base'!$E$105*(1+International_Fuel_Surcharge),2),ROUND(((1-IntEconomyDiscount-IntEoncomyIncentive)*'Intl Economy Base'!E3)*(1+International_Fuel_Surcharge),2)))*(1+FedEx_Markup),2)</f>
        <v>34.3</v>
      </c>
      <c r="F6" s="295">
        <f>ROUND((IF('Intl Economy Base'!$F$105&gt;ROUND(((1-IntEconomyDiscount-IntEoncomyIncentive)*'Intl Economy Base'!F3),2),ROUND('Intl Economy Base'!$F$105*(1+International_Fuel_Surcharge),2),ROUND(((1-IntEconomyDiscount-IntEoncomyIncentive)*'Intl Economy Base'!F3)*(1+International_Fuel_Surcharge),2)))*(1+FedEx_Markup),2)</f>
        <v>35.12</v>
      </c>
      <c r="G6" s="295">
        <f>ROUND((IF('Intl Economy Base'!$G$105&gt;ROUND(((1-IntEconomyDiscount-IntEoncomyIncentive)*'Intl Economy Base'!G3),2),ROUND('Intl Economy Base'!$G$105*(1+International_Fuel_Surcharge),2),ROUND(((1-IntEconomyDiscount-IntEoncomyIncentive)*'Intl Economy Base'!G3)*(1+International_Fuel_Surcharge),2)))*(1+FedEx_Markup),2)</f>
        <v>34.07</v>
      </c>
      <c r="H6" s="295">
        <f>ROUND((IF('Intl Economy Base'!$H$105&gt;ROUND(((1-IntEconomyDiscount-IntEoncomyIncentive)*'Intl Economy Base'!H3),2),ROUND('Intl Economy Base'!$H$105*(1+International_Fuel_Surcharge),2),ROUND(((1-IntEconomyDiscount-IntEoncomyIncentive)*'Intl Economy Base'!H3)*(1+International_Fuel_Surcharge),2)))*(1+FedEx_Markup),2)</f>
        <v>31.81</v>
      </c>
      <c r="I6" s="295">
        <f>ROUND((IF('Intl Economy Base'!$I$105&gt;ROUND(((1-IntEconomyDiscount-IntEoncomyIncentive)*'Intl Economy Base'!I3),2),ROUND('Intl Economy Base'!$I$105*(1+International_Fuel_Surcharge),2),ROUND(((1-IntEconomyDiscount-IntEoncomyIncentive)*'Intl Economy Base'!I3)*(1+International_Fuel_Surcharge),2)))*(1+FedEx_Markup),2)</f>
        <v>32.59</v>
      </c>
      <c r="J6" s="295">
        <f>ROUND((IF('Intl Economy Base'!$J$105&gt;ROUND(((1-IntEconomyDiscount-IntEoncomyIncentive)*'Intl Economy Base'!J3),2),ROUND('Intl Economy Base'!$J$105*(1+International_Fuel_Surcharge),2),ROUND(((1-IntEconomyDiscount-IntEoncomyIncentive)*'Intl Economy Base'!J3)*(1+International_Fuel_Surcharge),2)))*(1+FedEx_Markup),2)</f>
        <v>27.08</v>
      </c>
      <c r="K6" s="295">
        <f>ROUND((IF('Intl Economy Base'!$K$105&gt;ROUND(((1-IntEconomyDiscount-IntEoncomyIncentive)*'Intl Economy Base'!K3),2),ROUND('Intl Economy Base'!$K$105*(1+International_Fuel_Surcharge),2),ROUND(((1-IntEconomyDiscount-IntEoncomyIncentive)*'Intl Economy Base'!K3)*(1+International_Fuel_Surcharge),2)))*(1+FedEx_Markup),2)</f>
        <v>40.57</v>
      </c>
      <c r="L6" s="295">
        <f>ROUND((IF('Intl Economy Base'!$L$105&gt;ROUND(((1-IntEconomyDiscount-IntEoncomyIncentive)*'Intl Economy Base'!L3),2),ROUND('Intl Economy Base'!$L$105*(1+International_Fuel_Surcharge),2),ROUND(((1-IntEconomyDiscount-IntEoncomyIncentive)*'Intl Economy Base'!L3)*(1+International_Fuel_Surcharge),2)))*(1+FedEx_Markup),2)</f>
        <v>35.1</v>
      </c>
      <c r="M6" s="295">
        <f>ROUND((IF('Intl Economy Base'!$M$105&gt;ROUND(((1-IntEconomyDiscount-IntEoncomyIncentive)*'Intl Economy Base'!M3),2),ROUND('Intl Economy Base'!$M$105*(1+International_Fuel_Surcharge),2),ROUND(((1-IntEconomyDiscount-IntEoncomyIncentive)*'Intl Economy Base'!M3)*(1+International_Fuel_Surcharge),2)))*(1+FedEx_Markup),2)</f>
        <v>46.15</v>
      </c>
      <c r="N6" s="295">
        <f>ROUND((IF('Intl Economy Base'!$N$105&gt;ROUND(((1-IntEconomyDiscount-IntEoncomyIncentive)*'Intl Economy Base'!N3),2),ROUND('Intl Economy Base'!$N$105*(1+International_Fuel_Surcharge),2),ROUND(((1-IntEconomyDiscount-IntEoncomyIncentive)*'Intl Economy Base'!N3)*(1+International_Fuel_Surcharge),2)))*(1+FedEx_Markup),2)</f>
        <v>33.52</v>
      </c>
      <c r="O6" s="295">
        <f>ROUND((IF('Intl Economy Base'!$O$105&gt;ROUND(((1-IntEconomyDiscount-IntEoncomyIncentive)*'Intl Economy Base'!O3),2),ROUND('Intl Economy Base'!$O$105*(1+International_Fuel_Surcharge),2),ROUND(((1-IntEconomyDiscount-IntEoncomyIncentive)*'Intl Economy Base'!O3)*(1+International_Fuel_Surcharge),2)))*(1+FedEx_Markup),2)</f>
        <v>36.56</v>
      </c>
      <c r="P6" s="295">
        <f>ROUND((IF('Intl Economy Base'!$P$105&gt;ROUND(((1-IntEconomyDiscount-IntEoncomyIncentive)*'Intl Economy Base'!P3),2),ROUND('Intl Economy Base'!$P$105*(1+International_Fuel_Surcharge),2),ROUND(((1-IntEconomyDiscount-IntEoncomyIncentive)*'Intl Economy Base'!P3)*(1+International_Fuel_Surcharge),2)))*(1+FedEx_Markup),2)</f>
        <v>35.35</v>
      </c>
      <c r="Q6" s="295">
        <f>ROUND((IF('Intl Economy Base'!$Q$105&gt;ROUND(((1-PuertoRicoDiscount)*'Intl Economy Base'!Q3),2),ROUND('Intl Economy Base'!$Q$105*(1+International_Fuel_Surcharge),2),ROUND(((1-PuertoRicoDiscount)*'Intl Economy Base'!Q3)*(1+International_Fuel_Surcharge),2)))*(1+FedEx_Markup),2)</f>
        <v>40.61</v>
      </c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294">
        <v>2.0</v>
      </c>
      <c r="B7" s="295">
        <f>ROUND((IF('Intl Economy Base'!$B$105&gt;ROUND(((1-IntEconomyDiscount-IntEoncomyIncentive)*'Intl Economy Base'!B4),2),ROUND('Intl Economy Base'!$B$105*(1+International_Fuel_Surcharge),2),ROUND(((1-IntEconomyDiscount-IntEoncomyIncentive)*'Intl Economy Base'!B4)*(1+International_Fuel_Surcharge),2)))*(1+FedEx_Markup),2)</f>
        <v>28.5</v>
      </c>
      <c r="C7" s="295">
        <f>ROUND((IF('Intl Economy Base'!$C$105&gt;ROUND(((1-IntEconomyDiscount-IntEoncomyIncentive)*'Intl Economy Base'!C4),2),ROUND('Intl Economy Base'!$C$105*(1+International_Fuel_Surcharge),2),ROUND(((1-IntEconomyDiscount-IntEoncomyIncentive)*'Intl Economy Base'!C4)*(1+International_Fuel_Surcharge),2)))*(1+FedEx_Markup),2)</f>
        <v>30.62</v>
      </c>
      <c r="D7" s="295">
        <f>ROUND((IF('Intl Economy Base'!$D$105&gt;ROUND(((1-IntEconomyDiscount-IntEoncomyIncentive)*'Intl Economy Base'!D4),2),ROUND('Intl Economy Base'!$D$105*(1+International_Fuel_Surcharge),2),ROUND(((1-IntEconomyDiscount-IntEoncomyIncentive)*'Intl Economy Base'!D4)*(1+International_Fuel_Surcharge),2)))*(1+FedEx_Markup),2)</f>
        <v>26.73</v>
      </c>
      <c r="E7" s="295">
        <f>ROUND((IF('Intl Economy Base'!$E$105&gt;ROUND(((1-IntEconomyDiscount-IntEoncomyIncentive)*'Intl Economy Base'!E4),2),ROUND('Intl Economy Base'!$E$105*(1+International_Fuel_Surcharge),2),ROUND(((1-IntEconomyDiscount-IntEoncomyIncentive)*'Intl Economy Base'!E4)*(1+International_Fuel_Surcharge),2)))*(1+FedEx_Markup),2)</f>
        <v>34.3</v>
      </c>
      <c r="F7" s="295">
        <f>ROUND((IF('Intl Economy Base'!$F$105&gt;ROUND(((1-IntEconomyDiscount-IntEoncomyIncentive)*'Intl Economy Base'!F4),2),ROUND('Intl Economy Base'!$F$105*(1+International_Fuel_Surcharge),2),ROUND(((1-IntEconomyDiscount-IntEoncomyIncentive)*'Intl Economy Base'!F4)*(1+International_Fuel_Surcharge),2)))*(1+FedEx_Markup),2)</f>
        <v>37.09</v>
      </c>
      <c r="G7" s="295">
        <f>ROUND((IF('Intl Economy Base'!$G$105&gt;ROUND(((1-IntEconomyDiscount-IntEoncomyIncentive)*'Intl Economy Base'!G4),2),ROUND('Intl Economy Base'!$G$105*(1+International_Fuel_Surcharge),2),ROUND(((1-IntEconomyDiscount-IntEoncomyIncentive)*'Intl Economy Base'!G4)*(1+International_Fuel_Surcharge),2)))*(1+FedEx_Markup),2)</f>
        <v>34.07</v>
      </c>
      <c r="H7" s="295">
        <f>ROUND((IF('Intl Economy Base'!$H$105&gt;ROUND(((1-IntEconomyDiscount-IntEoncomyIncentive)*'Intl Economy Base'!H4),2),ROUND('Intl Economy Base'!$H$105*(1+International_Fuel_Surcharge),2),ROUND(((1-IntEconomyDiscount-IntEoncomyIncentive)*'Intl Economy Base'!H4)*(1+International_Fuel_Surcharge),2)))*(1+FedEx_Markup),2)</f>
        <v>31.81</v>
      </c>
      <c r="I7" s="295">
        <f>ROUND((IF('Intl Economy Base'!$I$105&gt;ROUND(((1-IntEconomyDiscount-IntEoncomyIncentive)*'Intl Economy Base'!I4),2),ROUND('Intl Economy Base'!$I$105*(1+International_Fuel_Surcharge),2),ROUND(((1-IntEconomyDiscount-IntEoncomyIncentive)*'Intl Economy Base'!I4)*(1+International_Fuel_Surcharge),2)))*(1+FedEx_Markup),2)</f>
        <v>32.79</v>
      </c>
      <c r="J7" s="295">
        <f>ROUND((IF('Intl Economy Base'!$J$105&gt;ROUND(((1-IntEconomyDiscount-IntEoncomyIncentive)*'Intl Economy Base'!J4),2),ROUND('Intl Economy Base'!$J$105*(1+International_Fuel_Surcharge),2),ROUND(((1-IntEconomyDiscount-IntEoncomyIncentive)*'Intl Economy Base'!J4)*(1+International_Fuel_Surcharge),2)))*(1+FedEx_Markup),2)</f>
        <v>27.08</v>
      </c>
      <c r="K7" s="295">
        <f>ROUND((IF('Intl Economy Base'!$K$105&gt;ROUND(((1-IntEconomyDiscount-IntEoncomyIncentive)*'Intl Economy Base'!K4),2),ROUND('Intl Economy Base'!$K$105*(1+International_Fuel_Surcharge),2),ROUND(((1-IntEconomyDiscount-IntEoncomyIncentive)*'Intl Economy Base'!K4)*(1+International_Fuel_Surcharge),2)))*(1+FedEx_Markup),2)</f>
        <v>40.57</v>
      </c>
      <c r="L7" s="295">
        <f>ROUND((IF('Intl Economy Base'!$L$105&gt;ROUND(((1-IntEconomyDiscount-IntEoncomyIncentive)*'Intl Economy Base'!L4),2),ROUND('Intl Economy Base'!$L$105*(1+International_Fuel_Surcharge),2),ROUND(((1-IntEconomyDiscount-IntEoncomyIncentive)*'Intl Economy Base'!L4)*(1+International_Fuel_Surcharge),2)))*(1+FedEx_Markup),2)</f>
        <v>35.1</v>
      </c>
      <c r="M7" s="295">
        <f>ROUND((IF('Intl Economy Base'!$M$105&gt;ROUND(((1-IntEconomyDiscount-IntEoncomyIncentive)*'Intl Economy Base'!M4),2),ROUND('Intl Economy Base'!$M$105*(1+International_Fuel_Surcharge),2),ROUND(((1-IntEconomyDiscount-IntEoncomyIncentive)*'Intl Economy Base'!M4)*(1+International_Fuel_Surcharge),2)))*(1+FedEx_Markup),2)</f>
        <v>46.15</v>
      </c>
      <c r="N7" s="295">
        <f>ROUND((IF('Intl Economy Base'!$N$105&gt;ROUND(((1-IntEconomyDiscount-IntEoncomyIncentive)*'Intl Economy Base'!N4),2),ROUND('Intl Economy Base'!$N$105*(1+International_Fuel_Surcharge),2),ROUND(((1-IntEconomyDiscount-IntEoncomyIncentive)*'Intl Economy Base'!N4)*(1+International_Fuel_Surcharge),2)))*(1+FedEx_Markup),2)</f>
        <v>34.97</v>
      </c>
      <c r="O7" s="295">
        <f>ROUND((IF('Intl Economy Base'!$O$105&gt;ROUND(((1-IntEconomyDiscount-IntEoncomyIncentive)*'Intl Economy Base'!O4),2),ROUND('Intl Economy Base'!$O$105*(1+International_Fuel_Surcharge),2),ROUND(((1-IntEconomyDiscount-IntEoncomyIncentive)*'Intl Economy Base'!O4)*(1+International_Fuel_Surcharge),2)))*(1+FedEx_Markup),2)</f>
        <v>36.56</v>
      </c>
      <c r="P7" s="295">
        <f>ROUND((IF('Intl Economy Base'!$P$105&gt;ROUND(((1-IntEconomyDiscount-IntEoncomyIncentive)*'Intl Economy Base'!P4),2),ROUND('Intl Economy Base'!$P$105*(1+International_Fuel_Surcharge),2),ROUND(((1-IntEconomyDiscount-IntEoncomyIncentive)*'Intl Economy Base'!P4)*(1+International_Fuel_Surcharge),2)))*(1+FedEx_Markup),2)</f>
        <v>35.35</v>
      </c>
      <c r="Q7" s="295">
        <f>ROUND((IF('Intl Economy Base'!$Q$105&gt;ROUND(((1-PuertoRicoDiscount)*'Intl Economy Base'!Q4),2),ROUND('Intl Economy Base'!$Q$105*(1+International_Fuel_Surcharge),2),ROUND(((1-PuertoRicoDiscount)*'Intl Economy Base'!Q4)*(1+International_Fuel_Surcharge),2)))*(1+FedEx_Markup),2)</f>
        <v>44.54</v>
      </c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294">
        <v>3.0</v>
      </c>
      <c r="B8" s="295">
        <f>ROUND((IF('Intl Economy Base'!$B$105&gt;ROUND(((1-IntEconomyDiscount-IntEoncomyIncentive)*'Intl Economy Base'!B5),2),ROUND('Intl Economy Base'!$B$105*(1+International_Fuel_Surcharge),2),ROUND(((1-IntEconomyDiscount-IntEoncomyIncentive)*'Intl Economy Base'!B5)*(1+International_Fuel_Surcharge),2)))*(1+FedEx_Markup),2)</f>
        <v>28.5</v>
      </c>
      <c r="C8" s="295">
        <f>ROUND((IF('Intl Economy Base'!$C$105&gt;ROUND(((1-IntEconomyDiscount-IntEoncomyIncentive)*'Intl Economy Base'!C5),2),ROUND('Intl Economy Base'!$C$105*(1+International_Fuel_Surcharge),2),ROUND(((1-IntEconomyDiscount-IntEoncomyIncentive)*'Intl Economy Base'!C5)*(1+International_Fuel_Surcharge),2)))*(1+FedEx_Markup),2)</f>
        <v>30.62</v>
      </c>
      <c r="D8" s="295">
        <f>ROUND((IF('Intl Economy Base'!$D$105&gt;ROUND(((1-IntEconomyDiscount-IntEoncomyIncentive)*'Intl Economy Base'!D5),2),ROUND('Intl Economy Base'!$D$105*(1+International_Fuel_Surcharge),2),ROUND(((1-IntEconomyDiscount-IntEoncomyIncentive)*'Intl Economy Base'!D5)*(1+International_Fuel_Surcharge),2)))*(1+FedEx_Markup),2)</f>
        <v>26.73</v>
      </c>
      <c r="E8" s="295">
        <f>ROUND((IF('Intl Economy Base'!$E$105&gt;ROUND(((1-IntEconomyDiscount-IntEoncomyIncentive)*'Intl Economy Base'!E5),2),ROUND('Intl Economy Base'!$E$105*(1+International_Fuel_Surcharge),2),ROUND(((1-IntEconomyDiscount-IntEoncomyIncentive)*'Intl Economy Base'!E5)*(1+International_Fuel_Surcharge),2)))*(1+FedEx_Markup),2)</f>
        <v>35.27</v>
      </c>
      <c r="F8" s="295">
        <f>ROUND((IF('Intl Economy Base'!$F$105&gt;ROUND(((1-IntEconomyDiscount-IntEoncomyIncentive)*'Intl Economy Base'!F5),2),ROUND('Intl Economy Base'!$F$105*(1+International_Fuel_Surcharge),2),ROUND(((1-IntEconomyDiscount-IntEoncomyIncentive)*'Intl Economy Base'!F5)*(1+International_Fuel_Surcharge),2)))*(1+FedEx_Markup),2)</f>
        <v>43.7</v>
      </c>
      <c r="G8" s="295">
        <f>ROUND((IF('Intl Economy Base'!$G$105&gt;ROUND(((1-IntEconomyDiscount-IntEoncomyIncentive)*'Intl Economy Base'!G5),2),ROUND('Intl Economy Base'!$G$105*(1+International_Fuel_Surcharge),2),ROUND(((1-IntEconomyDiscount-IntEoncomyIncentive)*'Intl Economy Base'!G5)*(1+International_Fuel_Surcharge),2)))*(1+FedEx_Markup),2)</f>
        <v>34.71</v>
      </c>
      <c r="H8" s="295">
        <f>ROUND((IF('Intl Economy Base'!$H$105&gt;ROUND(((1-IntEconomyDiscount-IntEoncomyIncentive)*'Intl Economy Base'!H5),2),ROUND('Intl Economy Base'!$H$105*(1+International_Fuel_Surcharge),2),ROUND(((1-IntEconomyDiscount-IntEoncomyIncentive)*'Intl Economy Base'!H5)*(1+International_Fuel_Surcharge),2)))*(1+FedEx_Markup),2)</f>
        <v>32.43</v>
      </c>
      <c r="I8" s="295">
        <f>ROUND((IF('Intl Economy Base'!$I$105&gt;ROUND(((1-IntEconomyDiscount-IntEoncomyIncentive)*'Intl Economy Base'!I5),2),ROUND('Intl Economy Base'!$I$105*(1+International_Fuel_Surcharge),2),ROUND(((1-IntEconomyDiscount-IntEoncomyIncentive)*'Intl Economy Base'!I5)*(1+International_Fuel_Surcharge),2)))*(1+FedEx_Markup),2)</f>
        <v>36.47</v>
      </c>
      <c r="J8" s="295">
        <f>ROUND((IF('Intl Economy Base'!$J$105&gt;ROUND(((1-IntEconomyDiscount-IntEoncomyIncentive)*'Intl Economy Base'!J5),2),ROUND('Intl Economy Base'!$J$105*(1+International_Fuel_Surcharge),2),ROUND(((1-IntEconomyDiscount-IntEoncomyIncentive)*'Intl Economy Base'!J5)*(1+International_Fuel_Surcharge),2)))*(1+FedEx_Markup),2)</f>
        <v>27.46</v>
      </c>
      <c r="K8" s="295">
        <f>ROUND((IF('Intl Economy Base'!$K$105&gt;ROUND(((1-IntEconomyDiscount-IntEoncomyIncentive)*'Intl Economy Base'!K5),2),ROUND('Intl Economy Base'!$K$105*(1+International_Fuel_Surcharge),2),ROUND(((1-IntEconomyDiscount-IntEoncomyIncentive)*'Intl Economy Base'!K5)*(1+International_Fuel_Surcharge),2)))*(1+FedEx_Markup),2)</f>
        <v>41.3</v>
      </c>
      <c r="L8" s="295">
        <f>ROUND((IF('Intl Economy Base'!$L$105&gt;ROUND(((1-IntEconomyDiscount-IntEoncomyIncentive)*'Intl Economy Base'!L5),2),ROUND('Intl Economy Base'!$L$105*(1+International_Fuel_Surcharge),2),ROUND(((1-IntEconomyDiscount-IntEoncomyIncentive)*'Intl Economy Base'!L5)*(1+International_Fuel_Surcharge),2)))*(1+FedEx_Markup),2)</f>
        <v>36.27</v>
      </c>
      <c r="M8" s="295">
        <f>ROUND((IF('Intl Economy Base'!$M$105&gt;ROUND(((1-IntEconomyDiscount-IntEoncomyIncentive)*'Intl Economy Base'!M5),2),ROUND('Intl Economy Base'!$M$105*(1+International_Fuel_Surcharge),2),ROUND(((1-IntEconomyDiscount-IntEoncomyIncentive)*'Intl Economy Base'!M5)*(1+International_Fuel_Surcharge),2)))*(1+FedEx_Markup),2)</f>
        <v>46.17</v>
      </c>
      <c r="N8" s="295">
        <f>ROUND((IF('Intl Economy Base'!$N$105&gt;ROUND(((1-IntEconomyDiscount-IntEoncomyIncentive)*'Intl Economy Base'!N5),2),ROUND('Intl Economy Base'!$N$105*(1+International_Fuel_Surcharge),2),ROUND(((1-IntEconomyDiscount-IntEoncomyIncentive)*'Intl Economy Base'!N5)*(1+International_Fuel_Surcharge),2)))*(1+FedEx_Markup),2)</f>
        <v>44.15</v>
      </c>
      <c r="O8" s="295">
        <f>ROUND((IF('Intl Economy Base'!$O$105&gt;ROUND(((1-IntEconomyDiscount-IntEoncomyIncentive)*'Intl Economy Base'!O5),2),ROUND('Intl Economy Base'!$O$105*(1+International_Fuel_Surcharge),2),ROUND(((1-IntEconomyDiscount-IntEoncomyIncentive)*'Intl Economy Base'!O5)*(1+International_Fuel_Surcharge),2)))*(1+FedEx_Markup),2)</f>
        <v>37.17</v>
      </c>
      <c r="P8" s="295">
        <f>ROUND((IF('Intl Economy Base'!$P$105&gt;ROUND(((1-IntEconomyDiscount-IntEoncomyIncentive)*'Intl Economy Base'!P5),2),ROUND('Intl Economy Base'!$P$105*(1+International_Fuel_Surcharge),2),ROUND(((1-IntEconomyDiscount-IntEoncomyIncentive)*'Intl Economy Base'!P5)*(1+International_Fuel_Surcharge),2)))*(1+FedEx_Markup),2)</f>
        <v>39.72</v>
      </c>
      <c r="Q8" s="295">
        <f>ROUND((IF('Intl Economy Base'!$Q$105&gt;ROUND(((1-PuertoRicoDiscount)*'Intl Economy Base'!Q5),2),ROUND('Intl Economy Base'!$Q$105*(1+International_Fuel_Surcharge),2),ROUND(((1-PuertoRicoDiscount)*'Intl Economy Base'!Q5)*(1+International_Fuel_Surcharge),2)))*(1+FedEx_Markup),2)</f>
        <v>50.81</v>
      </c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94">
        <v>4.0</v>
      </c>
      <c r="B9" s="295">
        <f>ROUND((IF('Intl Economy Base'!$B$105&gt;ROUND(((1-IntEconomyDiscount-IntEoncomyIncentive)*'Intl Economy Base'!B6),2),ROUND('Intl Economy Base'!$B$105*(1+International_Fuel_Surcharge),2),ROUND(((1-IntEconomyDiscount-IntEoncomyIncentive)*'Intl Economy Base'!B6)*(1+International_Fuel_Surcharge),2)))*(1+FedEx_Markup),2)</f>
        <v>28.5</v>
      </c>
      <c r="C9" s="295">
        <f>ROUND((IF('Intl Economy Base'!$C$105&gt;ROUND(((1-IntEconomyDiscount-IntEoncomyIncentive)*'Intl Economy Base'!C6),2),ROUND('Intl Economy Base'!$C$105*(1+International_Fuel_Surcharge),2),ROUND(((1-IntEconomyDiscount-IntEoncomyIncentive)*'Intl Economy Base'!C6)*(1+International_Fuel_Surcharge),2)))*(1+FedEx_Markup),2)</f>
        <v>30.82</v>
      </c>
      <c r="D9" s="295">
        <f>ROUND((IF('Intl Economy Base'!$D$105&gt;ROUND(((1-IntEconomyDiscount-IntEoncomyIncentive)*'Intl Economy Base'!D6),2),ROUND('Intl Economy Base'!$D$105*(1+International_Fuel_Surcharge),2),ROUND(((1-IntEconomyDiscount-IntEoncomyIncentive)*'Intl Economy Base'!D6)*(1+International_Fuel_Surcharge),2)))*(1+FedEx_Markup),2)</f>
        <v>26.73</v>
      </c>
      <c r="E9" s="295">
        <f>ROUND((IF('Intl Economy Base'!$E$105&gt;ROUND(((1-IntEconomyDiscount-IntEoncomyIncentive)*'Intl Economy Base'!E6),2),ROUND('Intl Economy Base'!$E$105*(1+International_Fuel_Surcharge),2),ROUND(((1-IntEconomyDiscount-IntEoncomyIncentive)*'Intl Economy Base'!E6)*(1+International_Fuel_Surcharge),2)))*(1+FedEx_Markup),2)</f>
        <v>40.15</v>
      </c>
      <c r="F9" s="295">
        <f>ROUND((IF('Intl Economy Base'!$F$105&gt;ROUND(((1-IntEconomyDiscount-IntEoncomyIncentive)*'Intl Economy Base'!F6),2),ROUND('Intl Economy Base'!$F$105*(1+International_Fuel_Surcharge),2),ROUND(((1-IntEconomyDiscount-IntEoncomyIncentive)*'Intl Economy Base'!F6)*(1+International_Fuel_Surcharge),2)))*(1+FedEx_Markup),2)</f>
        <v>53.34</v>
      </c>
      <c r="G9" s="295">
        <f>ROUND((IF('Intl Economy Base'!$G$105&gt;ROUND(((1-IntEconomyDiscount-IntEoncomyIncentive)*'Intl Economy Base'!G6),2),ROUND('Intl Economy Base'!$G$105*(1+International_Fuel_Surcharge),2),ROUND(((1-IntEconomyDiscount-IntEoncomyIncentive)*'Intl Economy Base'!G6)*(1+International_Fuel_Surcharge),2)))*(1+FedEx_Markup),2)</f>
        <v>39.35</v>
      </c>
      <c r="H9" s="295">
        <f>ROUND((IF('Intl Economy Base'!$H$105&gt;ROUND(((1-IntEconomyDiscount-IntEoncomyIncentive)*'Intl Economy Base'!H6),2),ROUND('Intl Economy Base'!$H$105*(1+International_Fuel_Surcharge),2),ROUND(((1-IntEconomyDiscount-IntEoncomyIncentive)*'Intl Economy Base'!H6)*(1+International_Fuel_Surcharge),2)))*(1+FedEx_Markup),2)</f>
        <v>36.57</v>
      </c>
      <c r="I9" s="295">
        <f>ROUND((IF('Intl Economy Base'!$I$105&gt;ROUND(((1-IntEconomyDiscount-IntEoncomyIncentive)*'Intl Economy Base'!I6),2),ROUND('Intl Economy Base'!$I$105*(1+International_Fuel_Surcharge),2),ROUND(((1-IntEconomyDiscount-IntEoncomyIncentive)*'Intl Economy Base'!I6)*(1+International_Fuel_Surcharge),2)))*(1+FedEx_Markup),2)</f>
        <v>40.95</v>
      </c>
      <c r="J9" s="295">
        <f>ROUND((IF('Intl Economy Base'!$J$105&gt;ROUND(((1-IntEconomyDiscount-IntEoncomyIncentive)*'Intl Economy Base'!J6),2),ROUND('Intl Economy Base'!$J$105*(1+International_Fuel_Surcharge),2),ROUND(((1-IntEconomyDiscount-IntEoncomyIncentive)*'Intl Economy Base'!J6)*(1+International_Fuel_Surcharge),2)))*(1+FedEx_Markup),2)</f>
        <v>30.39</v>
      </c>
      <c r="K9" s="295">
        <f>ROUND((IF('Intl Economy Base'!$K$105&gt;ROUND(((1-IntEconomyDiscount-IntEoncomyIncentive)*'Intl Economy Base'!K6),2),ROUND('Intl Economy Base'!$K$105*(1+International_Fuel_Surcharge),2),ROUND(((1-IntEconomyDiscount-IntEoncomyIncentive)*'Intl Economy Base'!K6)*(1+International_Fuel_Surcharge),2)))*(1+FedEx_Markup),2)</f>
        <v>45.53</v>
      </c>
      <c r="L9" s="295">
        <f>ROUND((IF('Intl Economy Base'!$L$105&gt;ROUND(((1-IntEconomyDiscount-IntEoncomyIncentive)*'Intl Economy Base'!L6),2),ROUND('Intl Economy Base'!$L$105*(1+International_Fuel_Surcharge),2),ROUND(((1-IntEconomyDiscount-IntEoncomyIncentive)*'Intl Economy Base'!L6)*(1+International_Fuel_Surcharge),2)))*(1+FedEx_Markup),2)</f>
        <v>40.6</v>
      </c>
      <c r="M9" s="295">
        <f>ROUND((IF('Intl Economy Base'!$M$105&gt;ROUND(((1-IntEconomyDiscount-IntEoncomyIncentive)*'Intl Economy Base'!M6),2),ROUND('Intl Economy Base'!$M$105*(1+International_Fuel_Surcharge),2),ROUND(((1-IntEconomyDiscount-IntEoncomyIncentive)*'Intl Economy Base'!M6)*(1+International_Fuel_Surcharge),2)))*(1+FedEx_Markup),2)</f>
        <v>53.6</v>
      </c>
      <c r="N9" s="295">
        <f>ROUND((IF('Intl Economy Base'!$N$105&gt;ROUND(((1-IntEconomyDiscount-IntEoncomyIncentive)*'Intl Economy Base'!N6),2),ROUND('Intl Economy Base'!$N$105*(1+International_Fuel_Surcharge),2),ROUND(((1-IntEconomyDiscount-IntEoncomyIncentive)*'Intl Economy Base'!N6)*(1+International_Fuel_Surcharge),2)))*(1+FedEx_Markup),2)</f>
        <v>50.7</v>
      </c>
      <c r="O9" s="295">
        <f>ROUND((IF('Intl Economy Base'!$O$105&gt;ROUND(((1-IntEconomyDiscount-IntEoncomyIncentive)*'Intl Economy Base'!O6),2),ROUND('Intl Economy Base'!$O$105*(1+International_Fuel_Surcharge),2),ROUND(((1-IntEconomyDiscount-IntEoncomyIncentive)*'Intl Economy Base'!O6)*(1+International_Fuel_Surcharge),2)))*(1+FedEx_Markup),2)</f>
        <v>40.89</v>
      </c>
      <c r="P9" s="295">
        <f>ROUND((IF('Intl Economy Base'!$P$105&gt;ROUND(((1-IntEconomyDiscount-IntEoncomyIncentive)*'Intl Economy Base'!P6),2),ROUND('Intl Economy Base'!$P$105*(1+International_Fuel_Surcharge),2),ROUND(((1-IntEconomyDiscount-IntEoncomyIncentive)*'Intl Economy Base'!P6)*(1+International_Fuel_Surcharge),2)))*(1+FedEx_Markup),2)</f>
        <v>40.79</v>
      </c>
      <c r="Q9" s="295">
        <f>ROUND((IF('Intl Economy Base'!$Q$105&gt;ROUND(((1-PuertoRicoDiscount)*'Intl Economy Base'!Q6),2),ROUND('Intl Economy Base'!$Q$105*(1+International_Fuel_Surcharge),2),ROUND(((1-PuertoRicoDiscount)*'Intl Economy Base'!Q6)*(1+International_Fuel_Surcharge),2)))*(1+FedEx_Markup),2)</f>
        <v>54.21</v>
      </c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294">
        <v>5.0</v>
      </c>
      <c r="B10" s="295">
        <f>ROUND((IF('Intl Economy Base'!$B$105&gt;ROUND(((1-IntEconomyDiscount-IntEoncomyIncentive)*'Intl Economy Base'!B7),2),ROUND('Intl Economy Base'!$B$105*(1+International_Fuel_Surcharge),2),ROUND(((1-IntEconomyDiscount-IntEoncomyIncentive)*'Intl Economy Base'!B7)*(1+International_Fuel_Surcharge),2)))*(1+FedEx_Markup),2)</f>
        <v>30.64</v>
      </c>
      <c r="C10" s="295">
        <f>ROUND((IF('Intl Economy Base'!$C$105&gt;ROUND(((1-IntEconomyDiscount-IntEoncomyIncentive)*'Intl Economy Base'!C7),2),ROUND('Intl Economy Base'!$C$105*(1+International_Fuel_Surcharge),2),ROUND(((1-IntEconomyDiscount-IntEoncomyIncentive)*'Intl Economy Base'!C7)*(1+International_Fuel_Surcharge),2)))*(1+FedEx_Markup),2)</f>
        <v>35.66</v>
      </c>
      <c r="D10" s="295">
        <f>ROUND((IF('Intl Economy Base'!$D$105&gt;ROUND(((1-IntEconomyDiscount-IntEoncomyIncentive)*'Intl Economy Base'!D7),2),ROUND('Intl Economy Base'!$D$105*(1+International_Fuel_Surcharge),2),ROUND(((1-IntEconomyDiscount-IntEoncomyIncentive)*'Intl Economy Base'!D7)*(1+International_Fuel_Surcharge),2)))*(1+FedEx_Markup),2)</f>
        <v>30.46</v>
      </c>
      <c r="E10" s="295">
        <f>ROUND((IF('Intl Economy Base'!$E$105&gt;ROUND(((1-IntEconomyDiscount-IntEoncomyIncentive)*'Intl Economy Base'!E7),2),ROUND('Intl Economy Base'!$E$105*(1+International_Fuel_Surcharge),2),ROUND(((1-IntEconomyDiscount-IntEoncomyIncentive)*'Intl Economy Base'!E7)*(1+International_Fuel_Surcharge),2)))*(1+FedEx_Markup),2)</f>
        <v>44.1</v>
      </c>
      <c r="F10" s="295">
        <f>ROUND((IF('Intl Economy Base'!$F$105&gt;ROUND(((1-IntEconomyDiscount-IntEoncomyIncentive)*'Intl Economy Base'!F7),2),ROUND('Intl Economy Base'!$F$105*(1+International_Fuel_Surcharge),2),ROUND(((1-IntEconomyDiscount-IntEoncomyIncentive)*'Intl Economy Base'!F7)*(1+International_Fuel_Surcharge),2)))*(1+FedEx_Markup),2)</f>
        <v>61.41</v>
      </c>
      <c r="G10" s="295">
        <f>ROUND((IF('Intl Economy Base'!$G$105&gt;ROUND(((1-IntEconomyDiscount-IntEoncomyIncentive)*'Intl Economy Base'!G7),2),ROUND('Intl Economy Base'!$G$105*(1+International_Fuel_Surcharge),2),ROUND(((1-IntEconomyDiscount-IntEoncomyIncentive)*'Intl Economy Base'!G7)*(1+International_Fuel_Surcharge),2)))*(1+FedEx_Markup),2)</f>
        <v>43.09</v>
      </c>
      <c r="H10" s="295">
        <f>ROUND((IF('Intl Economy Base'!$H$105&gt;ROUND(((1-IntEconomyDiscount-IntEoncomyIncentive)*'Intl Economy Base'!H7),2),ROUND('Intl Economy Base'!$H$105*(1+International_Fuel_Surcharge),2),ROUND(((1-IntEconomyDiscount-IntEoncomyIncentive)*'Intl Economy Base'!H7)*(1+International_Fuel_Surcharge),2)))*(1+FedEx_Markup),2)</f>
        <v>43.09</v>
      </c>
      <c r="I10" s="295">
        <f>ROUND((IF('Intl Economy Base'!$I$105&gt;ROUND(((1-IntEconomyDiscount-IntEoncomyIncentive)*'Intl Economy Base'!I7),2),ROUND('Intl Economy Base'!$I$105*(1+International_Fuel_Surcharge),2),ROUND(((1-IntEconomyDiscount-IntEoncomyIncentive)*'Intl Economy Base'!I7)*(1+International_Fuel_Surcharge),2)))*(1+FedEx_Markup),2)</f>
        <v>48.68</v>
      </c>
      <c r="J10" s="295">
        <f>ROUND((IF('Intl Economy Base'!$J$105&gt;ROUND(((1-IntEconomyDiscount-IntEoncomyIncentive)*'Intl Economy Base'!J7),2),ROUND('Intl Economy Base'!$J$105*(1+International_Fuel_Surcharge),2),ROUND(((1-IntEconomyDiscount-IntEoncomyIncentive)*'Intl Economy Base'!J7)*(1+International_Fuel_Surcharge),2)))*(1+FedEx_Markup),2)</f>
        <v>32.18</v>
      </c>
      <c r="K10" s="295">
        <f>ROUND((IF('Intl Economy Base'!$K$105&gt;ROUND(((1-IntEconomyDiscount-IntEoncomyIncentive)*'Intl Economy Base'!K7),2),ROUND('Intl Economy Base'!$K$105*(1+International_Fuel_Surcharge),2),ROUND(((1-IntEconomyDiscount-IntEoncomyIncentive)*'Intl Economy Base'!K7)*(1+International_Fuel_Surcharge),2)))*(1+FedEx_Markup),2)</f>
        <v>52.3</v>
      </c>
      <c r="L10" s="295">
        <f>ROUND((IF('Intl Economy Base'!$L$105&gt;ROUND(((1-IntEconomyDiscount-IntEoncomyIncentive)*'Intl Economy Base'!L7),2),ROUND('Intl Economy Base'!$L$105*(1+International_Fuel_Surcharge),2),ROUND(((1-IntEconomyDiscount-IntEoncomyIncentive)*'Intl Economy Base'!L7)*(1+International_Fuel_Surcharge),2)))*(1+FedEx_Markup),2)</f>
        <v>45.71</v>
      </c>
      <c r="M10" s="295">
        <f>ROUND((IF('Intl Economy Base'!$M$105&gt;ROUND(((1-IntEconomyDiscount-IntEoncomyIncentive)*'Intl Economy Base'!M7),2),ROUND('Intl Economy Base'!$M$105*(1+International_Fuel_Surcharge),2),ROUND(((1-IntEconomyDiscount-IntEoncomyIncentive)*'Intl Economy Base'!M7)*(1+International_Fuel_Surcharge),2)))*(1+FedEx_Markup),2)</f>
        <v>57.89</v>
      </c>
      <c r="N10" s="295">
        <f>ROUND((IF('Intl Economy Base'!$N$105&gt;ROUND(((1-IntEconomyDiscount-IntEoncomyIncentive)*'Intl Economy Base'!N7),2),ROUND('Intl Economy Base'!$N$105*(1+International_Fuel_Surcharge),2),ROUND(((1-IntEconomyDiscount-IntEoncomyIncentive)*'Intl Economy Base'!N7)*(1+International_Fuel_Surcharge),2)))*(1+FedEx_Markup),2)</f>
        <v>58.1</v>
      </c>
      <c r="O10" s="295">
        <f>ROUND((IF('Intl Economy Base'!$O$105&gt;ROUND(((1-IntEconomyDiscount-IntEoncomyIncentive)*'Intl Economy Base'!O7),2),ROUND('Intl Economy Base'!$O$105*(1+International_Fuel_Surcharge),2),ROUND(((1-IntEconomyDiscount-IntEoncomyIncentive)*'Intl Economy Base'!O7)*(1+International_Fuel_Surcharge),2)))*(1+FedEx_Markup),2)</f>
        <v>42.96</v>
      </c>
      <c r="P10" s="295">
        <f>ROUND((IF('Intl Economy Base'!$P$105&gt;ROUND(((1-IntEconomyDiscount-IntEoncomyIncentive)*'Intl Economy Base'!P7),2),ROUND('Intl Economy Base'!$P$105*(1+International_Fuel_Surcharge),2),ROUND(((1-IntEconomyDiscount-IntEoncomyIncentive)*'Intl Economy Base'!P7)*(1+International_Fuel_Surcharge),2)))*(1+FedEx_Markup),2)</f>
        <v>43.19</v>
      </c>
      <c r="Q10" s="295">
        <f>ROUND((IF('Intl Economy Base'!$Q$105&gt;ROUND(((1-PuertoRicoDiscount)*'Intl Economy Base'!Q7),2),ROUND('Intl Economy Base'!$Q$105*(1+International_Fuel_Surcharge),2),ROUND(((1-PuertoRicoDiscount)*'Intl Economy Base'!Q7)*(1+International_Fuel_Surcharge),2)))*(1+FedEx_Markup),2)</f>
        <v>58.79</v>
      </c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294">
        <v>6.0</v>
      </c>
      <c r="B11" s="295">
        <f>ROUND((IF('Intl Economy Base'!$B$105&gt;ROUND(((1-IntEconomyDiscount-IntEoncomyIncentive)*'Intl Economy Base'!B8),2),ROUND('Intl Economy Base'!$B$105*(1+International_Fuel_Surcharge),2),ROUND(((1-IntEconomyDiscount-IntEoncomyIncentive)*'Intl Economy Base'!B8)*(1+International_Fuel_Surcharge),2)))*(1+FedEx_Markup),2)</f>
        <v>31.72</v>
      </c>
      <c r="C11" s="295">
        <f>ROUND((IF('Intl Economy Base'!$C$105&gt;ROUND(((1-IntEconomyDiscount-IntEoncomyIncentive)*'Intl Economy Base'!C8),2),ROUND('Intl Economy Base'!$C$105*(1+International_Fuel_Surcharge),2),ROUND(((1-IntEconomyDiscount-IntEoncomyIncentive)*'Intl Economy Base'!C8)*(1+International_Fuel_Surcharge),2)))*(1+FedEx_Markup),2)</f>
        <v>36.57</v>
      </c>
      <c r="D11" s="295">
        <f>ROUND((IF('Intl Economy Base'!$D$105&gt;ROUND(((1-IntEconomyDiscount-IntEoncomyIncentive)*'Intl Economy Base'!D8),2),ROUND('Intl Economy Base'!$D$105*(1+International_Fuel_Surcharge),2),ROUND(((1-IntEconomyDiscount-IntEoncomyIncentive)*'Intl Economy Base'!D8)*(1+International_Fuel_Surcharge),2)))*(1+FedEx_Markup),2)</f>
        <v>31.65</v>
      </c>
      <c r="E11" s="295">
        <f>ROUND((IF('Intl Economy Base'!$E$105&gt;ROUND(((1-IntEconomyDiscount-IntEoncomyIncentive)*'Intl Economy Base'!E8),2),ROUND('Intl Economy Base'!$E$105*(1+International_Fuel_Surcharge),2),ROUND(((1-IntEconomyDiscount-IntEoncomyIncentive)*'Intl Economy Base'!E8)*(1+International_Fuel_Surcharge),2)))*(1+FedEx_Markup),2)</f>
        <v>47.76</v>
      </c>
      <c r="F11" s="295">
        <f>ROUND((IF('Intl Economy Base'!$F$105&gt;ROUND(((1-IntEconomyDiscount-IntEoncomyIncentive)*'Intl Economy Base'!F8),2),ROUND('Intl Economy Base'!$F$105*(1+International_Fuel_Surcharge),2),ROUND(((1-IntEconomyDiscount-IntEoncomyIncentive)*'Intl Economy Base'!F8)*(1+International_Fuel_Surcharge),2)))*(1+FedEx_Markup),2)</f>
        <v>65.11</v>
      </c>
      <c r="G11" s="295">
        <f>ROUND((IF('Intl Economy Base'!$G$105&gt;ROUND(((1-IntEconomyDiscount-IntEoncomyIncentive)*'Intl Economy Base'!G8),2),ROUND('Intl Economy Base'!$G$105*(1+International_Fuel_Surcharge),2),ROUND(((1-IntEconomyDiscount-IntEoncomyIncentive)*'Intl Economy Base'!G8)*(1+International_Fuel_Surcharge),2)))*(1+FedEx_Markup),2)</f>
        <v>50.59</v>
      </c>
      <c r="H11" s="295">
        <f>ROUND((IF('Intl Economy Base'!$H$105&gt;ROUND(((1-IntEconomyDiscount-IntEoncomyIncentive)*'Intl Economy Base'!H8),2),ROUND('Intl Economy Base'!$H$105*(1+International_Fuel_Surcharge),2),ROUND(((1-IntEconomyDiscount-IntEoncomyIncentive)*'Intl Economy Base'!H8)*(1+International_Fuel_Surcharge),2)))*(1+FedEx_Markup),2)</f>
        <v>46.48</v>
      </c>
      <c r="I11" s="295">
        <f>ROUND((IF('Intl Economy Base'!$I$105&gt;ROUND(((1-IntEconomyDiscount-IntEoncomyIncentive)*'Intl Economy Base'!I8),2),ROUND('Intl Economy Base'!$I$105*(1+International_Fuel_Surcharge),2),ROUND(((1-IntEconomyDiscount-IntEoncomyIncentive)*'Intl Economy Base'!I8)*(1+International_Fuel_Surcharge),2)))*(1+FedEx_Markup),2)</f>
        <v>51.7</v>
      </c>
      <c r="J11" s="295">
        <f>ROUND((IF('Intl Economy Base'!$J$105&gt;ROUND(((1-IntEconomyDiscount-IntEoncomyIncentive)*'Intl Economy Base'!J8),2),ROUND('Intl Economy Base'!$J$105*(1+International_Fuel_Surcharge),2),ROUND(((1-IntEconomyDiscount-IntEoncomyIncentive)*'Intl Economy Base'!J8)*(1+International_Fuel_Surcharge),2)))*(1+FedEx_Markup),2)</f>
        <v>35.95</v>
      </c>
      <c r="K11" s="295">
        <f>ROUND((IF('Intl Economy Base'!$K$105&gt;ROUND(((1-IntEconomyDiscount-IntEoncomyIncentive)*'Intl Economy Base'!K8),2),ROUND('Intl Economy Base'!$K$105*(1+International_Fuel_Surcharge),2),ROUND(((1-IntEconomyDiscount-IntEoncomyIncentive)*'Intl Economy Base'!K8)*(1+International_Fuel_Surcharge),2)))*(1+FedEx_Markup),2)</f>
        <v>56.45</v>
      </c>
      <c r="L11" s="295">
        <f>ROUND((IF('Intl Economy Base'!$L$105&gt;ROUND(((1-IntEconomyDiscount-IntEoncomyIncentive)*'Intl Economy Base'!L8),2),ROUND('Intl Economy Base'!$L$105*(1+International_Fuel_Surcharge),2),ROUND(((1-IntEconomyDiscount-IntEoncomyIncentive)*'Intl Economy Base'!L8)*(1+International_Fuel_Surcharge),2)))*(1+FedEx_Markup),2)</f>
        <v>48.27</v>
      </c>
      <c r="M11" s="295">
        <f>ROUND((IF('Intl Economy Base'!$M$105&gt;ROUND(((1-IntEconomyDiscount-IntEoncomyIncentive)*'Intl Economy Base'!M8),2),ROUND('Intl Economy Base'!$M$105*(1+International_Fuel_Surcharge),2),ROUND(((1-IntEconomyDiscount-IntEoncomyIncentive)*'Intl Economy Base'!M8)*(1+International_Fuel_Surcharge),2)))*(1+FedEx_Markup),2)</f>
        <v>71.91</v>
      </c>
      <c r="N11" s="295">
        <f>ROUND((IF('Intl Economy Base'!$N$105&gt;ROUND(((1-IntEconomyDiscount-IntEoncomyIncentive)*'Intl Economy Base'!N8),2),ROUND('Intl Economy Base'!$N$105*(1+International_Fuel_Surcharge),2),ROUND(((1-IntEconomyDiscount-IntEoncomyIncentive)*'Intl Economy Base'!N8)*(1+International_Fuel_Surcharge),2)))*(1+FedEx_Markup),2)</f>
        <v>66.83</v>
      </c>
      <c r="O11" s="295">
        <f>ROUND((IF('Intl Economy Base'!$O$105&gt;ROUND(((1-IntEconomyDiscount-IntEoncomyIncentive)*'Intl Economy Base'!O8),2),ROUND('Intl Economy Base'!$O$105*(1+International_Fuel_Surcharge),2),ROUND(((1-IntEconomyDiscount-IntEoncomyIncentive)*'Intl Economy Base'!O8)*(1+International_Fuel_Surcharge),2)))*(1+FedEx_Markup),2)</f>
        <v>50.24</v>
      </c>
      <c r="P11" s="295">
        <f>ROUND((IF('Intl Economy Base'!$P$105&gt;ROUND(((1-IntEconomyDiscount-IntEoncomyIncentive)*'Intl Economy Base'!P8),2),ROUND('Intl Economy Base'!$P$105*(1+International_Fuel_Surcharge),2),ROUND(((1-IntEconomyDiscount-IntEoncomyIncentive)*'Intl Economy Base'!P8)*(1+International_Fuel_Surcharge),2)))*(1+FedEx_Markup),2)</f>
        <v>46.39</v>
      </c>
      <c r="Q11" s="295">
        <f>ROUND((IF('Intl Economy Base'!$Q$105&gt;ROUND(((1-PuertoRicoDiscount)*'Intl Economy Base'!Q8),2),ROUND('Intl Economy Base'!$Q$105*(1+International_Fuel_Surcharge),2),ROUND(((1-PuertoRicoDiscount)*'Intl Economy Base'!Q8)*(1+International_Fuel_Surcharge),2)))*(1+FedEx_Markup),2)</f>
        <v>62.66</v>
      </c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94">
        <v>7.0</v>
      </c>
      <c r="B12" s="295">
        <f>ROUND((IF('Intl Economy Base'!$B$105&gt;ROUND(((1-IntEconomyDiscount-IntEoncomyIncentive)*'Intl Economy Base'!B9),2),ROUND('Intl Economy Base'!$B$105*(1+International_Fuel_Surcharge),2),ROUND(((1-IntEconomyDiscount-IntEoncomyIncentive)*'Intl Economy Base'!B9)*(1+International_Fuel_Surcharge),2)))*(1+FedEx_Markup),2)</f>
        <v>32.97</v>
      </c>
      <c r="C12" s="295">
        <f>ROUND((IF('Intl Economy Base'!$C$105&gt;ROUND(((1-IntEconomyDiscount-IntEoncomyIncentive)*'Intl Economy Base'!C9),2),ROUND('Intl Economy Base'!$C$105*(1+International_Fuel_Surcharge),2),ROUND(((1-IntEconomyDiscount-IntEoncomyIncentive)*'Intl Economy Base'!C9)*(1+International_Fuel_Surcharge),2)))*(1+FedEx_Markup),2)</f>
        <v>37.98</v>
      </c>
      <c r="D12" s="295">
        <f>ROUND((IF('Intl Economy Base'!$D$105&gt;ROUND(((1-IntEconomyDiscount-IntEoncomyIncentive)*'Intl Economy Base'!D9),2),ROUND('Intl Economy Base'!$D$105*(1+International_Fuel_Surcharge),2),ROUND(((1-IntEconomyDiscount-IntEoncomyIncentive)*'Intl Economy Base'!D9)*(1+International_Fuel_Surcharge),2)))*(1+FedEx_Markup),2)</f>
        <v>35.87</v>
      </c>
      <c r="E12" s="295">
        <f>ROUND((IF('Intl Economy Base'!$E$105&gt;ROUND(((1-IntEconomyDiscount-IntEoncomyIncentive)*'Intl Economy Base'!E9),2),ROUND('Intl Economy Base'!$E$105*(1+International_Fuel_Surcharge),2),ROUND(((1-IntEconomyDiscount-IntEoncomyIncentive)*'Intl Economy Base'!E9)*(1+International_Fuel_Surcharge),2)))*(1+FedEx_Markup),2)</f>
        <v>48.83</v>
      </c>
      <c r="F12" s="295">
        <f>ROUND((IF('Intl Economy Base'!$F$105&gt;ROUND(((1-IntEconomyDiscount-IntEoncomyIncentive)*'Intl Economy Base'!F9),2),ROUND('Intl Economy Base'!$F$105*(1+International_Fuel_Surcharge),2),ROUND(((1-IntEconomyDiscount-IntEoncomyIncentive)*'Intl Economy Base'!F9)*(1+International_Fuel_Surcharge),2)))*(1+FedEx_Markup),2)</f>
        <v>72.57</v>
      </c>
      <c r="G12" s="295">
        <f>ROUND((IF('Intl Economy Base'!$G$105&gt;ROUND(((1-IntEconomyDiscount-IntEoncomyIncentive)*'Intl Economy Base'!G9),2),ROUND('Intl Economy Base'!$G$105*(1+International_Fuel_Surcharge),2),ROUND(((1-IntEconomyDiscount-IntEoncomyIncentive)*'Intl Economy Base'!G9)*(1+International_Fuel_Surcharge),2)))*(1+FedEx_Markup),2)</f>
        <v>51.78</v>
      </c>
      <c r="H12" s="295">
        <f>ROUND((IF('Intl Economy Base'!$H$105&gt;ROUND(((1-IntEconomyDiscount-IntEoncomyIncentive)*'Intl Economy Base'!H9),2),ROUND('Intl Economy Base'!$H$105*(1+International_Fuel_Surcharge),2),ROUND(((1-IntEconomyDiscount-IntEoncomyIncentive)*'Intl Economy Base'!H9)*(1+International_Fuel_Surcharge),2)))*(1+FedEx_Markup),2)</f>
        <v>46.98</v>
      </c>
      <c r="I12" s="295">
        <f>ROUND((IF('Intl Economy Base'!$I$105&gt;ROUND(((1-IntEconomyDiscount-IntEoncomyIncentive)*'Intl Economy Base'!I9),2),ROUND('Intl Economy Base'!$I$105*(1+International_Fuel_Surcharge),2),ROUND(((1-IntEconomyDiscount-IntEoncomyIncentive)*'Intl Economy Base'!I9)*(1+International_Fuel_Surcharge),2)))*(1+FedEx_Markup),2)</f>
        <v>53.12</v>
      </c>
      <c r="J12" s="295">
        <f>ROUND((IF('Intl Economy Base'!$J$105&gt;ROUND(((1-IntEconomyDiscount-IntEoncomyIncentive)*'Intl Economy Base'!J9),2),ROUND('Intl Economy Base'!$J$105*(1+International_Fuel_Surcharge),2),ROUND(((1-IntEconomyDiscount-IntEoncomyIncentive)*'Intl Economy Base'!J9)*(1+International_Fuel_Surcharge),2)))*(1+FedEx_Markup),2)</f>
        <v>39.09</v>
      </c>
      <c r="K12" s="295">
        <f>ROUND((IF('Intl Economy Base'!$K$105&gt;ROUND(((1-IntEconomyDiscount-IntEoncomyIncentive)*'Intl Economy Base'!K9),2),ROUND('Intl Economy Base'!$K$105*(1+International_Fuel_Surcharge),2),ROUND(((1-IntEconomyDiscount-IntEoncomyIncentive)*'Intl Economy Base'!K9)*(1+International_Fuel_Surcharge),2)))*(1+FedEx_Markup),2)</f>
        <v>62.11</v>
      </c>
      <c r="L12" s="295">
        <f>ROUND((IF('Intl Economy Base'!$L$105&gt;ROUND(((1-IntEconomyDiscount-IntEoncomyIncentive)*'Intl Economy Base'!L9),2),ROUND('Intl Economy Base'!$L$105*(1+International_Fuel_Surcharge),2),ROUND(((1-IntEconomyDiscount-IntEoncomyIncentive)*'Intl Economy Base'!L9)*(1+International_Fuel_Surcharge),2)))*(1+FedEx_Markup),2)</f>
        <v>55.88</v>
      </c>
      <c r="M12" s="295">
        <f>ROUND((IF('Intl Economy Base'!$M$105&gt;ROUND(((1-IntEconomyDiscount-IntEoncomyIncentive)*'Intl Economy Base'!M9),2),ROUND('Intl Economy Base'!$M$105*(1+International_Fuel_Surcharge),2),ROUND(((1-IntEconomyDiscount-IntEoncomyIncentive)*'Intl Economy Base'!M9)*(1+International_Fuel_Surcharge),2)))*(1+FedEx_Markup),2)</f>
        <v>73.31</v>
      </c>
      <c r="N12" s="295">
        <f>ROUND((IF('Intl Economy Base'!$N$105&gt;ROUND(((1-IntEconomyDiscount-IntEoncomyIncentive)*'Intl Economy Base'!N9),2),ROUND('Intl Economy Base'!$N$105*(1+International_Fuel_Surcharge),2),ROUND(((1-IntEconomyDiscount-IntEoncomyIncentive)*'Intl Economy Base'!N9)*(1+International_Fuel_Surcharge),2)))*(1+FedEx_Markup),2)</f>
        <v>69.98</v>
      </c>
      <c r="O12" s="295">
        <f>ROUND((IF('Intl Economy Base'!$O$105&gt;ROUND(((1-IntEconomyDiscount-IntEoncomyIncentive)*'Intl Economy Base'!O9),2),ROUND('Intl Economy Base'!$O$105*(1+International_Fuel_Surcharge),2),ROUND(((1-IntEconomyDiscount-IntEoncomyIncentive)*'Intl Economy Base'!O9)*(1+International_Fuel_Surcharge),2)))*(1+FedEx_Markup),2)</f>
        <v>50.98</v>
      </c>
      <c r="P12" s="295">
        <f>ROUND((IF('Intl Economy Base'!$P$105&gt;ROUND(((1-IntEconomyDiscount-IntEoncomyIncentive)*'Intl Economy Base'!P9),2),ROUND('Intl Economy Base'!$P$105*(1+International_Fuel_Surcharge),2),ROUND(((1-IntEconomyDiscount-IntEoncomyIncentive)*'Intl Economy Base'!P9)*(1+International_Fuel_Surcharge),2)))*(1+FedEx_Markup),2)</f>
        <v>51.31</v>
      </c>
      <c r="Q12" s="295">
        <f>ROUND((IF('Intl Economy Base'!$Q$105&gt;ROUND(((1-PuertoRicoDiscount)*'Intl Economy Base'!Q9),2),ROUND('Intl Economy Base'!$Q$105*(1+International_Fuel_Surcharge),2),ROUND(((1-PuertoRicoDiscount)*'Intl Economy Base'!Q9)*(1+International_Fuel_Surcharge),2)))*(1+FedEx_Markup),2)</f>
        <v>67.42</v>
      </c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294">
        <v>8.0</v>
      </c>
      <c r="B13" s="295">
        <f>ROUND((IF('Intl Economy Base'!$B$105&gt;ROUND(((1-IntEconomyDiscount-IntEoncomyIncentive)*'Intl Economy Base'!B10),2),ROUND('Intl Economy Base'!$B$105*(1+International_Fuel_Surcharge),2),ROUND(((1-IntEconomyDiscount-IntEoncomyIncentive)*'Intl Economy Base'!B10)*(1+International_Fuel_Surcharge),2)))*(1+FedEx_Markup),2)</f>
        <v>33.61</v>
      </c>
      <c r="C13" s="295">
        <f>ROUND((IF('Intl Economy Base'!$C$105&gt;ROUND(((1-IntEconomyDiscount-IntEoncomyIncentive)*'Intl Economy Base'!C10),2),ROUND('Intl Economy Base'!$C$105*(1+International_Fuel_Surcharge),2),ROUND(((1-IntEconomyDiscount-IntEoncomyIncentive)*'Intl Economy Base'!C10)*(1+International_Fuel_Surcharge),2)))*(1+FedEx_Markup),2)</f>
        <v>39.26</v>
      </c>
      <c r="D13" s="295">
        <f>ROUND((IF('Intl Economy Base'!$D$105&gt;ROUND(((1-IntEconomyDiscount-IntEoncomyIncentive)*'Intl Economy Base'!D10),2),ROUND('Intl Economy Base'!$D$105*(1+International_Fuel_Surcharge),2),ROUND(((1-IntEconomyDiscount-IntEoncomyIncentive)*'Intl Economy Base'!D10)*(1+International_Fuel_Surcharge),2)))*(1+FedEx_Markup),2)</f>
        <v>38.09</v>
      </c>
      <c r="E13" s="295">
        <f>ROUND((IF('Intl Economy Base'!$E$105&gt;ROUND(((1-IntEconomyDiscount-IntEoncomyIncentive)*'Intl Economy Base'!E10),2),ROUND('Intl Economy Base'!$E$105*(1+International_Fuel_Surcharge),2),ROUND(((1-IntEconomyDiscount-IntEoncomyIncentive)*'Intl Economy Base'!E10)*(1+International_Fuel_Surcharge),2)))*(1+FedEx_Markup),2)</f>
        <v>48.93</v>
      </c>
      <c r="F13" s="295">
        <f>ROUND((IF('Intl Economy Base'!$F$105&gt;ROUND(((1-IntEconomyDiscount-IntEoncomyIncentive)*'Intl Economy Base'!F10),2),ROUND('Intl Economy Base'!$F$105*(1+International_Fuel_Surcharge),2),ROUND(((1-IntEconomyDiscount-IntEoncomyIncentive)*'Intl Economy Base'!F10)*(1+International_Fuel_Surcharge),2)))*(1+FedEx_Markup),2)</f>
        <v>73.31</v>
      </c>
      <c r="G13" s="295">
        <f>ROUND((IF('Intl Economy Base'!$G$105&gt;ROUND(((1-IntEconomyDiscount-IntEoncomyIncentive)*'Intl Economy Base'!G10),2),ROUND('Intl Economy Base'!$G$105*(1+International_Fuel_Surcharge),2),ROUND(((1-IntEconomyDiscount-IntEoncomyIncentive)*'Intl Economy Base'!G10)*(1+International_Fuel_Surcharge),2)))*(1+FedEx_Markup),2)</f>
        <v>53.59</v>
      </c>
      <c r="H13" s="295">
        <f>ROUND((IF('Intl Economy Base'!$H$105&gt;ROUND(((1-IntEconomyDiscount-IntEoncomyIncentive)*'Intl Economy Base'!H10),2),ROUND('Intl Economy Base'!$H$105*(1+International_Fuel_Surcharge),2),ROUND(((1-IntEconomyDiscount-IntEoncomyIncentive)*'Intl Economy Base'!H10)*(1+International_Fuel_Surcharge),2)))*(1+FedEx_Markup),2)</f>
        <v>47.39</v>
      </c>
      <c r="I13" s="295">
        <f>ROUND((IF('Intl Economy Base'!$I$105&gt;ROUND(((1-IntEconomyDiscount-IntEoncomyIncentive)*'Intl Economy Base'!I10),2),ROUND('Intl Economy Base'!$I$105*(1+International_Fuel_Surcharge),2),ROUND(((1-IntEconomyDiscount-IntEoncomyIncentive)*'Intl Economy Base'!I10)*(1+International_Fuel_Surcharge),2)))*(1+FedEx_Markup),2)</f>
        <v>56.48</v>
      </c>
      <c r="J13" s="295">
        <f>ROUND((IF('Intl Economy Base'!$J$105&gt;ROUND(((1-IntEconomyDiscount-IntEoncomyIncentive)*'Intl Economy Base'!J10),2),ROUND('Intl Economy Base'!$J$105*(1+International_Fuel_Surcharge),2),ROUND(((1-IntEconomyDiscount-IntEoncomyIncentive)*'Intl Economy Base'!J10)*(1+International_Fuel_Surcharge),2)))*(1+FedEx_Markup),2)</f>
        <v>39.41</v>
      </c>
      <c r="K13" s="295">
        <f>ROUND((IF('Intl Economy Base'!$K$105&gt;ROUND(((1-IntEconomyDiscount-IntEoncomyIncentive)*'Intl Economy Base'!K10),2),ROUND('Intl Economy Base'!$K$105*(1+International_Fuel_Surcharge),2),ROUND(((1-IntEconomyDiscount-IntEoncomyIncentive)*'Intl Economy Base'!K10)*(1+International_Fuel_Surcharge),2)))*(1+FedEx_Markup),2)</f>
        <v>67.02</v>
      </c>
      <c r="L13" s="295">
        <f>ROUND((IF('Intl Economy Base'!$L$105&gt;ROUND(((1-IntEconomyDiscount-IntEoncomyIncentive)*'Intl Economy Base'!L10),2),ROUND('Intl Economy Base'!$L$105*(1+International_Fuel_Surcharge),2),ROUND(((1-IntEconomyDiscount-IntEoncomyIncentive)*'Intl Economy Base'!L10)*(1+International_Fuel_Surcharge),2)))*(1+FedEx_Markup),2)</f>
        <v>56.65</v>
      </c>
      <c r="M13" s="295">
        <f>ROUND((IF('Intl Economy Base'!$M$105&gt;ROUND(((1-IntEconomyDiscount-IntEoncomyIncentive)*'Intl Economy Base'!M10),2),ROUND('Intl Economy Base'!$M$105*(1+International_Fuel_Surcharge),2),ROUND(((1-IntEconomyDiscount-IntEoncomyIncentive)*'Intl Economy Base'!M10)*(1+International_Fuel_Surcharge),2)))*(1+FedEx_Markup),2)</f>
        <v>83</v>
      </c>
      <c r="N13" s="295">
        <f>ROUND((IF('Intl Economy Base'!$N$105&gt;ROUND(((1-IntEconomyDiscount-IntEoncomyIncentive)*'Intl Economy Base'!N10),2),ROUND('Intl Economy Base'!$N$105*(1+International_Fuel_Surcharge),2),ROUND(((1-IntEconomyDiscount-IntEoncomyIncentive)*'Intl Economy Base'!N10)*(1+International_Fuel_Surcharge),2)))*(1+FedEx_Markup),2)</f>
        <v>78.19</v>
      </c>
      <c r="O13" s="295">
        <f>ROUND((IF('Intl Economy Base'!$O$105&gt;ROUND(((1-IntEconomyDiscount-IntEoncomyIncentive)*'Intl Economy Base'!O10),2),ROUND('Intl Economy Base'!$O$105*(1+International_Fuel_Surcharge),2),ROUND(((1-IntEconomyDiscount-IntEoncomyIncentive)*'Intl Economy Base'!O10)*(1+International_Fuel_Surcharge),2)))*(1+FedEx_Markup),2)</f>
        <v>58.79</v>
      </c>
      <c r="P13" s="295">
        <f>ROUND((IF('Intl Economy Base'!$P$105&gt;ROUND(((1-IntEconomyDiscount-IntEoncomyIncentive)*'Intl Economy Base'!P10),2),ROUND('Intl Economy Base'!$P$105*(1+International_Fuel_Surcharge),2),ROUND(((1-IntEconomyDiscount-IntEoncomyIncentive)*'Intl Economy Base'!P10)*(1+International_Fuel_Surcharge),2)))*(1+FedEx_Markup),2)</f>
        <v>56.2</v>
      </c>
      <c r="Q13" s="295">
        <f>ROUND((IF('Intl Economy Base'!$Q$105&gt;ROUND(((1-PuertoRicoDiscount)*'Intl Economy Base'!Q10),2),ROUND('Intl Economy Base'!$Q$105*(1+International_Fuel_Surcharge),2),ROUND(((1-PuertoRicoDiscount)*'Intl Economy Base'!Q10)*(1+International_Fuel_Surcharge),2)))*(1+FedEx_Markup),2)</f>
        <v>71.39</v>
      </c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294">
        <v>9.0</v>
      </c>
      <c r="B14" s="295">
        <f>ROUND((IF('Intl Economy Base'!$B$105&gt;ROUND(((1-IntEconomyDiscount-IntEoncomyIncentive)*'Intl Economy Base'!B11),2),ROUND('Intl Economy Base'!$B$105*(1+International_Fuel_Surcharge),2),ROUND(((1-IntEconomyDiscount-IntEoncomyIncentive)*'Intl Economy Base'!B11)*(1+International_Fuel_Surcharge),2)))*(1+FedEx_Markup),2)</f>
        <v>34.83</v>
      </c>
      <c r="C14" s="295">
        <f>ROUND((IF('Intl Economy Base'!$C$105&gt;ROUND(((1-IntEconomyDiscount-IntEoncomyIncentive)*'Intl Economy Base'!C11),2),ROUND('Intl Economy Base'!$C$105*(1+International_Fuel_Surcharge),2),ROUND(((1-IntEconomyDiscount-IntEoncomyIncentive)*'Intl Economy Base'!C11)*(1+International_Fuel_Surcharge),2)))*(1+FedEx_Markup),2)</f>
        <v>41.88</v>
      </c>
      <c r="D14" s="295">
        <f>ROUND((IF('Intl Economy Base'!$D$105&gt;ROUND(((1-IntEconomyDiscount-IntEoncomyIncentive)*'Intl Economy Base'!D11),2),ROUND('Intl Economy Base'!$D$105*(1+International_Fuel_Surcharge),2),ROUND(((1-IntEconomyDiscount-IntEoncomyIncentive)*'Intl Economy Base'!D11)*(1+International_Fuel_Surcharge),2)))*(1+FedEx_Markup),2)</f>
        <v>38.31</v>
      </c>
      <c r="E14" s="295">
        <f>ROUND((IF('Intl Economy Base'!$E$105&gt;ROUND(((1-IntEconomyDiscount-IntEoncomyIncentive)*'Intl Economy Base'!E11),2),ROUND('Intl Economy Base'!$E$105*(1+International_Fuel_Surcharge),2),ROUND(((1-IntEconomyDiscount-IntEoncomyIncentive)*'Intl Economy Base'!E11)*(1+International_Fuel_Surcharge),2)))*(1+FedEx_Markup),2)</f>
        <v>50.97</v>
      </c>
      <c r="F14" s="295">
        <f>ROUND((IF('Intl Economy Base'!$F$105&gt;ROUND(((1-IntEconomyDiscount-IntEoncomyIncentive)*'Intl Economy Base'!F11),2),ROUND('Intl Economy Base'!$F$105*(1+International_Fuel_Surcharge),2),ROUND(((1-IntEconomyDiscount-IntEoncomyIncentive)*'Intl Economy Base'!F11)*(1+International_Fuel_Surcharge),2)))*(1+FedEx_Markup),2)</f>
        <v>82.03</v>
      </c>
      <c r="G14" s="295">
        <f>ROUND((IF('Intl Economy Base'!$G$105&gt;ROUND(((1-IntEconomyDiscount-IntEoncomyIncentive)*'Intl Economy Base'!G11),2),ROUND('Intl Economy Base'!$G$105*(1+International_Fuel_Surcharge),2),ROUND(((1-IntEconomyDiscount-IntEoncomyIncentive)*'Intl Economy Base'!G11)*(1+International_Fuel_Surcharge),2)))*(1+FedEx_Markup),2)</f>
        <v>54.96</v>
      </c>
      <c r="H14" s="295">
        <f>ROUND((IF('Intl Economy Base'!$H$105&gt;ROUND(((1-IntEconomyDiscount-IntEoncomyIncentive)*'Intl Economy Base'!H11),2),ROUND('Intl Economy Base'!$H$105*(1+International_Fuel_Surcharge),2),ROUND(((1-IntEconomyDiscount-IntEoncomyIncentive)*'Intl Economy Base'!H11)*(1+International_Fuel_Surcharge),2)))*(1+FedEx_Markup),2)</f>
        <v>55.49</v>
      </c>
      <c r="I14" s="295">
        <f>ROUND((IF('Intl Economy Base'!$I$105&gt;ROUND(((1-IntEconomyDiscount-IntEoncomyIncentive)*'Intl Economy Base'!I11),2),ROUND('Intl Economy Base'!$I$105*(1+International_Fuel_Surcharge),2),ROUND(((1-IntEconomyDiscount-IntEoncomyIncentive)*'Intl Economy Base'!I11)*(1+International_Fuel_Surcharge),2)))*(1+FedEx_Markup),2)</f>
        <v>59.83</v>
      </c>
      <c r="J14" s="295">
        <f>ROUND((IF('Intl Economy Base'!$J$105&gt;ROUND(((1-IntEconomyDiscount-IntEoncomyIncentive)*'Intl Economy Base'!J11),2),ROUND('Intl Economy Base'!$J$105*(1+International_Fuel_Surcharge),2),ROUND(((1-IntEconomyDiscount-IntEoncomyIncentive)*'Intl Economy Base'!J11)*(1+International_Fuel_Surcharge),2)))*(1+FedEx_Markup),2)</f>
        <v>41.37</v>
      </c>
      <c r="K14" s="295">
        <f>ROUND((IF('Intl Economy Base'!$K$105&gt;ROUND(((1-IntEconomyDiscount-IntEoncomyIncentive)*'Intl Economy Base'!K11),2),ROUND('Intl Economy Base'!$K$105*(1+International_Fuel_Surcharge),2),ROUND(((1-IntEconomyDiscount-IntEoncomyIncentive)*'Intl Economy Base'!K11)*(1+International_Fuel_Surcharge),2)))*(1+FedEx_Markup),2)</f>
        <v>72.46</v>
      </c>
      <c r="L14" s="295">
        <f>ROUND((IF('Intl Economy Base'!$L$105&gt;ROUND(((1-IntEconomyDiscount-IntEoncomyIncentive)*'Intl Economy Base'!L11),2),ROUND('Intl Economy Base'!$L$105*(1+International_Fuel_Surcharge),2),ROUND(((1-IntEconomyDiscount-IntEoncomyIncentive)*'Intl Economy Base'!L11)*(1+International_Fuel_Surcharge),2)))*(1+FedEx_Markup),2)</f>
        <v>63.92</v>
      </c>
      <c r="M14" s="295">
        <f>ROUND((IF('Intl Economy Base'!$M$105&gt;ROUND(((1-IntEconomyDiscount-IntEoncomyIncentive)*'Intl Economy Base'!M11),2),ROUND('Intl Economy Base'!$M$105*(1+International_Fuel_Surcharge),2),ROUND(((1-IntEconomyDiscount-IntEoncomyIncentive)*'Intl Economy Base'!M11)*(1+International_Fuel_Surcharge),2)))*(1+FedEx_Markup),2)</f>
        <v>93.36</v>
      </c>
      <c r="N14" s="295">
        <f>ROUND((IF('Intl Economy Base'!$N$105&gt;ROUND(((1-IntEconomyDiscount-IntEoncomyIncentive)*'Intl Economy Base'!N11),2),ROUND('Intl Economy Base'!$N$105*(1+International_Fuel_Surcharge),2),ROUND(((1-IntEconomyDiscount-IntEoncomyIncentive)*'Intl Economy Base'!N11)*(1+International_Fuel_Surcharge),2)))*(1+FedEx_Markup),2)</f>
        <v>90.49</v>
      </c>
      <c r="O14" s="295">
        <f>ROUND((IF('Intl Economy Base'!$O$105&gt;ROUND(((1-IntEconomyDiscount-IntEoncomyIncentive)*'Intl Economy Base'!O11),2),ROUND('Intl Economy Base'!$O$105*(1+International_Fuel_Surcharge),2),ROUND(((1-IntEconomyDiscount-IntEoncomyIncentive)*'Intl Economy Base'!O11)*(1+International_Fuel_Surcharge),2)))*(1+FedEx_Markup),2)</f>
        <v>61.39</v>
      </c>
      <c r="P14" s="295">
        <f>ROUND((IF('Intl Economy Base'!$P$105&gt;ROUND(((1-IntEconomyDiscount-IntEoncomyIncentive)*'Intl Economy Base'!P11),2),ROUND('Intl Economy Base'!$P$105*(1+International_Fuel_Surcharge),2),ROUND(((1-IntEconomyDiscount-IntEoncomyIncentive)*'Intl Economy Base'!P11)*(1+International_Fuel_Surcharge),2)))*(1+FedEx_Markup),2)</f>
        <v>61.77</v>
      </c>
      <c r="Q14" s="295">
        <f>ROUND((IF('Intl Economy Base'!$Q$105&gt;ROUND(((1-PuertoRicoDiscount)*'Intl Economy Base'!Q11),2),ROUND('Intl Economy Base'!$Q$105*(1+International_Fuel_Surcharge),2),ROUND(((1-PuertoRicoDiscount)*'Intl Economy Base'!Q11)*(1+International_Fuel_Surcharge),2)))*(1+FedEx_Markup),2)</f>
        <v>75.83</v>
      </c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294">
        <v>10.0</v>
      </c>
      <c r="B15" s="295">
        <f>ROUND((IF('Intl Economy Base'!$B$105&gt;ROUND(((1-IntEconomyDiscount-IntEoncomyIncentive)*'Intl Economy Base'!B12),2),ROUND('Intl Economy Base'!$B$105*(1+International_Fuel_Surcharge),2),ROUND(((1-IntEconomyDiscount-IntEoncomyIncentive)*'Intl Economy Base'!B12)*(1+International_Fuel_Surcharge),2)))*(1+FedEx_Markup),2)</f>
        <v>35.62</v>
      </c>
      <c r="C15" s="295">
        <f>ROUND((IF('Intl Economy Base'!$C$105&gt;ROUND(((1-IntEconomyDiscount-IntEoncomyIncentive)*'Intl Economy Base'!C12),2),ROUND('Intl Economy Base'!$C$105*(1+International_Fuel_Surcharge),2),ROUND(((1-IntEconomyDiscount-IntEoncomyIncentive)*'Intl Economy Base'!C12)*(1+International_Fuel_Surcharge),2)))*(1+FedEx_Markup),2)</f>
        <v>43.01</v>
      </c>
      <c r="D15" s="295">
        <f>ROUND((IF('Intl Economy Base'!$D$105&gt;ROUND(((1-IntEconomyDiscount-IntEoncomyIncentive)*'Intl Economy Base'!D12),2),ROUND('Intl Economy Base'!$D$105*(1+International_Fuel_Surcharge),2),ROUND(((1-IntEconomyDiscount-IntEoncomyIncentive)*'Intl Economy Base'!D12)*(1+International_Fuel_Surcharge),2)))*(1+FedEx_Markup),2)</f>
        <v>38.56</v>
      </c>
      <c r="E15" s="295">
        <f>ROUND((IF('Intl Economy Base'!$E$105&gt;ROUND(((1-IntEconomyDiscount-IntEoncomyIncentive)*'Intl Economy Base'!E12),2),ROUND('Intl Economy Base'!$E$105*(1+International_Fuel_Surcharge),2),ROUND(((1-IntEconomyDiscount-IntEoncomyIncentive)*'Intl Economy Base'!E12)*(1+International_Fuel_Surcharge),2)))*(1+FedEx_Markup),2)</f>
        <v>51.19</v>
      </c>
      <c r="F15" s="295">
        <f>ROUND((IF('Intl Economy Base'!$F$105&gt;ROUND(((1-IntEconomyDiscount-IntEoncomyIncentive)*'Intl Economy Base'!F12),2),ROUND('Intl Economy Base'!$F$105*(1+International_Fuel_Surcharge),2),ROUND(((1-IntEconomyDiscount-IntEoncomyIncentive)*'Intl Economy Base'!F12)*(1+International_Fuel_Surcharge),2)))*(1+FedEx_Markup),2)</f>
        <v>82.9</v>
      </c>
      <c r="G15" s="295">
        <f>ROUND((IF('Intl Economy Base'!$G$105&gt;ROUND(((1-IntEconomyDiscount-IntEoncomyIncentive)*'Intl Economy Base'!G12),2),ROUND('Intl Economy Base'!$G$105*(1+International_Fuel_Surcharge),2),ROUND(((1-IntEconomyDiscount-IntEoncomyIncentive)*'Intl Economy Base'!G12)*(1+International_Fuel_Surcharge),2)))*(1+FedEx_Markup),2)</f>
        <v>55.1</v>
      </c>
      <c r="H15" s="295">
        <f>ROUND((IF('Intl Economy Base'!$H$105&gt;ROUND(((1-IntEconomyDiscount-IntEoncomyIncentive)*'Intl Economy Base'!H12),2),ROUND('Intl Economy Base'!$H$105*(1+International_Fuel_Surcharge),2),ROUND(((1-IntEconomyDiscount-IntEoncomyIncentive)*'Intl Economy Base'!H12)*(1+International_Fuel_Surcharge),2)))*(1+FedEx_Markup),2)</f>
        <v>56.29</v>
      </c>
      <c r="I15" s="295">
        <f>ROUND((IF('Intl Economy Base'!$I$105&gt;ROUND(((1-IntEconomyDiscount-IntEoncomyIncentive)*'Intl Economy Base'!I12),2),ROUND('Intl Economy Base'!$I$105*(1+International_Fuel_Surcharge),2),ROUND(((1-IntEconomyDiscount-IntEoncomyIncentive)*'Intl Economy Base'!I12)*(1+International_Fuel_Surcharge),2)))*(1+FedEx_Markup),2)</f>
        <v>60.17</v>
      </c>
      <c r="J15" s="295">
        <f>ROUND((IF('Intl Economy Base'!$J$105&gt;ROUND(((1-IntEconomyDiscount-IntEoncomyIncentive)*'Intl Economy Base'!J12),2),ROUND('Intl Economy Base'!$J$105*(1+International_Fuel_Surcharge),2),ROUND(((1-IntEconomyDiscount-IntEoncomyIncentive)*'Intl Economy Base'!J12)*(1+International_Fuel_Surcharge),2)))*(1+FedEx_Markup),2)</f>
        <v>43.39</v>
      </c>
      <c r="K15" s="295">
        <f>ROUND((IF('Intl Economy Base'!$K$105&gt;ROUND(((1-IntEconomyDiscount-IntEoncomyIncentive)*'Intl Economy Base'!K12),2),ROUND('Intl Economy Base'!$K$105*(1+International_Fuel_Surcharge),2),ROUND(((1-IntEconomyDiscount-IntEoncomyIncentive)*'Intl Economy Base'!K12)*(1+International_Fuel_Surcharge),2)))*(1+FedEx_Markup),2)</f>
        <v>73</v>
      </c>
      <c r="L15" s="295">
        <f>ROUND((IF('Intl Economy Base'!$L$105&gt;ROUND(((1-IntEconomyDiscount-IntEoncomyIncentive)*'Intl Economy Base'!L12),2),ROUND('Intl Economy Base'!$L$105*(1+International_Fuel_Surcharge),2),ROUND(((1-IntEconomyDiscount-IntEoncomyIncentive)*'Intl Economy Base'!L12)*(1+International_Fuel_Surcharge),2)))*(1+FedEx_Markup),2)</f>
        <v>64.65</v>
      </c>
      <c r="M15" s="295">
        <f>ROUND((IF('Intl Economy Base'!$M$105&gt;ROUND(((1-IntEconomyDiscount-IntEoncomyIncentive)*'Intl Economy Base'!M12),2),ROUND('Intl Economy Base'!$M$105*(1+International_Fuel_Surcharge),2),ROUND(((1-IntEconomyDiscount-IntEoncomyIncentive)*'Intl Economy Base'!M12)*(1+International_Fuel_Surcharge),2)))*(1+FedEx_Markup),2)</f>
        <v>94.39</v>
      </c>
      <c r="N15" s="295">
        <f>ROUND((IF('Intl Economy Base'!$N$105&gt;ROUND(((1-IntEconomyDiscount-IntEoncomyIncentive)*'Intl Economy Base'!N12),2),ROUND('Intl Economy Base'!$N$105*(1+International_Fuel_Surcharge),2),ROUND(((1-IntEconomyDiscount-IntEoncomyIncentive)*'Intl Economy Base'!N12)*(1+International_Fuel_Surcharge),2)))*(1+FedEx_Markup),2)</f>
        <v>91.72</v>
      </c>
      <c r="O15" s="295">
        <f>ROUND((IF('Intl Economy Base'!$O$105&gt;ROUND(((1-IntEconomyDiscount-IntEoncomyIncentive)*'Intl Economy Base'!O12),2),ROUND('Intl Economy Base'!$O$105*(1+International_Fuel_Surcharge),2),ROUND(((1-IntEconomyDiscount-IntEoncomyIncentive)*'Intl Economy Base'!O12)*(1+International_Fuel_Surcharge),2)))*(1+FedEx_Markup),2)</f>
        <v>63.51</v>
      </c>
      <c r="P15" s="295">
        <f>ROUND((IF('Intl Economy Base'!$P$105&gt;ROUND(((1-IntEconomyDiscount-IntEoncomyIncentive)*'Intl Economy Base'!P12),2),ROUND('Intl Economy Base'!$P$105*(1+International_Fuel_Surcharge),2),ROUND(((1-IntEconomyDiscount-IntEoncomyIncentive)*'Intl Economy Base'!P12)*(1+International_Fuel_Surcharge),2)))*(1+FedEx_Markup),2)</f>
        <v>62.33</v>
      </c>
      <c r="Q15" s="295">
        <f>ROUND((IF('Intl Economy Base'!$Q$105&gt;ROUND(((1-PuertoRicoDiscount)*'Intl Economy Base'!Q12),2),ROUND('Intl Economy Base'!$Q$105*(1+International_Fuel_Surcharge),2),ROUND(((1-PuertoRicoDiscount)*'Intl Economy Base'!Q12)*(1+International_Fuel_Surcharge),2)))*(1+FedEx_Markup),2)</f>
        <v>82.42</v>
      </c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294">
        <v>11.0</v>
      </c>
      <c r="B16" s="295">
        <f>ROUND((IF('Intl Economy Base'!$B$105&gt;ROUND(((1-IntEconomyDiscount-IntEoncomyIncentive)*'Intl Economy Base'!B13),2),ROUND('Intl Economy Base'!$B$105*(1+International_Fuel_Surcharge),2),ROUND(((1-IntEconomyDiscount-IntEoncomyIncentive)*'Intl Economy Base'!B13)*(1+International_Fuel_Surcharge),2)))*(1+FedEx_Markup),2)</f>
        <v>35.7</v>
      </c>
      <c r="C16" s="295">
        <f>ROUND((IF('Intl Economy Base'!$C$105&gt;ROUND(((1-IntEconomyDiscount-IntEoncomyIncentive)*'Intl Economy Base'!C13),2),ROUND('Intl Economy Base'!$C$105*(1+International_Fuel_Surcharge),2),ROUND(((1-IntEconomyDiscount-IntEoncomyIncentive)*'Intl Economy Base'!C13)*(1+International_Fuel_Surcharge),2)))*(1+FedEx_Markup),2)</f>
        <v>43.55</v>
      </c>
      <c r="D16" s="295">
        <f>ROUND((IF('Intl Economy Base'!$D$105&gt;ROUND(((1-IntEconomyDiscount-IntEoncomyIncentive)*'Intl Economy Base'!D13),2),ROUND('Intl Economy Base'!$D$105*(1+International_Fuel_Surcharge),2),ROUND(((1-IntEconomyDiscount-IntEoncomyIncentive)*'Intl Economy Base'!D13)*(1+International_Fuel_Surcharge),2)))*(1+FedEx_Markup),2)</f>
        <v>43.54</v>
      </c>
      <c r="E16" s="295">
        <f>ROUND((IF('Intl Economy Base'!$E$105&gt;ROUND(((1-IntEconomyDiscount-IntEoncomyIncentive)*'Intl Economy Base'!E13),2),ROUND('Intl Economy Base'!$E$105*(1+International_Fuel_Surcharge),2),ROUND(((1-IntEconomyDiscount-IntEoncomyIncentive)*'Intl Economy Base'!E13)*(1+International_Fuel_Surcharge),2)))*(1+FedEx_Markup),2)</f>
        <v>55.58</v>
      </c>
      <c r="F16" s="295">
        <f>ROUND((IF('Intl Economy Base'!$F$105&gt;ROUND(((1-IntEconomyDiscount-IntEoncomyIncentive)*'Intl Economy Base'!F13),2),ROUND('Intl Economy Base'!$F$105*(1+International_Fuel_Surcharge),2),ROUND(((1-IntEconomyDiscount-IntEoncomyIncentive)*'Intl Economy Base'!F13)*(1+International_Fuel_Surcharge),2)))*(1+FedEx_Markup),2)</f>
        <v>83.06</v>
      </c>
      <c r="G16" s="295">
        <f>ROUND((IF('Intl Economy Base'!$G$105&gt;ROUND(((1-IntEconomyDiscount-IntEoncomyIncentive)*'Intl Economy Base'!G13),2),ROUND('Intl Economy Base'!$G$105*(1+International_Fuel_Surcharge),2),ROUND(((1-IntEconomyDiscount-IntEoncomyIncentive)*'Intl Economy Base'!G13)*(1+International_Fuel_Surcharge),2)))*(1+FedEx_Markup),2)</f>
        <v>55.73</v>
      </c>
      <c r="H16" s="295">
        <f>ROUND((IF('Intl Economy Base'!$H$105&gt;ROUND(((1-IntEconomyDiscount-IntEoncomyIncentive)*'Intl Economy Base'!H13),2),ROUND('Intl Economy Base'!$H$105*(1+International_Fuel_Surcharge),2),ROUND(((1-IntEconomyDiscount-IntEoncomyIncentive)*'Intl Economy Base'!H13)*(1+International_Fuel_Surcharge),2)))*(1+FedEx_Markup),2)</f>
        <v>56.41</v>
      </c>
      <c r="I16" s="295">
        <f>ROUND((IF('Intl Economy Base'!$I$105&gt;ROUND(((1-IntEconomyDiscount-IntEoncomyIncentive)*'Intl Economy Base'!I13),2),ROUND('Intl Economy Base'!$I$105*(1+International_Fuel_Surcharge),2),ROUND(((1-IntEconomyDiscount-IntEoncomyIncentive)*'Intl Economy Base'!I13)*(1+International_Fuel_Surcharge),2)))*(1+FedEx_Markup),2)</f>
        <v>61.17</v>
      </c>
      <c r="J16" s="295">
        <f>ROUND((IF('Intl Economy Base'!$J$105&gt;ROUND(((1-IntEconomyDiscount-IntEoncomyIncentive)*'Intl Economy Base'!J13),2),ROUND('Intl Economy Base'!$J$105*(1+International_Fuel_Surcharge),2),ROUND(((1-IntEconomyDiscount-IntEoncomyIncentive)*'Intl Economy Base'!J13)*(1+International_Fuel_Surcharge),2)))*(1+FedEx_Markup),2)</f>
        <v>47.09</v>
      </c>
      <c r="K16" s="295">
        <f>ROUND((IF('Intl Economy Base'!$K$105&gt;ROUND(((1-IntEconomyDiscount-IntEoncomyIncentive)*'Intl Economy Base'!K13),2),ROUND('Intl Economy Base'!$K$105*(1+International_Fuel_Surcharge),2),ROUND(((1-IntEconomyDiscount-IntEoncomyIncentive)*'Intl Economy Base'!K13)*(1+International_Fuel_Surcharge),2)))*(1+FedEx_Markup),2)</f>
        <v>74.27</v>
      </c>
      <c r="L16" s="295">
        <f>ROUND((IF('Intl Economy Base'!$L$105&gt;ROUND(((1-IntEconomyDiscount-IntEoncomyIncentive)*'Intl Economy Base'!L13),2),ROUND('Intl Economy Base'!$L$105*(1+International_Fuel_Surcharge),2),ROUND(((1-IntEconomyDiscount-IntEoncomyIncentive)*'Intl Economy Base'!L13)*(1+International_Fuel_Surcharge),2)))*(1+FedEx_Markup),2)</f>
        <v>65.33</v>
      </c>
      <c r="M16" s="295">
        <f>ROUND((IF('Intl Economy Base'!$M$105&gt;ROUND(((1-IntEconomyDiscount-IntEoncomyIncentive)*'Intl Economy Base'!M13),2),ROUND('Intl Economy Base'!$M$105*(1+International_Fuel_Surcharge),2),ROUND(((1-IntEconomyDiscount-IntEoncomyIncentive)*'Intl Economy Base'!M13)*(1+International_Fuel_Surcharge),2)))*(1+FedEx_Markup),2)</f>
        <v>99.06</v>
      </c>
      <c r="N16" s="295">
        <f>ROUND((IF('Intl Economy Base'!$N$105&gt;ROUND(((1-IntEconomyDiscount-IntEoncomyIncentive)*'Intl Economy Base'!N13),2),ROUND('Intl Economy Base'!$N$105*(1+International_Fuel_Surcharge),2),ROUND(((1-IntEconomyDiscount-IntEoncomyIncentive)*'Intl Economy Base'!N13)*(1+International_Fuel_Surcharge),2)))*(1+FedEx_Markup),2)</f>
        <v>91.92</v>
      </c>
      <c r="O16" s="295">
        <f>ROUND((IF('Intl Economy Base'!$O$105&gt;ROUND(((1-IntEconomyDiscount-IntEoncomyIncentive)*'Intl Economy Base'!O13),2),ROUND('Intl Economy Base'!$O$105*(1+International_Fuel_Surcharge),2),ROUND(((1-IntEconomyDiscount-IntEoncomyIncentive)*'Intl Economy Base'!O13)*(1+International_Fuel_Surcharge),2)))*(1+FedEx_Markup),2)</f>
        <v>63.72</v>
      </c>
      <c r="P16" s="295">
        <f>ROUND((IF('Intl Economy Base'!$P$105&gt;ROUND(((1-IntEconomyDiscount-IntEoncomyIncentive)*'Intl Economy Base'!P13),2),ROUND('Intl Economy Base'!$P$105*(1+International_Fuel_Surcharge),2),ROUND(((1-IntEconomyDiscount-IntEoncomyIncentive)*'Intl Economy Base'!P13)*(1+International_Fuel_Surcharge),2)))*(1+FedEx_Markup),2)</f>
        <v>65.85</v>
      </c>
      <c r="Q16" s="295">
        <f>ROUND((IF('Intl Economy Base'!$Q$105&gt;ROUND(((1-PuertoRicoDiscount)*'Intl Economy Base'!Q13),2),ROUND('Intl Economy Base'!$Q$105*(1+International_Fuel_Surcharge),2),ROUND(((1-PuertoRicoDiscount)*'Intl Economy Base'!Q13)*(1+International_Fuel_Surcharge),2)))*(1+FedEx_Markup),2)</f>
        <v>87.18</v>
      </c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294">
        <v>12.0</v>
      </c>
      <c r="B17" s="295">
        <f>ROUND((IF('Intl Economy Base'!$B$105&gt;ROUND(((1-IntEconomyDiscount-IntEoncomyIncentive)*'Intl Economy Base'!B14),2),ROUND('Intl Economy Base'!$B$105*(1+International_Fuel_Surcharge),2),ROUND(((1-IntEconomyDiscount-IntEoncomyIncentive)*'Intl Economy Base'!B14)*(1+International_Fuel_Surcharge),2)))*(1+FedEx_Markup),2)</f>
        <v>36.04</v>
      </c>
      <c r="C17" s="295">
        <f>ROUND((IF('Intl Economy Base'!$C$105&gt;ROUND(((1-IntEconomyDiscount-IntEoncomyIncentive)*'Intl Economy Base'!C14),2),ROUND('Intl Economy Base'!$C$105*(1+International_Fuel_Surcharge),2),ROUND(((1-IntEconomyDiscount-IntEoncomyIncentive)*'Intl Economy Base'!C14)*(1+International_Fuel_Surcharge),2)))*(1+FedEx_Markup),2)</f>
        <v>44.57</v>
      </c>
      <c r="D17" s="295">
        <f>ROUND((IF('Intl Economy Base'!$D$105&gt;ROUND(((1-IntEconomyDiscount-IntEoncomyIncentive)*'Intl Economy Base'!D14),2),ROUND('Intl Economy Base'!$D$105*(1+International_Fuel_Surcharge),2),ROUND(((1-IntEconomyDiscount-IntEoncomyIncentive)*'Intl Economy Base'!D14)*(1+International_Fuel_Surcharge),2)))*(1+FedEx_Markup),2)</f>
        <v>44.44</v>
      </c>
      <c r="E17" s="295">
        <f>ROUND((IF('Intl Economy Base'!$E$105&gt;ROUND(((1-IntEconomyDiscount-IntEoncomyIncentive)*'Intl Economy Base'!E14),2),ROUND('Intl Economy Base'!$E$105*(1+International_Fuel_Surcharge),2),ROUND(((1-IntEconomyDiscount-IntEoncomyIncentive)*'Intl Economy Base'!E14)*(1+International_Fuel_Surcharge),2)))*(1+FedEx_Markup),2)</f>
        <v>56.17</v>
      </c>
      <c r="F17" s="295">
        <f>ROUND((IF('Intl Economy Base'!$F$105&gt;ROUND(((1-IntEconomyDiscount-IntEoncomyIncentive)*'Intl Economy Base'!F14),2),ROUND('Intl Economy Base'!$F$105*(1+International_Fuel_Surcharge),2),ROUND(((1-IntEconomyDiscount-IntEoncomyIncentive)*'Intl Economy Base'!F14)*(1+International_Fuel_Surcharge),2)))*(1+FedEx_Markup),2)</f>
        <v>86</v>
      </c>
      <c r="G17" s="295">
        <f>ROUND((IF('Intl Economy Base'!$G$105&gt;ROUND(((1-IntEconomyDiscount-IntEoncomyIncentive)*'Intl Economy Base'!G14),2),ROUND('Intl Economy Base'!$G$105*(1+International_Fuel_Surcharge),2),ROUND(((1-IntEconomyDiscount-IntEoncomyIncentive)*'Intl Economy Base'!G14)*(1+International_Fuel_Surcharge),2)))*(1+FedEx_Markup),2)</f>
        <v>56.6</v>
      </c>
      <c r="H17" s="295">
        <f>ROUND((IF('Intl Economy Base'!$H$105&gt;ROUND(((1-IntEconomyDiscount-IntEoncomyIncentive)*'Intl Economy Base'!H14),2),ROUND('Intl Economy Base'!$H$105*(1+International_Fuel_Surcharge),2),ROUND(((1-IntEconomyDiscount-IntEoncomyIncentive)*'Intl Economy Base'!H14)*(1+International_Fuel_Surcharge),2)))*(1+FedEx_Markup),2)</f>
        <v>57.39</v>
      </c>
      <c r="I17" s="295">
        <f>ROUND((IF('Intl Economy Base'!$I$105&gt;ROUND(((1-IntEconomyDiscount-IntEoncomyIncentive)*'Intl Economy Base'!I14),2),ROUND('Intl Economy Base'!$I$105*(1+International_Fuel_Surcharge),2),ROUND(((1-IntEconomyDiscount-IntEoncomyIncentive)*'Intl Economy Base'!I14)*(1+International_Fuel_Surcharge),2)))*(1+FedEx_Markup),2)</f>
        <v>61.81</v>
      </c>
      <c r="J17" s="295">
        <f>ROUND((IF('Intl Economy Base'!$J$105&gt;ROUND(((1-IntEconomyDiscount-IntEoncomyIncentive)*'Intl Economy Base'!J14),2),ROUND('Intl Economy Base'!$J$105*(1+International_Fuel_Surcharge),2),ROUND(((1-IntEconomyDiscount-IntEoncomyIncentive)*'Intl Economy Base'!J14)*(1+International_Fuel_Surcharge),2)))*(1+FedEx_Markup),2)</f>
        <v>47.46</v>
      </c>
      <c r="K17" s="295">
        <f>ROUND((IF('Intl Economy Base'!$K$105&gt;ROUND(((1-IntEconomyDiscount-IntEoncomyIncentive)*'Intl Economy Base'!K14),2),ROUND('Intl Economy Base'!$K$105*(1+International_Fuel_Surcharge),2),ROUND(((1-IntEconomyDiscount-IntEoncomyIncentive)*'Intl Economy Base'!K14)*(1+International_Fuel_Surcharge),2)))*(1+FedEx_Markup),2)</f>
        <v>75.6</v>
      </c>
      <c r="L17" s="295">
        <f>ROUND((IF('Intl Economy Base'!$L$105&gt;ROUND(((1-IntEconomyDiscount-IntEoncomyIncentive)*'Intl Economy Base'!L14),2),ROUND('Intl Economy Base'!$L$105*(1+International_Fuel_Surcharge),2),ROUND(((1-IntEconomyDiscount-IntEoncomyIncentive)*'Intl Economy Base'!L14)*(1+International_Fuel_Surcharge),2)))*(1+FedEx_Markup),2)</f>
        <v>66.25</v>
      </c>
      <c r="M17" s="295">
        <f>ROUND((IF('Intl Economy Base'!$M$105&gt;ROUND(((1-IntEconomyDiscount-IntEoncomyIncentive)*'Intl Economy Base'!M14),2),ROUND('Intl Economy Base'!$M$105*(1+International_Fuel_Surcharge),2),ROUND(((1-IntEconomyDiscount-IntEoncomyIncentive)*'Intl Economy Base'!M14)*(1+International_Fuel_Surcharge),2)))*(1+FedEx_Markup),2)</f>
        <v>100.13</v>
      </c>
      <c r="N17" s="295">
        <f>ROUND((IF('Intl Economy Base'!$N$105&gt;ROUND(((1-IntEconomyDiscount-IntEoncomyIncentive)*'Intl Economy Base'!N14),2),ROUND('Intl Economy Base'!$N$105*(1+International_Fuel_Surcharge),2),ROUND(((1-IntEconomyDiscount-IntEoncomyIncentive)*'Intl Economy Base'!N14)*(1+International_Fuel_Surcharge),2)))*(1+FedEx_Markup),2)</f>
        <v>93.33</v>
      </c>
      <c r="O17" s="295">
        <f>ROUND((IF('Intl Economy Base'!$O$105&gt;ROUND(((1-IntEconomyDiscount-IntEoncomyIncentive)*'Intl Economy Base'!O14),2),ROUND('Intl Economy Base'!$O$105*(1+International_Fuel_Surcharge),2),ROUND(((1-IntEconomyDiscount-IntEoncomyIncentive)*'Intl Economy Base'!O14)*(1+International_Fuel_Surcharge),2)))*(1+FedEx_Markup),2)</f>
        <v>64.65</v>
      </c>
      <c r="P17" s="295">
        <f>ROUND((IF('Intl Economy Base'!$P$105&gt;ROUND(((1-IntEconomyDiscount-IntEoncomyIncentive)*'Intl Economy Base'!P14),2),ROUND('Intl Economy Base'!$P$105*(1+International_Fuel_Surcharge),2),ROUND(((1-IntEconomyDiscount-IntEoncomyIncentive)*'Intl Economy Base'!P14)*(1+International_Fuel_Surcharge),2)))*(1+FedEx_Markup),2)</f>
        <v>66.21</v>
      </c>
      <c r="Q17" s="295">
        <f>ROUND((IF('Intl Economy Base'!$Q$105&gt;ROUND(((1-PuertoRicoDiscount)*'Intl Economy Base'!Q14),2),ROUND('Intl Economy Base'!$Q$105*(1+International_Fuel_Surcharge),2),ROUND(((1-PuertoRicoDiscount)*'Intl Economy Base'!Q14)*(1+International_Fuel_Surcharge),2)))*(1+FedEx_Markup),2)</f>
        <v>92.2</v>
      </c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294">
        <v>13.0</v>
      </c>
      <c r="B18" s="295">
        <f>ROUND((IF('Intl Economy Base'!$B$105&gt;ROUND(((1-IntEconomyDiscount-IntEoncomyIncentive)*'Intl Economy Base'!B15),2),ROUND('Intl Economy Base'!$B$105*(1+International_Fuel_Surcharge),2),ROUND(((1-IntEconomyDiscount-IntEoncomyIncentive)*'Intl Economy Base'!B15)*(1+International_Fuel_Surcharge),2)))*(1+FedEx_Markup),2)</f>
        <v>39.16</v>
      </c>
      <c r="C18" s="295">
        <f>ROUND((IF('Intl Economy Base'!$C$105&gt;ROUND(((1-IntEconomyDiscount-IntEoncomyIncentive)*'Intl Economy Base'!C15),2),ROUND('Intl Economy Base'!$C$105*(1+International_Fuel_Surcharge),2),ROUND(((1-IntEconomyDiscount-IntEoncomyIncentive)*'Intl Economy Base'!C15)*(1+International_Fuel_Surcharge),2)))*(1+FedEx_Markup),2)</f>
        <v>51.32</v>
      </c>
      <c r="D18" s="295">
        <f>ROUND((IF('Intl Economy Base'!$D$105&gt;ROUND(((1-IntEconomyDiscount-IntEoncomyIncentive)*'Intl Economy Base'!D15),2),ROUND('Intl Economy Base'!$D$105*(1+International_Fuel_Surcharge),2),ROUND(((1-IntEconomyDiscount-IntEoncomyIncentive)*'Intl Economy Base'!D15)*(1+International_Fuel_Surcharge),2)))*(1+FedEx_Markup),2)</f>
        <v>44.72</v>
      </c>
      <c r="E18" s="295">
        <f>ROUND((IF('Intl Economy Base'!$E$105&gt;ROUND(((1-IntEconomyDiscount-IntEoncomyIncentive)*'Intl Economy Base'!E15),2),ROUND('Intl Economy Base'!$E$105*(1+International_Fuel_Surcharge),2),ROUND(((1-IntEconomyDiscount-IntEoncomyIncentive)*'Intl Economy Base'!E15)*(1+International_Fuel_Surcharge),2)))*(1+FedEx_Markup),2)</f>
        <v>61.57</v>
      </c>
      <c r="F18" s="295">
        <f>ROUND((IF('Intl Economy Base'!$F$105&gt;ROUND(((1-IntEconomyDiscount-IntEoncomyIncentive)*'Intl Economy Base'!F15),2),ROUND('Intl Economy Base'!$F$105*(1+International_Fuel_Surcharge),2),ROUND(((1-IntEconomyDiscount-IntEoncomyIncentive)*'Intl Economy Base'!F15)*(1+International_Fuel_Surcharge),2)))*(1+FedEx_Markup),2)</f>
        <v>93.83</v>
      </c>
      <c r="G18" s="295">
        <f>ROUND((IF('Intl Economy Base'!$G$105&gt;ROUND(((1-IntEconomyDiscount-IntEoncomyIncentive)*'Intl Economy Base'!G15),2),ROUND('Intl Economy Base'!$G$105*(1+International_Fuel_Surcharge),2),ROUND(((1-IntEconomyDiscount-IntEoncomyIncentive)*'Intl Economy Base'!G15)*(1+International_Fuel_Surcharge),2)))*(1+FedEx_Markup),2)</f>
        <v>61.66</v>
      </c>
      <c r="H18" s="295">
        <f>ROUND((IF('Intl Economy Base'!$H$105&gt;ROUND(((1-IntEconomyDiscount-IntEoncomyIncentive)*'Intl Economy Base'!H15),2),ROUND('Intl Economy Base'!$H$105*(1+International_Fuel_Surcharge),2),ROUND(((1-IntEconomyDiscount-IntEoncomyIncentive)*'Intl Economy Base'!H15)*(1+International_Fuel_Surcharge),2)))*(1+FedEx_Markup),2)</f>
        <v>67.75</v>
      </c>
      <c r="I18" s="295">
        <f>ROUND((IF('Intl Economy Base'!$I$105&gt;ROUND(((1-IntEconomyDiscount-IntEoncomyIncentive)*'Intl Economy Base'!I15),2),ROUND('Intl Economy Base'!$I$105*(1+International_Fuel_Surcharge),2),ROUND(((1-IntEconomyDiscount-IntEoncomyIncentive)*'Intl Economy Base'!I15)*(1+International_Fuel_Surcharge),2)))*(1+FedEx_Markup),2)</f>
        <v>69.37</v>
      </c>
      <c r="J18" s="295">
        <f>ROUND((IF('Intl Economy Base'!$J$105&gt;ROUND(((1-IntEconomyDiscount-IntEoncomyIncentive)*'Intl Economy Base'!J15),2),ROUND('Intl Economy Base'!$J$105*(1+International_Fuel_Surcharge),2),ROUND(((1-IntEconomyDiscount-IntEoncomyIncentive)*'Intl Economy Base'!J15)*(1+International_Fuel_Surcharge),2)))*(1+FedEx_Markup),2)</f>
        <v>48.78</v>
      </c>
      <c r="K18" s="295">
        <f>ROUND((IF('Intl Economy Base'!$K$105&gt;ROUND(((1-IntEconomyDiscount-IntEoncomyIncentive)*'Intl Economy Base'!K15),2),ROUND('Intl Economy Base'!$K$105*(1+International_Fuel_Surcharge),2),ROUND(((1-IntEconomyDiscount-IntEoncomyIncentive)*'Intl Economy Base'!K15)*(1+International_Fuel_Surcharge),2)))*(1+FedEx_Markup),2)</f>
        <v>94.46</v>
      </c>
      <c r="L18" s="295">
        <f>ROUND((IF('Intl Economy Base'!$L$105&gt;ROUND(((1-IntEconomyDiscount-IntEoncomyIncentive)*'Intl Economy Base'!L15),2),ROUND('Intl Economy Base'!$L$105*(1+International_Fuel_Surcharge),2),ROUND(((1-IntEconomyDiscount-IntEoncomyIncentive)*'Intl Economy Base'!L15)*(1+International_Fuel_Surcharge),2)))*(1+FedEx_Markup),2)</f>
        <v>72.59</v>
      </c>
      <c r="M18" s="295">
        <f>ROUND((IF('Intl Economy Base'!$M$105&gt;ROUND(((1-IntEconomyDiscount-IntEoncomyIncentive)*'Intl Economy Base'!M15),2),ROUND('Intl Economy Base'!$M$105*(1+International_Fuel_Surcharge),2),ROUND(((1-IntEconomyDiscount-IntEoncomyIncentive)*'Intl Economy Base'!M15)*(1+International_Fuel_Surcharge),2)))*(1+FedEx_Markup),2)</f>
        <v>107.26</v>
      </c>
      <c r="N18" s="295">
        <f>ROUND((IF('Intl Economy Base'!$N$105&gt;ROUND(((1-IntEconomyDiscount-IntEoncomyIncentive)*'Intl Economy Base'!N15),2),ROUND('Intl Economy Base'!$N$105*(1+International_Fuel_Surcharge),2),ROUND(((1-IntEconomyDiscount-IntEoncomyIncentive)*'Intl Economy Base'!N15)*(1+International_Fuel_Surcharge),2)))*(1+FedEx_Markup),2)</f>
        <v>101.22</v>
      </c>
      <c r="O18" s="295">
        <f>ROUND((IF('Intl Economy Base'!$O$105&gt;ROUND(((1-IntEconomyDiscount-IntEoncomyIncentive)*'Intl Economy Base'!O15),2),ROUND('Intl Economy Base'!$O$105*(1+International_Fuel_Surcharge),2),ROUND(((1-IntEconomyDiscount-IntEoncomyIncentive)*'Intl Economy Base'!O15)*(1+International_Fuel_Surcharge),2)))*(1+FedEx_Markup),2)</f>
        <v>75.05</v>
      </c>
      <c r="P18" s="295">
        <f>ROUND((IF('Intl Economy Base'!$P$105&gt;ROUND(((1-IntEconomyDiscount-IntEoncomyIncentive)*'Intl Economy Base'!P15),2),ROUND('Intl Economy Base'!$P$105*(1+International_Fuel_Surcharge),2),ROUND(((1-IntEconomyDiscount-IntEoncomyIncentive)*'Intl Economy Base'!P15)*(1+International_Fuel_Surcharge),2)))*(1+FedEx_Markup),2)</f>
        <v>71.17</v>
      </c>
      <c r="Q18" s="295">
        <f>ROUND((IF('Intl Economy Base'!$Q$105&gt;ROUND(((1-PuertoRicoDiscount)*'Intl Economy Base'!Q15),2),ROUND('Intl Economy Base'!$Q$105*(1+International_Fuel_Surcharge),2),ROUND(((1-PuertoRicoDiscount)*'Intl Economy Base'!Q15)*(1+International_Fuel_Surcharge),2)))*(1+FedEx_Markup),2)</f>
        <v>95.6</v>
      </c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294">
        <v>14.0</v>
      </c>
      <c r="B19" s="295">
        <f>ROUND((IF('Intl Economy Base'!$B$105&gt;ROUND(((1-IntEconomyDiscount-IntEoncomyIncentive)*'Intl Economy Base'!B16),2),ROUND('Intl Economy Base'!$B$105*(1+International_Fuel_Surcharge),2),ROUND(((1-IntEconomyDiscount-IntEoncomyIncentive)*'Intl Economy Base'!B16)*(1+International_Fuel_Surcharge),2)))*(1+FedEx_Markup),2)</f>
        <v>40.49</v>
      </c>
      <c r="C19" s="295">
        <f>ROUND((IF('Intl Economy Base'!$C$105&gt;ROUND(((1-IntEconomyDiscount-IntEoncomyIncentive)*'Intl Economy Base'!C16),2),ROUND('Intl Economy Base'!$C$105*(1+International_Fuel_Surcharge),2),ROUND(((1-IntEconomyDiscount-IntEoncomyIncentive)*'Intl Economy Base'!C16)*(1+International_Fuel_Surcharge),2)))*(1+FedEx_Markup),2)</f>
        <v>52.92</v>
      </c>
      <c r="D19" s="295">
        <f>ROUND((IF('Intl Economy Base'!$D$105&gt;ROUND(((1-IntEconomyDiscount-IntEoncomyIncentive)*'Intl Economy Base'!D16),2),ROUND('Intl Economy Base'!$D$105*(1+International_Fuel_Surcharge),2),ROUND(((1-IntEconomyDiscount-IntEoncomyIncentive)*'Intl Economy Base'!D16)*(1+International_Fuel_Surcharge),2)))*(1+FedEx_Markup),2)</f>
        <v>44.85</v>
      </c>
      <c r="E19" s="295">
        <f>ROUND((IF('Intl Economy Base'!$E$105&gt;ROUND(((1-IntEconomyDiscount-IntEoncomyIncentive)*'Intl Economy Base'!E16),2),ROUND('Intl Economy Base'!$E$105*(1+International_Fuel_Surcharge),2),ROUND(((1-IntEconomyDiscount-IntEoncomyIncentive)*'Intl Economy Base'!E16)*(1+International_Fuel_Surcharge),2)))*(1+FedEx_Markup),2)</f>
        <v>66.91</v>
      </c>
      <c r="F19" s="295">
        <f>ROUND((IF('Intl Economy Base'!$F$105&gt;ROUND(((1-IntEconomyDiscount-IntEoncomyIncentive)*'Intl Economy Base'!F16),2),ROUND('Intl Economy Base'!$F$105*(1+International_Fuel_Surcharge),2),ROUND(((1-IntEconomyDiscount-IntEoncomyIncentive)*'Intl Economy Base'!F16)*(1+International_Fuel_Surcharge),2)))*(1+FedEx_Markup),2)</f>
        <v>108.64</v>
      </c>
      <c r="G19" s="295">
        <f>ROUND((IF('Intl Economy Base'!$G$105&gt;ROUND(((1-IntEconomyDiscount-IntEoncomyIncentive)*'Intl Economy Base'!G16),2),ROUND('Intl Economy Base'!$G$105*(1+International_Fuel_Surcharge),2),ROUND(((1-IntEconomyDiscount-IntEoncomyIncentive)*'Intl Economy Base'!G16)*(1+International_Fuel_Surcharge),2)))*(1+FedEx_Markup),2)</f>
        <v>66.26</v>
      </c>
      <c r="H19" s="295">
        <f>ROUND((IF('Intl Economy Base'!$H$105&gt;ROUND(((1-IntEconomyDiscount-IntEoncomyIncentive)*'Intl Economy Base'!H16),2),ROUND('Intl Economy Base'!$H$105*(1+International_Fuel_Surcharge),2),ROUND(((1-IntEconomyDiscount-IntEoncomyIncentive)*'Intl Economy Base'!H16)*(1+International_Fuel_Surcharge),2)))*(1+FedEx_Markup),2)</f>
        <v>68.78</v>
      </c>
      <c r="I19" s="295">
        <f>ROUND((IF('Intl Economy Base'!$I$105&gt;ROUND(((1-IntEconomyDiscount-IntEoncomyIncentive)*'Intl Economy Base'!I16),2),ROUND('Intl Economy Base'!$I$105*(1+International_Fuel_Surcharge),2),ROUND(((1-IntEconomyDiscount-IntEoncomyIncentive)*'Intl Economy Base'!I16)*(1+International_Fuel_Surcharge),2)))*(1+FedEx_Markup),2)</f>
        <v>78.41</v>
      </c>
      <c r="J19" s="295">
        <f>ROUND((IF('Intl Economy Base'!$J$105&gt;ROUND(((1-IntEconomyDiscount-IntEoncomyIncentive)*'Intl Economy Base'!J16),2),ROUND('Intl Economy Base'!$J$105*(1+International_Fuel_Surcharge),2),ROUND(((1-IntEconomyDiscount-IntEoncomyIncentive)*'Intl Economy Base'!J16)*(1+International_Fuel_Surcharge),2)))*(1+FedEx_Markup),2)</f>
        <v>50.2</v>
      </c>
      <c r="K19" s="295">
        <f>ROUND((IF('Intl Economy Base'!$K$105&gt;ROUND(((1-IntEconomyDiscount-IntEoncomyIncentive)*'Intl Economy Base'!K16),2),ROUND('Intl Economy Base'!$K$105*(1+International_Fuel_Surcharge),2),ROUND(((1-IntEconomyDiscount-IntEoncomyIncentive)*'Intl Economy Base'!K16)*(1+International_Fuel_Surcharge),2)))*(1+FedEx_Markup),2)</f>
        <v>98.85</v>
      </c>
      <c r="L19" s="295">
        <f>ROUND((IF('Intl Economy Base'!$L$105&gt;ROUND(((1-IntEconomyDiscount-IntEoncomyIncentive)*'Intl Economy Base'!L16),2),ROUND('Intl Economy Base'!$L$105*(1+International_Fuel_Surcharge),2),ROUND(((1-IntEconomyDiscount-IntEoncomyIncentive)*'Intl Economy Base'!L16)*(1+International_Fuel_Surcharge),2)))*(1+FedEx_Markup),2)</f>
        <v>80.03</v>
      </c>
      <c r="M19" s="295">
        <f>ROUND((IF('Intl Economy Base'!$M$105&gt;ROUND(((1-IntEconomyDiscount-IntEoncomyIncentive)*'Intl Economy Base'!M16),2),ROUND('Intl Economy Base'!$M$105*(1+International_Fuel_Surcharge),2),ROUND(((1-IntEconomyDiscount-IntEoncomyIncentive)*'Intl Economy Base'!M16)*(1+International_Fuel_Surcharge),2)))*(1+FedEx_Markup),2)</f>
        <v>124.87</v>
      </c>
      <c r="N19" s="295">
        <f>ROUND((IF('Intl Economy Base'!$N$105&gt;ROUND(((1-IntEconomyDiscount-IntEoncomyIncentive)*'Intl Economy Base'!N16),2),ROUND('Intl Economy Base'!$N$105*(1+International_Fuel_Surcharge),2),ROUND(((1-IntEconomyDiscount-IntEoncomyIncentive)*'Intl Economy Base'!N16)*(1+International_Fuel_Surcharge),2)))*(1+FedEx_Markup),2)</f>
        <v>115.16</v>
      </c>
      <c r="O19" s="295">
        <f>ROUND((IF('Intl Economy Base'!$O$105&gt;ROUND(((1-IntEconomyDiscount-IntEoncomyIncentive)*'Intl Economy Base'!O16),2),ROUND('Intl Economy Base'!$O$105*(1+International_Fuel_Surcharge),2),ROUND(((1-IntEconomyDiscount-IntEoncomyIncentive)*'Intl Economy Base'!O16)*(1+International_Fuel_Surcharge),2)))*(1+FedEx_Markup),2)</f>
        <v>82.49</v>
      </c>
      <c r="P19" s="295">
        <f>ROUND((IF('Intl Economy Base'!$P$105&gt;ROUND(((1-IntEconomyDiscount-IntEoncomyIncentive)*'Intl Economy Base'!P16),2),ROUND('Intl Economy Base'!$P$105*(1+International_Fuel_Surcharge),2),ROUND(((1-IntEconomyDiscount-IntEoncomyIncentive)*'Intl Economy Base'!P16)*(1+International_Fuel_Surcharge),2)))*(1+FedEx_Markup),2)</f>
        <v>83.15</v>
      </c>
      <c r="Q19" s="295">
        <f>ROUND((IF('Intl Economy Base'!$Q$105&gt;ROUND(((1-PuertoRicoDiscount)*'Intl Economy Base'!Q16),2),ROUND('Intl Economy Base'!$Q$105*(1+International_Fuel_Surcharge),2),ROUND(((1-PuertoRicoDiscount)*'Intl Economy Base'!Q16)*(1+International_Fuel_Surcharge),2)))*(1+FedEx_Markup),2)</f>
        <v>99.26</v>
      </c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294">
        <v>15.0</v>
      </c>
      <c r="B20" s="295">
        <f>ROUND((IF('Intl Economy Base'!$B$105&gt;ROUND(((1-IntEconomyDiscount-IntEoncomyIncentive)*'Intl Economy Base'!B17),2),ROUND('Intl Economy Base'!$B$105*(1+International_Fuel_Surcharge),2),ROUND(((1-IntEconomyDiscount-IntEoncomyIncentive)*'Intl Economy Base'!B17)*(1+International_Fuel_Surcharge),2)))*(1+FedEx_Markup),2)</f>
        <v>43.04</v>
      </c>
      <c r="C20" s="295">
        <f>ROUND((IF('Intl Economy Base'!$C$105&gt;ROUND(((1-IntEconomyDiscount-IntEoncomyIncentive)*'Intl Economy Base'!C17),2),ROUND('Intl Economy Base'!$C$105*(1+International_Fuel_Surcharge),2),ROUND(((1-IntEconomyDiscount-IntEoncomyIncentive)*'Intl Economy Base'!C17)*(1+International_Fuel_Surcharge),2)))*(1+FedEx_Markup),2)</f>
        <v>55.71</v>
      </c>
      <c r="D20" s="295">
        <f>ROUND((IF('Intl Economy Base'!$D$105&gt;ROUND(((1-IntEconomyDiscount-IntEoncomyIncentive)*'Intl Economy Base'!D17),2),ROUND('Intl Economy Base'!$D$105*(1+International_Fuel_Surcharge),2),ROUND(((1-IntEconomyDiscount-IntEoncomyIncentive)*'Intl Economy Base'!D17)*(1+International_Fuel_Surcharge),2)))*(1+FedEx_Markup),2)</f>
        <v>47.15</v>
      </c>
      <c r="E20" s="295">
        <f>ROUND((IF('Intl Economy Base'!$E$105&gt;ROUND(((1-IntEconomyDiscount-IntEoncomyIncentive)*'Intl Economy Base'!E17),2),ROUND('Intl Economy Base'!$E$105*(1+International_Fuel_Surcharge),2),ROUND(((1-IntEconomyDiscount-IntEoncomyIncentive)*'Intl Economy Base'!E17)*(1+International_Fuel_Surcharge),2)))*(1+FedEx_Markup),2)</f>
        <v>68.67</v>
      </c>
      <c r="F20" s="295">
        <f>ROUND((IF('Intl Economy Base'!$F$105&gt;ROUND(((1-IntEconomyDiscount-IntEoncomyIncentive)*'Intl Economy Base'!F17),2),ROUND('Intl Economy Base'!$F$105*(1+International_Fuel_Surcharge),2),ROUND(((1-IntEconomyDiscount-IntEoncomyIncentive)*'Intl Economy Base'!F17)*(1+International_Fuel_Surcharge),2)))*(1+FedEx_Markup),2)</f>
        <v>120.04</v>
      </c>
      <c r="G20" s="295">
        <f>ROUND((IF('Intl Economy Base'!$G$105&gt;ROUND(((1-IntEconomyDiscount-IntEoncomyIncentive)*'Intl Economy Base'!G17),2),ROUND('Intl Economy Base'!$G$105*(1+International_Fuel_Surcharge),2),ROUND(((1-IntEconomyDiscount-IntEoncomyIncentive)*'Intl Economy Base'!G17)*(1+International_Fuel_Surcharge),2)))*(1+FedEx_Markup),2)</f>
        <v>66.72</v>
      </c>
      <c r="H20" s="295">
        <f>ROUND((IF('Intl Economy Base'!$H$105&gt;ROUND(((1-IntEconomyDiscount-IntEoncomyIncentive)*'Intl Economy Base'!H17),2),ROUND('Intl Economy Base'!$H$105*(1+International_Fuel_Surcharge),2),ROUND(((1-IntEconomyDiscount-IntEoncomyIncentive)*'Intl Economy Base'!H17)*(1+International_Fuel_Surcharge),2)))*(1+FedEx_Markup),2)</f>
        <v>68.92</v>
      </c>
      <c r="I20" s="295">
        <f>ROUND((IF('Intl Economy Base'!$I$105&gt;ROUND(((1-IntEconomyDiscount-IntEoncomyIncentive)*'Intl Economy Base'!I17),2),ROUND('Intl Economy Base'!$I$105*(1+International_Fuel_Surcharge),2),ROUND(((1-IntEconomyDiscount-IntEoncomyIncentive)*'Intl Economy Base'!I17)*(1+International_Fuel_Surcharge),2)))*(1+FedEx_Markup),2)</f>
        <v>82.64</v>
      </c>
      <c r="J20" s="295">
        <f>ROUND((IF('Intl Economy Base'!$J$105&gt;ROUND(((1-IntEconomyDiscount-IntEoncomyIncentive)*'Intl Economy Base'!J17),2),ROUND('Intl Economy Base'!$J$105*(1+International_Fuel_Surcharge),2),ROUND(((1-IntEconomyDiscount-IntEoncomyIncentive)*'Intl Economy Base'!J17)*(1+International_Fuel_Surcharge),2)))*(1+FedEx_Markup),2)</f>
        <v>52.05</v>
      </c>
      <c r="K20" s="295">
        <f>ROUND((IF('Intl Economy Base'!$K$105&gt;ROUND(((1-IntEconomyDiscount-IntEoncomyIncentive)*'Intl Economy Base'!K17),2),ROUND('Intl Economy Base'!$K$105*(1+International_Fuel_Surcharge),2),ROUND(((1-IntEconomyDiscount-IntEoncomyIncentive)*'Intl Economy Base'!K17)*(1+International_Fuel_Surcharge),2)))*(1+FedEx_Markup),2)</f>
        <v>103.06</v>
      </c>
      <c r="L20" s="295">
        <f>ROUND((IF('Intl Economy Base'!$L$105&gt;ROUND(((1-IntEconomyDiscount-IntEoncomyIncentive)*'Intl Economy Base'!L17),2),ROUND('Intl Economy Base'!$L$105*(1+International_Fuel_Surcharge),2),ROUND(((1-IntEconomyDiscount-IntEoncomyIncentive)*'Intl Economy Base'!L17)*(1+International_Fuel_Surcharge),2)))*(1+FedEx_Markup),2)</f>
        <v>80.78</v>
      </c>
      <c r="M20" s="295">
        <f>ROUND((IF('Intl Economy Base'!$M$105&gt;ROUND(((1-IntEconomyDiscount-IntEoncomyIncentive)*'Intl Economy Base'!M17),2),ROUND('Intl Economy Base'!$M$105*(1+International_Fuel_Surcharge),2),ROUND(((1-IntEconomyDiscount-IntEoncomyIncentive)*'Intl Economy Base'!M17)*(1+International_Fuel_Surcharge),2)))*(1+FedEx_Markup),2)</f>
        <v>126.64</v>
      </c>
      <c r="N20" s="295">
        <f>ROUND((IF('Intl Economy Base'!$N$105&gt;ROUND(((1-IntEconomyDiscount-IntEoncomyIncentive)*'Intl Economy Base'!N17),2),ROUND('Intl Economy Base'!$N$105*(1+International_Fuel_Surcharge),2),ROUND(((1-IntEconomyDiscount-IntEoncomyIncentive)*'Intl Economy Base'!N17)*(1+International_Fuel_Surcharge),2)))*(1+FedEx_Markup),2)</f>
        <v>116.55</v>
      </c>
      <c r="O20" s="295">
        <f>ROUND((IF('Intl Economy Base'!$O$105&gt;ROUND(((1-IntEconomyDiscount-IntEoncomyIncentive)*'Intl Economy Base'!O17),2),ROUND('Intl Economy Base'!$O$105*(1+International_Fuel_Surcharge),2),ROUND(((1-IntEconomyDiscount-IntEoncomyIncentive)*'Intl Economy Base'!O17)*(1+International_Fuel_Surcharge),2)))*(1+FedEx_Markup),2)</f>
        <v>85.46</v>
      </c>
      <c r="P20" s="295">
        <f>ROUND((IF('Intl Economy Base'!$P$105&gt;ROUND(((1-IntEconomyDiscount-IntEoncomyIncentive)*'Intl Economy Base'!P17),2),ROUND('Intl Economy Base'!$P$105*(1+International_Fuel_Surcharge),2),ROUND(((1-IntEconomyDiscount-IntEoncomyIncentive)*'Intl Economy Base'!P17)*(1+International_Fuel_Surcharge),2)))*(1+FedEx_Markup),2)</f>
        <v>91.92</v>
      </c>
      <c r="Q20" s="295">
        <f>ROUND((IF('Intl Economy Base'!$Q$105&gt;ROUND(((1-PuertoRicoDiscount)*'Intl Economy Base'!Q17),2),ROUND('Intl Economy Base'!$Q$105*(1+International_Fuel_Surcharge),2),ROUND(((1-PuertoRicoDiscount)*'Intl Economy Base'!Q17)*(1+International_Fuel_Surcharge),2)))*(1+FedEx_Markup),2)</f>
        <v>103.05</v>
      </c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294">
        <v>16.0</v>
      </c>
      <c r="B21" s="295">
        <f>ROUND((IF('Intl Economy Base'!$B$105&gt;ROUND(((1-IntEconomyDiscount-IntEoncomyIncentive)*'Intl Economy Base'!B18),2),ROUND('Intl Economy Base'!$B$105*(1+International_Fuel_Surcharge),2),ROUND(((1-IntEconomyDiscount-IntEoncomyIncentive)*'Intl Economy Base'!B18)*(1+International_Fuel_Surcharge),2)))*(1+FedEx_Markup),2)</f>
        <v>45.06</v>
      </c>
      <c r="C21" s="295">
        <f>ROUND((IF('Intl Economy Base'!$C$105&gt;ROUND(((1-IntEconomyDiscount-IntEoncomyIncentive)*'Intl Economy Base'!C18),2),ROUND('Intl Economy Base'!$C$105*(1+International_Fuel_Surcharge),2),ROUND(((1-IntEconomyDiscount-IntEoncomyIncentive)*'Intl Economy Base'!C18)*(1+International_Fuel_Surcharge),2)))*(1+FedEx_Markup),2)</f>
        <v>56.96</v>
      </c>
      <c r="D21" s="295">
        <f>ROUND((IF('Intl Economy Base'!$D$105&gt;ROUND(((1-IntEconomyDiscount-IntEoncomyIncentive)*'Intl Economy Base'!D18),2),ROUND('Intl Economy Base'!$D$105*(1+International_Fuel_Surcharge),2),ROUND(((1-IntEconomyDiscount-IntEoncomyIncentive)*'Intl Economy Base'!D18)*(1+International_Fuel_Surcharge),2)))*(1+FedEx_Markup),2)</f>
        <v>47.38</v>
      </c>
      <c r="E21" s="295">
        <f>ROUND((IF('Intl Economy Base'!$E$105&gt;ROUND(((1-IntEconomyDiscount-IntEoncomyIncentive)*'Intl Economy Base'!E18),2),ROUND('Intl Economy Base'!$E$105*(1+International_Fuel_Surcharge),2),ROUND(((1-IntEconomyDiscount-IntEoncomyIncentive)*'Intl Economy Base'!E18)*(1+International_Fuel_Surcharge),2)))*(1+FedEx_Markup),2)</f>
        <v>74.06</v>
      </c>
      <c r="F21" s="295">
        <f>ROUND((IF('Intl Economy Base'!$F$105&gt;ROUND(((1-IntEconomyDiscount-IntEoncomyIncentive)*'Intl Economy Base'!F18),2),ROUND('Intl Economy Base'!$F$105*(1+International_Fuel_Surcharge),2),ROUND(((1-IntEconomyDiscount-IntEoncomyIncentive)*'Intl Economy Base'!F18)*(1+International_Fuel_Surcharge),2)))*(1+FedEx_Markup),2)</f>
        <v>121.18</v>
      </c>
      <c r="G21" s="295">
        <f>ROUND((IF('Intl Economy Base'!$G$105&gt;ROUND(((1-IntEconomyDiscount-IntEoncomyIncentive)*'Intl Economy Base'!G18),2),ROUND('Intl Economy Base'!$G$105*(1+International_Fuel_Surcharge),2),ROUND(((1-IntEconomyDiscount-IntEoncomyIncentive)*'Intl Economy Base'!G18)*(1+International_Fuel_Surcharge),2)))*(1+FedEx_Markup),2)</f>
        <v>70.85</v>
      </c>
      <c r="H21" s="295">
        <f>ROUND((IF('Intl Economy Base'!$H$105&gt;ROUND(((1-IntEconomyDiscount-IntEoncomyIncentive)*'Intl Economy Base'!H18),2),ROUND('Intl Economy Base'!$H$105*(1+International_Fuel_Surcharge),2),ROUND(((1-IntEconomyDiscount-IntEoncomyIncentive)*'Intl Economy Base'!H18)*(1+International_Fuel_Surcharge),2)))*(1+FedEx_Markup),2)</f>
        <v>69.06</v>
      </c>
      <c r="I21" s="295">
        <f>ROUND((IF('Intl Economy Base'!$I$105&gt;ROUND(((1-IntEconomyDiscount-IntEoncomyIncentive)*'Intl Economy Base'!I18),2),ROUND('Intl Economy Base'!$I$105*(1+International_Fuel_Surcharge),2),ROUND(((1-IntEconomyDiscount-IntEoncomyIncentive)*'Intl Economy Base'!I18)*(1+International_Fuel_Surcharge),2)))*(1+FedEx_Markup),2)</f>
        <v>83.06</v>
      </c>
      <c r="J21" s="295">
        <f>ROUND((IF('Intl Economy Base'!$J$105&gt;ROUND(((1-IntEconomyDiscount-IntEoncomyIncentive)*'Intl Economy Base'!J18),2),ROUND('Intl Economy Base'!$J$105*(1+International_Fuel_Surcharge),2),ROUND(((1-IntEconomyDiscount-IntEoncomyIncentive)*'Intl Economy Base'!J18)*(1+International_Fuel_Surcharge),2)))*(1+FedEx_Markup),2)</f>
        <v>58.81</v>
      </c>
      <c r="K21" s="295">
        <f>ROUND((IF('Intl Economy Base'!$K$105&gt;ROUND(((1-IntEconomyDiscount-IntEoncomyIncentive)*'Intl Economy Base'!K18),2),ROUND('Intl Economy Base'!$K$105*(1+International_Fuel_Surcharge),2),ROUND(((1-IntEconomyDiscount-IntEoncomyIncentive)*'Intl Economy Base'!K18)*(1+International_Fuel_Surcharge),2)))*(1+FedEx_Markup),2)</f>
        <v>109.72</v>
      </c>
      <c r="L21" s="295">
        <f>ROUND((IF('Intl Economy Base'!$L$105&gt;ROUND(((1-IntEconomyDiscount-IntEoncomyIncentive)*'Intl Economy Base'!L18),2),ROUND('Intl Economy Base'!$L$105*(1+International_Fuel_Surcharge),2),ROUND(((1-IntEconomyDiscount-IntEoncomyIncentive)*'Intl Economy Base'!L18)*(1+International_Fuel_Surcharge),2)))*(1+FedEx_Markup),2)</f>
        <v>90.16</v>
      </c>
      <c r="M21" s="295">
        <f>ROUND((IF('Intl Economy Base'!$M$105&gt;ROUND(((1-IntEconomyDiscount-IntEoncomyIncentive)*'Intl Economy Base'!M18),2),ROUND('Intl Economy Base'!$M$105*(1+International_Fuel_Surcharge),2),ROUND(((1-IntEconomyDiscount-IntEoncomyIncentive)*'Intl Economy Base'!M18)*(1+International_Fuel_Surcharge),2)))*(1+FedEx_Markup),2)</f>
        <v>131.58</v>
      </c>
      <c r="N21" s="295">
        <f>ROUND((IF('Intl Economy Base'!$N$105&gt;ROUND(((1-IntEconomyDiscount-IntEoncomyIncentive)*'Intl Economy Base'!N18),2),ROUND('Intl Economy Base'!$N$105*(1+International_Fuel_Surcharge),2),ROUND(((1-IntEconomyDiscount-IntEoncomyIncentive)*'Intl Economy Base'!N18)*(1+International_Fuel_Surcharge),2)))*(1+FedEx_Markup),2)</f>
        <v>116.91</v>
      </c>
      <c r="O21" s="295">
        <f>ROUND((IF('Intl Economy Base'!$O$105&gt;ROUND(((1-IntEconomyDiscount-IntEoncomyIncentive)*'Intl Economy Base'!O18),2),ROUND('Intl Economy Base'!$O$105*(1+International_Fuel_Surcharge),2),ROUND(((1-IntEconomyDiscount-IntEoncomyIncentive)*'Intl Economy Base'!O18)*(1+International_Fuel_Surcharge),2)))*(1+FedEx_Markup),2)</f>
        <v>87.07</v>
      </c>
      <c r="P21" s="295">
        <f>ROUND((IF('Intl Economy Base'!$P$105&gt;ROUND(((1-IntEconomyDiscount-IntEoncomyIncentive)*'Intl Economy Base'!P18),2),ROUND('Intl Economy Base'!$P$105*(1+International_Fuel_Surcharge),2),ROUND(((1-IntEconomyDiscount-IntEoncomyIncentive)*'Intl Economy Base'!P18)*(1+International_Fuel_Surcharge),2)))*(1+FedEx_Markup),2)</f>
        <v>96.47</v>
      </c>
      <c r="Q21" s="295">
        <f>ROUND((IF('Intl Economy Base'!$Q$105&gt;ROUND(((1-PuertoRicoDiscount)*'Intl Economy Base'!Q18),2),ROUND('Intl Economy Base'!$Q$105*(1+International_Fuel_Surcharge),2),ROUND(((1-PuertoRicoDiscount)*'Intl Economy Base'!Q18)*(1+International_Fuel_Surcharge),2)))*(1+FedEx_Markup),2)</f>
        <v>107.66</v>
      </c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294">
        <v>17.0</v>
      </c>
      <c r="B22" s="295">
        <f>ROUND((IF('Intl Economy Base'!$B$105&gt;ROUND(((1-IntEconomyDiscount-IntEoncomyIncentive)*'Intl Economy Base'!B19),2),ROUND('Intl Economy Base'!$B$105*(1+International_Fuel_Surcharge),2),ROUND(((1-IntEconomyDiscount-IntEoncomyIncentive)*'Intl Economy Base'!B19)*(1+International_Fuel_Surcharge),2)))*(1+FedEx_Markup),2)</f>
        <v>45.4</v>
      </c>
      <c r="C22" s="295">
        <f>ROUND((IF('Intl Economy Base'!$C$105&gt;ROUND(((1-IntEconomyDiscount-IntEoncomyIncentive)*'Intl Economy Base'!C19),2),ROUND('Intl Economy Base'!$C$105*(1+International_Fuel_Surcharge),2),ROUND(((1-IntEconomyDiscount-IntEoncomyIncentive)*'Intl Economy Base'!C19)*(1+International_Fuel_Surcharge),2)))*(1+FedEx_Markup),2)</f>
        <v>57.1</v>
      </c>
      <c r="D22" s="295">
        <f>ROUND((IF('Intl Economy Base'!$D$105&gt;ROUND(((1-IntEconomyDiscount-IntEoncomyIncentive)*'Intl Economy Base'!D19),2),ROUND('Intl Economy Base'!$D$105*(1+International_Fuel_Surcharge),2),ROUND(((1-IntEconomyDiscount-IntEoncomyIncentive)*'Intl Economy Base'!D19)*(1+International_Fuel_Surcharge),2)))*(1+FedEx_Markup),2)</f>
        <v>49.94</v>
      </c>
      <c r="E22" s="295">
        <f>ROUND((IF('Intl Economy Base'!$E$105&gt;ROUND(((1-IntEconomyDiscount-IntEoncomyIncentive)*'Intl Economy Base'!E19),2),ROUND('Intl Economy Base'!$E$105*(1+International_Fuel_Surcharge),2),ROUND(((1-IntEconomyDiscount-IntEoncomyIncentive)*'Intl Economy Base'!E19)*(1+International_Fuel_Surcharge),2)))*(1+FedEx_Markup),2)</f>
        <v>74.6</v>
      </c>
      <c r="F22" s="295">
        <f>ROUND((IF('Intl Economy Base'!$F$105&gt;ROUND(((1-IntEconomyDiscount-IntEoncomyIncentive)*'Intl Economy Base'!F19),2),ROUND('Intl Economy Base'!$F$105*(1+International_Fuel_Surcharge),2),ROUND(((1-IntEconomyDiscount-IntEoncomyIncentive)*'Intl Economy Base'!F19)*(1+International_Fuel_Surcharge),2)))*(1+FedEx_Markup),2)</f>
        <v>121.73</v>
      </c>
      <c r="G22" s="295">
        <f>ROUND((IF('Intl Economy Base'!$G$105&gt;ROUND(((1-IntEconomyDiscount-IntEoncomyIncentive)*'Intl Economy Base'!G19),2),ROUND('Intl Economy Base'!$G$105*(1+International_Fuel_Surcharge),2),ROUND(((1-IntEconomyDiscount-IntEoncomyIncentive)*'Intl Economy Base'!G19)*(1+International_Fuel_Surcharge),2)))*(1+FedEx_Markup),2)</f>
        <v>74.8</v>
      </c>
      <c r="H22" s="295">
        <f>ROUND((IF('Intl Economy Base'!$H$105&gt;ROUND(((1-IntEconomyDiscount-IntEoncomyIncentive)*'Intl Economy Base'!H19),2),ROUND('Intl Economy Base'!$H$105*(1+International_Fuel_Surcharge),2),ROUND(((1-IntEconomyDiscount-IntEoncomyIncentive)*'Intl Economy Base'!H19)*(1+International_Fuel_Surcharge),2)))*(1+FedEx_Markup),2)</f>
        <v>71.27</v>
      </c>
      <c r="I22" s="295">
        <f>ROUND((IF('Intl Economy Base'!$I$105&gt;ROUND(((1-IntEconomyDiscount-IntEoncomyIncentive)*'Intl Economy Base'!I19),2),ROUND('Intl Economy Base'!$I$105*(1+International_Fuel_Surcharge),2),ROUND(((1-IntEconomyDiscount-IntEoncomyIncentive)*'Intl Economy Base'!I19)*(1+International_Fuel_Surcharge),2)))*(1+FedEx_Markup),2)</f>
        <v>86.99</v>
      </c>
      <c r="J22" s="295">
        <f>ROUND((IF('Intl Economy Base'!$J$105&gt;ROUND(((1-IntEconomyDiscount-IntEoncomyIncentive)*'Intl Economy Base'!J19),2),ROUND('Intl Economy Base'!$J$105*(1+International_Fuel_Surcharge),2),ROUND(((1-IntEconomyDiscount-IntEoncomyIncentive)*'Intl Economy Base'!J19)*(1+International_Fuel_Surcharge),2)))*(1+FedEx_Markup),2)</f>
        <v>60.82</v>
      </c>
      <c r="K22" s="295">
        <f>ROUND((IF('Intl Economy Base'!$K$105&gt;ROUND(((1-IntEconomyDiscount-IntEoncomyIncentive)*'Intl Economy Base'!K19),2),ROUND('Intl Economy Base'!$K$105*(1+International_Fuel_Surcharge),2),ROUND(((1-IntEconomyDiscount-IntEoncomyIncentive)*'Intl Economy Base'!K19)*(1+International_Fuel_Surcharge),2)))*(1+FedEx_Markup),2)</f>
        <v>112.37</v>
      </c>
      <c r="L22" s="295">
        <f>ROUND((IF('Intl Economy Base'!$L$105&gt;ROUND(((1-IntEconomyDiscount-IntEoncomyIncentive)*'Intl Economy Base'!L19),2),ROUND('Intl Economy Base'!$L$105*(1+International_Fuel_Surcharge),2),ROUND(((1-IntEconomyDiscount-IntEoncomyIncentive)*'Intl Economy Base'!L19)*(1+International_Fuel_Surcharge),2)))*(1+FedEx_Markup),2)</f>
        <v>94.01</v>
      </c>
      <c r="M22" s="295">
        <f>ROUND((IF('Intl Economy Base'!$M$105&gt;ROUND(((1-IntEconomyDiscount-IntEoncomyIncentive)*'Intl Economy Base'!M19),2),ROUND('Intl Economy Base'!$M$105*(1+International_Fuel_Surcharge),2),ROUND(((1-IntEconomyDiscount-IntEoncomyIncentive)*'Intl Economy Base'!M19)*(1+International_Fuel_Surcharge),2)))*(1+FedEx_Markup),2)</f>
        <v>138.72</v>
      </c>
      <c r="N22" s="295">
        <f>ROUND((IF('Intl Economy Base'!$N$105&gt;ROUND(((1-IntEconomyDiscount-IntEoncomyIncentive)*'Intl Economy Base'!N19),2),ROUND('Intl Economy Base'!$N$105*(1+International_Fuel_Surcharge),2),ROUND(((1-IntEconomyDiscount-IntEoncomyIncentive)*'Intl Economy Base'!N19)*(1+International_Fuel_Surcharge),2)))*(1+FedEx_Markup),2)</f>
        <v>117.7</v>
      </c>
      <c r="O22" s="295">
        <f>ROUND((IF('Intl Economy Base'!$O$105&gt;ROUND(((1-IntEconomyDiscount-IntEoncomyIncentive)*'Intl Economy Base'!O19),2),ROUND('Intl Economy Base'!$O$105*(1+International_Fuel_Surcharge),2),ROUND(((1-IntEconomyDiscount-IntEoncomyIncentive)*'Intl Economy Base'!O19)*(1+International_Fuel_Surcharge),2)))*(1+FedEx_Markup),2)</f>
        <v>90.13</v>
      </c>
      <c r="P22" s="295">
        <f>ROUND((IF('Intl Economy Base'!$P$105&gt;ROUND(((1-IntEconomyDiscount-IntEoncomyIncentive)*'Intl Economy Base'!P19),2),ROUND('Intl Economy Base'!$P$105*(1+International_Fuel_Surcharge),2),ROUND(((1-IntEconomyDiscount-IntEoncomyIncentive)*'Intl Economy Base'!P19)*(1+International_Fuel_Surcharge),2)))*(1+FedEx_Markup),2)</f>
        <v>96.93</v>
      </c>
      <c r="Q22" s="295">
        <f>ROUND((IF('Intl Economy Base'!$Q$105&gt;ROUND(((1-PuertoRicoDiscount)*'Intl Economy Base'!Q19),2),ROUND('Intl Economy Base'!$Q$105*(1+International_Fuel_Surcharge),2),ROUND(((1-PuertoRicoDiscount)*'Intl Economy Base'!Q19)*(1+International_Fuel_Surcharge),2)))*(1+FedEx_Markup),2)</f>
        <v>112.14</v>
      </c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294">
        <v>18.0</v>
      </c>
      <c r="B23" s="295">
        <f>ROUND((IF('Intl Economy Base'!$B$105&gt;ROUND(((1-IntEconomyDiscount-IntEoncomyIncentive)*'Intl Economy Base'!B20),2),ROUND('Intl Economy Base'!$B$105*(1+International_Fuel_Surcharge),2),ROUND(((1-IntEconomyDiscount-IntEoncomyIncentive)*'Intl Economy Base'!B20)*(1+International_Fuel_Surcharge),2)))*(1+FedEx_Markup),2)</f>
        <v>46.61</v>
      </c>
      <c r="C23" s="295">
        <f>ROUND((IF('Intl Economy Base'!$C$105&gt;ROUND(((1-IntEconomyDiscount-IntEoncomyIncentive)*'Intl Economy Base'!C20),2),ROUND('Intl Economy Base'!$C$105*(1+International_Fuel_Surcharge),2),ROUND(((1-IntEconomyDiscount-IntEoncomyIncentive)*'Intl Economy Base'!C20)*(1+International_Fuel_Surcharge),2)))*(1+FedEx_Markup),2)</f>
        <v>58.52</v>
      </c>
      <c r="D23" s="295">
        <f>ROUND((IF('Intl Economy Base'!$D$105&gt;ROUND(((1-IntEconomyDiscount-IntEoncomyIncentive)*'Intl Economy Base'!D20),2),ROUND('Intl Economy Base'!$D$105*(1+International_Fuel_Surcharge),2),ROUND(((1-IntEconomyDiscount-IntEoncomyIncentive)*'Intl Economy Base'!D20)*(1+International_Fuel_Surcharge),2)))*(1+FedEx_Markup),2)</f>
        <v>50.29</v>
      </c>
      <c r="E23" s="295">
        <f>ROUND((IF('Intl Economy Base'!$E$105&gt;ROUND(((1-IntEconomyDiscount-IntEoncomyIncentive)*'Intl Economy Base'!E20),2),ROUND('Intl Economy Base'!$E$105*(1+International_Fuel_Surcharge),2),ROUND(((1-IntEconomyDiscount-IntEoncomyIncentive)*'Intl Economy Base'!E20)*(1+International_Fuel_Surcharge),2)))*(1+FedEx_Markup),2)</f>
        <v>74.76</v>
      </c>
      <c r="F23" s="295">
        <f>ROUND((IF('Intl Economy Base'!$F$105&gt;ROUND(((1-IntEconomyDiscount-IntEoncomyIncentive)*'Intl Economy Base'!F20),2),ROUND('Intl Economy Base'!$F$105*(1+International_Fuel_Surcharge),2),ROUND(((1-IntEconomyDiscount-IntEoncomyIncentive)*'Intl Economy Base'!F20)*(1+International_Fuel_Surcharge),2)))*(1+FedEx_Markup),2)</f>
        <v>132.8</v>
      </c>
      <c r="G23" s="295">
        <f>ROUND((IF('Intl Economy Base'!$G$105&gt;ROUND(((1-IntEconomyDiscount-IntEoncomyIncentive)*'Intl Economy Base'!G20),2),ROUND('Intl Economy Base'!$G$105*(1+International_Fuel_Surcharge),2),ROUND(((1-IntEconomyDiscount-IntEoncomyIncentive)*'Intl Economy Base'!G20)*(1+International_Fuel_Surcharge),2)))*(1+FedEx_Markup),2)</f>
        <v>75.2</v>
      </c>
      <c r="H23" s="295">
        <f>ROUND((IF('Intl Economy Base'!$H$105&gt;ROUND(((1-IntEconomyDiscount-IntEoncomyIncentive)*'Intl Economy Base'!H20),2),ROUND('Intl Economy Base'!$H$105*(1+International_Fuel_Surcharge),2),ROUND(((1-IntEconomyDiscount-IntEoncomyIncentive)*'Intl Economy Base'!H20)*(1+International_Fuel_Surcharge),2)))*(1+FedEx_Markup),2)</f>
        <v>77.46</v>
      </c>
      <c r="I23" s="295">
        <f>ROUND((IF('Intl Economy Base'!$I$105&gt;ROUND(((1-IntEconomyDiscount-IntEoncomyIncentive)*'Intl Economy Base'!I20),2),ROUND('Intl Economy Base'!$I$105*(1+International_Fuel_Surcharge),2),ROUND(((1-IntEconomyDiscount-IntEoncomyIncentive)*'Intl Economy Base'!I20)*(1+International_Fuel_Surcharge),2)))*(1+FedEx_Markup),2)</f>
        <v>90.42</v>
      </c>
      <c r="J23" s="295">
        <f>ROUND((IF('Intl Economy Base'!$J$105&gt;ROUND(((1-IntEconomyDiscount-IntEoncomyIncentive)*'Intl Economy Base'!J20),2),ROUND('Intl Economy Base'!$J$105*(1+International_Fuel_Surcharge),2),ROUND(((1-IntEconomyDiscount-IntEoncomyIncentive)*'Intl Economy Base'!J20)*(1+International_Fuel_Surcharge),2)))*(1+FedEx_Markup),2)</f>
        <v>61.02</v>
      </c>
      <c r="K23" s="295">
        <f>ROUND((IF('Intl Economy Base'!$K$105&gt;ROUND(((1-IntEconomyDiscount-IntEoncomyIncentive)*'Intl Economy Base'!K20),2),ROUND('Intl Economy Base'!$K$105*(1+International_Fuel_Surcharge),2),ROUND(((1-IntEconomyDiscount-IntEoncomyIncentive)*'Intl Economy Base'!K20)*(1+International_Fuel_Surcharge),2)))*(1+FedEx_Markup),2)</f>
        <v>113.26</v>
      </c>
      <c r="L23" s="295">
        <f>ROUND((IF('Intl Economy Base'!$L$105&gt;ROUND(((1-IntEconomyDiscount-IntEoncomyIncentive)*'Intl Economy Base'!L20),2),ROUND('Intl Economy Base'!$L$105*(1+International_Fuel_Surcharge),2),ROUND(((1-IntEconomyDiscount-IntEoncomyIncentive)*'Intl Economy Base'!L20)*(1+International_Fuel_Surcharge),2)))*(1+FedEx_Markup),2)</f>
        <v>96.65</v>
      </c>
      <c r="M23" s="295">
        <f>ROUND((IF('Intl Economy Base'!$M$105&gt;ROUND(((1-IntEconomyDiscount-IntEoncomyIncentive)*'Intl Economy Base'!M20),2),ROUND('Intl Economy Base'!$M$105*(1+International_Fuel_Surcharge),2),ROUND(((1-IntEconomyDiscount-IntEoncomyIncentive)*'Intl Economy Base'!M20)*(1+International_Fuel_Surcharge),2)))*(1+FedEx_Markup),2)</f>
        <v>149.9</v>
      </c>
      <c r="N23" s="295">
        <f>ROUND((IF('Intl Economy Base'!$N$105&gt;ROUND(((1-IntEconomyDiscount-IntEoncomyIncentive)*'Intl Economy Base'!N20),2),ROUND('Intl Economy Base'!$N$105*(1+International_Fuel_Surcharge),2),ROUND(((1-IntEconomyDiscount-IntEoncomyIncentive)*'Intl Economy Base'!N20)*(1+International_Fuel_Surcharge),2)))*(1+FedEx_Markup),2)</f>
        <v>133.57</v>
      </c>
      <c r="O23" s="295">
        <f>ROUND((IF('Intl Economy Base'!$O$105&gt;ROUND(((1-IntEconomyDiscount-IntEoncomyIncentive)*'Intl Economy Base'!O20),2),ROUND('Intl Economy Base'!$O$105*(1+International_Fuel_Surcharge),2),ROUND(((1-IntEconomyDiscount-IntEoncomyIncentive)*'Intl Economy Base'!O20)*(1+International_Fuel_Surcharge),2)))*(1+FedEx_Markup),2)</f>
        <v>91.61</v>
      </c>
      <c r="P23" s="295">
        <f>ROUND((IF('Intl Economy Base'!$P$105&gt;ROUND(((1-IntEconomyDiscount-IntEoncomyIncentive)*'Intl Economy Base'!P20),2),ROUND('Intl Economy Base'!$P$105*(1+International_Fuel_Surcharge),2),ROUND(((1-IntEconomyDiscount-IntEoncomyIncentive)*'Intl Economy Base'!P20)*(1+International_Fuel_Surcharge),2)))*(1+FedEx_Markup),2)</f>
        <v>102.07</v>
      </c>
      <c r="Q23" s="295">
        <f>ROUND((IF('Intl Economy Base'!$Q$105&gt;ROUND(((1-PuertoRicoDiscount)*'Intl Economy Base'!Q20),2),ROUND('Intl Economy Base'!$Q$105*(1+International_Fuel_Surcharge),2),ROUND(((1-PuertoRicoDiscount)*'Intl Economy Base'!Q20)*(1+International_Fuel_Surcharge),2)))*(1+FedEx_Markup),2)</f>
        <v>117.69</v>
      </c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94">
        <v>19.0</v>
      </c>
      <c r="B24" s="295">
        <f>ROUND((IF('Intl Economy Base'!$B$105&gt;ROUND(((1-IntEconomyDiscount-IntEoncomyIncentive)*'Intl Economy Base'!B21),2),ROUND('Intl Economy Base'!$B$105*(1+International_Fuel_Surcharge),2),ROUND(((1-IntEconomyDiscount-IntEoncomyIncentive)*'Intl Economy Base'!B21)*(1+International_Fuel_Surcharge),2)))*(1+FedEx_Markup),2)</f>
        <v>47.78</v>
      </c>
      <c r="C24" s="295">
        <f>ROUND((IF('Intl Economy Base'!$C$105&gt;ROUND(((1-IntEconomyDiscount-IntEoncomyIncentive)*'Intl Economy Base'!C21),2),ROUND('Intl Economy Base'!$C$105*(1+International_Fuel_Surcharge),2),ROUND(((1-IntEconomyDiscount-IntEoncomyIncentive)*'Intl Economy Base'!C21)*(1+International_Fuel_Surcharge),2)))*(1+FedEx_Markup),2)</f>
        <v>59.97</v>
      </c>
      <c r="D24" s="295">
        <f>ROUND((IF('Intl Economy Base'!$D$105&gt;ROUND(((1-IntEconomyDiscount-IntEoncomyIncentive)*'Intl Economy Base'!D21),2),ROUND('Intl Economy Base'!$D$105*(1+International_Fuel_Surcharge),2),ROUND(((1-IntEconomyDiscount-IntEoncomyIncentive)*'Intl Economy Base'!D21)*(1+International_Fuel_Surcharge),2)))*(1+FedEx_Markup),2)</f>
        <v>57.28</v>
      </c>
      <c r="E24" s="295">
        <f>ROUND((IF('Intl Economy Base'!$E$105&gt;ROUND(((1-IntEconomyDiscount-IntEoncomyIncentive)*'Intl Economy Base'!E21),2),ROUND('Intl Economy Base'!$E$105*(1+International_Fuel_Surcharge),2),ROUND(((1-IntEconomyDiscount-IntEoncomyIncentive)*'Intl Economy Base'!E21)*(1+International_Fuel_Surcharge),2)))*(1+FedEx_Markup),2)</f>
        <v>75.01</v>
      </c>
      <c r="F24" s="295">
        <f>ROUND((IF('Intl Economy Base'!$F$105&gt;ROUND(((1-IntEconomyDiscount-IntEoncomyIncentive)*'Intl Economy Base'!F21),2),ROUND('Intl Economy Base'!$F$105*(1+International_Fuel_Surcharge),2),ROUND(((1-IntEconomyDiscount-IntEoncomyIncentive)*'Intl Economy Base'!F21)*(1+International_Fuel_Surcharge),2)))*(1+FedEx_Markup),2)</f>
        <v>135.08</v>
      </c>
      <c r="G24" s="295">
        <f>ROUND((IF('Intl Economy Base'!$G$105&gt;ROUND(((1-IntEconomyDiscount-IntEoncomyIncentive)*'Intl Economy Base'!G21),2),ROUND('Intl Economy Base'!$G$105*(1+International_Fuel_Surcharge),2),ROUND(((1-IntEconomyDiscount-IntEoncomyIncentive)*'Intl Economy Base'!G21)*(1+International_Fuel_Surcharge),2)))*(1+FedEx_Markup),2)</f>
        <v>79.26</v>
      </c>
      <c r="H24" s="295">
        <f>ROUND((IF('Intl Economy Base'!$H$105&gt;ROUND(((1-IntEconomyDiscount-IntEoncomyIncentive)*'Intl Economy Base'!H21),2),ROUND('Intl Economy Base'!$H$105*(1+International_Fuel_Surcharge),2),ROUND(((1-IntEconomyDiscount-IntEoncomyIncentive)*'Intl Economy Base'!H21)*(1+International_Fuel_Surcharge),2)))*(1+FedEx_Markup),2)</f>
        <v>78.09</v>
      </c>
      <c r="I24" s="295">
        <f>ROUND((IF('Intl Economy Base'!$I$105&gt;ROUND(((1-IntEconomyDiscount-IntEoncomyIncentive)*'Intl Economy Base'!I21),2),ROUND('Intl Economy Base'!$I$105*(1+International_Fuel_Surcharge),2),ROUND(((1-IntEconomyDiscount-IntEoncomyIncentive)*'Intl Economy Base'!I21)*(1+International_Fuel_Surcharge),2)))*(1+FedEx_Markup),2)</f>
        <v>90.76</v>
      </c>
      <c r="J24" s="295">
        <f>ROUND((IF('Intl Economy Base'!$J$105&gt;ROUND(((1-IntEconomyDiscount-IntEoncomyIncentive)*'Intl Economy Base'!J21),2),ROUND('Intl Economy Base'!$J$105*(1+International_Fuel_Surcharge),2),ROUND(((1-IntEconomyDiscount-IntEoncomyIncentive)*'Intl Economy Base'!J21)*(1+International_Fuel_Surcharge),2)))*(1+FedEx_Markup),2)</f>
        <v>62.15</v>
      </c>
      <c r="K24" s="295">
        <f>ROUND((IF('Intl Economy Base'!$K$105&gt;ROUND(((1-IntEconomyDiscount-IntEoncomyIncentive)*'Intl Economy Base'!K21),2),ROUND('Intl Economy Base'!$K$105*(1+International_Fuel_Surcharge),2),ROUND(((1-IntEconomyDiscount-IntEoncomyIncentive)*'Intl Economy Base'!K21)*(1+International_Fuel_Surcharge),2)))*(1+FedEx_Markup),2)</f>
        <v>119.58</v>
      </c>
      <c r="L24" s="295">
        <f>ROUND((IF('Intl Economy Base'!$L$105&gt;ROUND(((1-IntEconomyDiscount-IntEoncomyIncentive)*'Intl Economy Base'!L21),2),ROUND('Intl Economy Base'!$L$105*(1+International_Fuel_Surcharge),2),ROUND(((1-IntEconomyDiscount-IntEoncomyIncentive)*'Intl Economy Base'!L21)*(1+International_Fuel_Surcharge),2)))*(1+FedEx_Markup),2)</f>
        <v>102.03</v>
      </c>
      <c r="M24" s="295">
        <f>ROUND((IF('Intl Economy Base'!$M$105&gt;ROUND(((1-IntEconomyDiscount-IntEoncomyIncentive)*'Intl Economy Base'!M21),2),ROUND('Intl Economy Base'!$M$105*(1+International_Fuel_Surcharge),2),ROUND(((1-IntEconomyDiscount-IntEoncomyIncentive)*'Intl Economy Base'!M21)*(1+International_Fuel_Surcharge),2)))*(1+FedEx_Markup),2)</f>
        <v>154.88</v>
      </c>
      <c r="N24" s="295">
        <f>ROUND((IF('Intl Economy Base'!$N$105&gt;ROUND(((1-IntEconomyDiscount-IntEoncomyIncentive)*'Intl Economy Base'!N21),2),ROUND('Intl Economy Base'!$N$105*(1+International_Fuel_Surcharge),2),ROUND(((1-IntEconomyDiscount-IntEoncomyIncentive)*'Intl Economy Base'!N21)*(1+International_Fuel_Surcharge),2)))*(1+FedEx_Markup),2)</f>
        <v>142.74</v>
      </c>
      <c r="O24" s="295">
        <f>ROUND((IF('Intl Economy Base'!$O$105&gt;ROUND(((1-IntEconomyDiscount-IntEoncomyIncentive)*'Intl Economy Base'!O21),2),ROUND('Intl Economy Base'!$O$105*(1+International_Fuel_Surcharge),2),ROUND(((1-IntEconomyDiscount-IntEoncomyIncentive)*'Intl Economy Base'!O21)*(1+International_Fuel_Surcharge),2)))*(1+FedEx_Markup),2)</f>
        <v>92.09</v>
      </c>
      <c r="P24" s="295">
        <f>ROUND((IF('Intl Economy Base'!$P$105&gt;ROUND(((1-IntEconomyDiscount-IntEoncomyIncentive)*'Intl Economy Base'!P21),2),ROUND('Intl Economy Base'!$P$105*(1+International_Fuel_Surcharge),2),ROUND(((1-IntEconomyDiscount-IntEoncomyIncentive)*'Intl Economy Base'!P21)*(1+International_Fuel_Surcharge),2)))*(1+FedEx_Markup),2)</f>
        <v>103.63</v>
      </c>
      <c r="Q24" s="295">
        <f>ROUND((IF('Intl Economy Base'!$Q$105&gt;ROUND(((1-PuertoRicoDiscount)*'Intl Economy Base'!Q21),2),ROUND('Intl Economy Base'!$Q$105*(1+International_Fuel_Surcharge),2),ROUND(((1-PuertoRicoDiscount)*'Intl Economy Base'!Q21)*(1+International_Fuel_Surcharge),2)))*(1+FedEx_Markup),2)</f>
        <v>123.89</v>
      </c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94">
        <v>20.0</v>
      </c>
      <c r="B25" s="295">
        <f>ROUND((IF('Intl Economy Base'!$B$105&gt;ROUND(((1-IntEconomyDiscount-IntEoncomyIncentive)*'Intl Economy Base'!B22),2),ROUND('Intl Economy Base'!$B$105*(1+International_Fuel_Surcharge),2),ROUND(((1-IntEconomyDiscount-IntEoncomyIncentive)*'Intl Economy Base'!B22)*(1+International_Fuel_Surcharge),2)))*(1+FedEx_Markup),2)</f>
        <v>48.98</v>
      </c>
      <c r="C25" s="295">
        <f>ROUND((IF('Intl Economy Base'!$C$105&gt;ROUND(((1-IntEconomyDiscount-IntEoncomyIncentive)*'Intl Economy Base'!C22),2),ROUND('Intl Economy Base'!$C$105*(1+International_Fuel_Surcharge),2),ROUND(((1-IntEconomyDiscount-IntEoncomyIncentive)*'Intl Economy Base'!C22)*(1+International_Fuel_Surcharge),2)))*(1+FedEx_Markup),2)</f>
        <v>61.4</v>
      </c>
      <c r="D25" s="295">
        <f>ROUND((IF('Intl Economy Base'!$D$105&gt;ROUND(((1-IntEconomyDiscount-IntEoncomyIncentive)*'Intl Economy Base'!D22),2),ROUND('Intl Economy Base'!$D$105*(1+International_Fuel_Surcharge),2),ROUND(((1-IntEconomyDiscount-IntEoncomyIncentive)*'Intl Economy Base'!D22)*(1+International_Fuel_Surcharge),2)))*(1+FedEx_Markup),2)</f>
        <v>58.49</v>
      </c>
      <c r="E25" s="295">
        <f>ROUND((IF('Intl Economy Base'!$E$105&gt;ROUND(((1-IntEconomyDiscount-IntEoncomyIncentive)*'Intl Economy Base'!E22),2),ROUND('Intl Economy Base'!$E$105*(1+International_Fuel_Surcharge),2),ROUND(((1-IntEconomyDiscount-IntEoncomyIncentive)*'Intl Economy Base'!E22)*(1+International_Fuel_Surcharge),2)))*(1+FedEx_Markup),2)</f>
        <v>79.96</v>
      </c>
      <c r="F25" s="295">
        <f>ROUND((IF('Intl Economy Base'!$F$105&gt;ROUND(((1-IntEconomyDiscount-IntEoncomyIncentive)*'Intl Economy Base'!F22),2),ROUND('Intl Economy Base'!$F$105*(1+International_Fuel_Surcharge),2),ROUND(((1-IntEconomyDiscount-IntEoncomyIncentive)*'Intl Economy Base'!F22)*(1+International_Fuel_Surcharge),2)))*(1+FedEx_Markup),2)</f>
        <v>150.27</v>
      </c>
      <c r="G25" s="295">
        <f>ROUND((IF('Intl Economy Base'!$G$105&gt;ROUND(((1-IntEconomyDiscount-IntEoncomyIncentive)*'Intl Economy Base'!G22),2),ROUND('Intl Economy Base'!$G$105*(1+International_Fuel_Surcharge),2),ROUND(((1-IntEconomyDiscount-IntEoncomyIncentive)*'Intl Economy Base'!G22)*(1+International_Fuel_Surcharge),2)))*(1+FedEx_Markup),2)</f>
        <v>81.83</v>
      </c>
      <c r="H25" s="295">
        <f>ROUND((IF('Intl Economy Base'!$H$105&gt;ROUND(((1-IntEconomyDiscount-IntEoncomyIncentive)*'Intl Economy Base'!H22),2),ROUND('Intl Economy Base'!$H$105*(1+International_Fuel_Surcharge),2),ROUND(((1-IntEconomyDiscount-IntEoncomyIncentive)*'Intl Economy Base'!H22)*(1+International_Fuel_Surcharge),2)))*(1+FedEx_Markup),2)</f>
        <v>78.27</v>
      </c>
      <c r="I25" s="295">
        <f>ROUND((IF('Intl Economy Base'!$I$105&gt;ROUND(((1-IntEconomyDiscount-IntEoncomyIncentive)*'Intl Economy Base'!I22),2),ROUND('Intl Economy Base'!$I$105*(1+International_Fuel_Surcharge),2),ROUND(((1-IntEconomyDiscount-IntEoncomyIncentive)*'Intl Economy Base'!I22)*(1+International_Fuel_Surcharge),2)))*(1+FedEx_Markup),2)</f>
        <v>91.1</v>
      </c>
      <c r="J25" s="295">
        <f>ROUND((IF('Intl Economy Base'!$J$105&gt;ROUND(((1-IntEconomyDiscount-IntEoncomyIncentive)*'Intl Economy Base'!J22),2),ROUND('Intl Economy Base'!$J$105*(1+International_Fuel_Surcharge),2),ROUND(((1-IntEconomyDiscount-IntEoncomyIncentive)*'Intl Economy Base'!J22)*(1+International_Fuel_Surcharge),2)))*(1+FedEx_Markup),2)</f>
        <v>62.4</v>
      </c>
      <c r="K25" s="295">
        <f>ROUND((IF('Intl Economy Base'!$K$105&gt;ROUND(((1-IntEconomyDiscount-IntEoncomyIncentive)*'Intl Economy Base'!K22),2),ROUND('Intl Economy Base'!$K$105*(1+International_Fuel_Surcharge),2),ROUND(((1-IntEconomyDiscount-IntEoncomyIncentive)*'Intl Economy Base'!K22)*(1+International_Fuel_Surcharge),2)))*(1+FedEx_Markup),2)</f>
        <v>121.68</v>
      </c>
      <c r="L25" s="295">
        <f>ROUND((IF('Intl Economy Base'!$L$105&gt;ROUND(((1-IntEconomyDiscount-IntEoncomyIncentive)*'Intl Economy Base'!L22),2),ROUND('Intl Economy Base'!$L$105*(1+International_Fuel_Surcharge),2),ROUND(((1-IntEconomyDiscount-IntEoncomyIncentive)*'Intl Economy Base'!L22)*(1+International_Fuel_Surcharge),2)))*(1+FedEx_Markup),2)</f>
        <v>102.57</v>
      </c>
      <c r="M25" s="295">
        <f>ROUND((IF('Intl Economy Base'!$M$105&gt;ROUND(((1-IntEconomyDiscount-IntEoncomyIncentive)*'Intl Economy Base'!M22),2),ROUND('Intl Economy Base'!$M$105*(1+International_Fuel_Surcharge),2),ROUND(((1-IntEconomyDiscount-IntEoncomyIncentive)*'Intl Economy Base'!M22)*(1+International_Fuel_Surcharge),2)))*(1+FedEx_Markup),2)</f>
        <v>155.39</v>
      </c>
      <c r="N25" s="295">
        <f>ROUND((IF('Intl Economy Base'!$N$105&gt;ROUND(((1-IntEconomyDiscount-IntEoncomyIncentive)*'Intl Economy Base'!N22),2),ROUND('Intl Economy Base'!$N$105*(1+International_Fuel_Surcharge),2),ROUND(((1-IntEconomyDiscount-IntEoncomyIncentive)*'Intl Economy Base'!N22)*(1+International_Fuel_Surcharge),2)))*(1+FedEx_Markup),2)</f>
        <v>144.31</v>
      </c>
      <c r="O25" s="295">
        <f>ROUND((IF('Intl Economy Base'!$O$105&gt;ROUND(((1-IntEconomyDiscount-IntEoncomyIncentive)*'Intl Economy Base'!O22),2),ROUND('Intl Economy Base'!$O$105*(1+International_Fuel_Surcharge),2),ROUND(((1-IntEconomyDiscount-IntEoncomyIncentive)*'Intl Economy Base'!O22)*(1+International_Fuel_Surcharge),2)))*(1+FedEx_Markup),2)</f>
        <v>101.72</v>
      </c>
      <c r="P25" s="295">
        <f>ROUND((IF('Intl Economy Base'!$P$105&gt;ROUND(((1-IntEconomyDiscount-IntEoncomyIncentive)*'Intl Economy Base'!P22),2),ROUND('Intl Economy Base'!$P$105*(1+International_Fuel_Surcharge),2),ROUND(((1-IntEconomyDiscount-IntEoncomyIncentive)*'Intl Economy Base'!P22)*(1+International_Fuel_Surcharge),2)))*(1+FedEx_Markup),2)</f>
        <v>105.47</v>
      </c>
      <c r="Q25" s="295">
        <f>ROUND((IF('Intl Economy Base'!$Q$105&gt;ROUND(((1-PuertoRicoDiscount)*'Intl Economy Base'!Q22),2),ROUND('Intl Economy Base'!$Q$105*(1+International_Fuel_Surcharge),2),ROUND(((1-PuertoRicoDiscount)*'Intl Economy Base'!Q22)*(1+International_Fuel_Surcharge),2)))*(1+FedEx_Markup),2)</f>
        <v>128.4</v>
      </c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94">
        <v>21.0</v>
      </c>
      <c r="B26" s="295">
        <f>ROUND((IF('Intl Economy Base'!$B$105&gt;ROUND(((1-IntEconomyDiscount-IntEoncomyIncentive)*'Intl Economy Base'!B23),2),ROUND('Intl Economy Base'!$B$105*(1+International_Fuel_Surcharge),2),ROUND(((1-IntEconomyDiscount-IntEoncomyIncentive)*'Intl Economy Base'!B23)*(1+International_Fuel_Surcharge),2)))*(1+FedEx_Markup),2)</f>
        <v>54.26</v>
      </c>
      <c r="C26" s="295">
        <f>ROUND((IF('Intl Economy Base'!$C$105&gt;ROUND(((1-IntEconomyDiscount-IntEoncomyIncentive)*'Intl Economy Base'!C23),2),ROUND('Intl Economy Base'!$C$105*(1+International_Fuel_Surcharge),2),ROUND(((1-IntEconomyDiscount-IntEoncomyIncentive)*'Intl Economy Base'!C23)*(1+International_Fuel_Surcharge),2)))*(1+FedEx_Markup),2)</f>
        <v>68.49</v>
      </c>
      <c r="D26" s="295">
        <f>ROUND((IF('Intl Economy Base'!$D$105&gt;ROUND(((1-IntEconomyDiscount-IntEoncomyIncentive)*'Intl Economy Base'!D23),2),ROUND('Intl Economy Base'!$D$105*(1+International_Fuel_Surcharge),2),ROUND(((1-IntEconomyDiscount-IntEoncomyIncentive)*'Intl Economy Base'!D23)*(1+International_Fuel_Surcharge),2)))*(1+FedEx_Markup),2)</f>
        <v>58.95</v>
      </c>
      <c r="E26" s="295">
        <f>ROUND((IF('Intl Economy Base'!$E$105&gt;ROUND(((1-IntEconomyDiscount-IntEoncomyIncentive)*'Intl Economy Base'!E23),2),ROUND('Intl Economy Base'!$E$105*(1+International_Fuel_Surcharge),2),ROUND(((1-IntEconomyDiscount-IntEoncomyIncentive)*'Intl Economy Base'!E23)*(1+International_Fuel_Surcharge),2)))*(1+FedEx_Markup),2)</f>
        <v>83.81</v>
      </c>
      <c r="F26" s="295">
        <f>ROUND((IF('Intl Economy Base'!$F$105&gt;ROUND(((1-IntEconomyDiscount-IntEoncomyIncentive)*'Intl Economy Base'!F23),2),ROUND('Intl Economy Base'!$F$105*(1+International_Fuel_Surcharge),2),ROUND(((1-IntEconomyDiscount-IntEoncomyIncentive)*'Intl Economy Base'!F23)*(1+International_Fuel_Surcharge),2)))*(1+FedEx_Markup),2)</f>
        <v>161.47</v>
      </c>
      <c r="G26" s="295">
        <f>ROUND((IF('Intl Economy Base'!$G$105&gt;ROUND(((1-IntEconomyDiscount-IntEoncomyIncentive)*'Intl Economy Base'!G23),2),ROUND('Intl Economy Base'!$G$105*(1+International_Fuel_Surcharge),2),ROUND(((1-IntEconomyDiscount-IntEoncomyIncentive)*'Intl Economy Base'!G23)*(1+International_Fuel_Surcharge),2)))*(1+FedEx_Markup),2)</f>
        <v>82.54</v>
      </c>
      <c r="H26" s="295">
        <f>ROUND((IF('Intl Economy Base'!$H$105&gt;ROUND(((1-IntEconomyDiscount-IntEoncomyIncentive)*'Intl Economy Base'!H23),2),ROUND('Intl Economy Base'!$H$105*(1+International_Fuel_Surcharge),2),ROUND(((1-IntEconomyDiscount-IntEoncomyIncentive)*'Intl Economy Base'!H23)*(1+International_Fuel_Surcharge),2)))*(1+FedEx_Markup),2)</f>
        <v>81.87</v>
      </c>
      <c r="I26" s="295">
        <f>ROUND((IF('Intl Economy Base'!$I$105&gt;ROUND(((1-IntEconomyDiscount-IntEoncomyIncentive)*'Intl Economy Base'!I23),2),ROUND('Intl Economy Base'!$I$105*(1+International_Fuel_Surcharge),2),ROUND(((1-IntEconomyDiscount-IntEoncomyIncentive)*'Intl Economy Base'!I23)*(1+International_Fuel_Surcharge),2)))*(1+FedEx_Markup),2)</f>
        <v>92.51</v>
      </c>
      <c r="J26" s="295">
        <f>ROUND((IF('Intl Economy Base'!$J$105&gt;ROUND(((1-IntEconomyDiscount-IntEoncomyIncentive)*'Intl Economy Base'!J23),2),ROUND('Intl Economy Base'!$J$105*(1+International_Fuel_Surcharge),2),ROUND(((1-IntEconomyDiscount-IntEoncomyIncentive)*'Intl Economy Base'!J23)*(1+International_Fuel_Surcharge),2)))*(1+FedEx_Markup),2)</f>
        <v>67.28</v>
      </c>
      <c r="K26" s="295">
        <f>ROUND((IF('Intl Economy Base'!$K$105&gt;ROUND(((1-IntEconomyDiscount-IntEoncomyIncentive)*'Intl Economy Base'!K23),2),ROUND('Intl Economy Base'!$K$105*(1+International_Fuel_Surcharge),2),ROUND(((1-IntEconomyDiscount-IntEoncomyIncentive)*'Intl Economy Base'!K23)*(1+International_Fuel_Surcharge),2)))*(1+FedEx_Markup),2)</f>
        <v>124.61</v>
      </c>
      <c r="L26" s="295">
        <f>ROUND((IF('Intl Economy Base'!$L$105&gt;ROUND(((1-IntEconomyDiscount-IntEoncomyIncentive)*'Intl Economy Base'!L23),2),ROUND('Intl Economy Base'!$L$105*(1+International_Fuel_Surcharge),2),ROUND(((1-IntEconomyDiscount-IntEoncomyIncentive)*'Intl Economy Base'!L23)*(1+International_Fuel_Surcharge),2)))*(1+FedEx_Markup),2)</f>
        <v>107.34</v>
      </c>
      <c r="M26" s="295">
        <f>ROUND((IF('Intl Economy Base'!$M$105&gt;ROUND(((1-IntEconomyDiscount-IntEoncomyIncentive)*'Intl Economy Base'!M23),2),ROUND('Intl Economy Base'!$M$105*(1+International_Fuel_Surcharge),2),ROUND(((1-IntEconomyDiscount-IntEoncomyIncentive)*'Intl Economy Base'!M23)*(1+International_Fuel_Surcharge),2)))*(1+FedEx_Markup),2)</f>
        <v>162.07</v>
      </c>
      <c r="N26" s="295">
        <f>ROUND((IF('Intl Economy Base'!$N$105&gt;ROUND(((1-IntEconomyDiscount-IntEoncomyIncentive)*'Intl Economy Base'!N23),2),ROUND('Intl Economy Base'!$N$105*(1+International_Fuel_Surcharge),2),ROUND(((1-IntEconomyDiscount-IntEoncomyIncentive)*'Intl Economy Base'!N23)*(1+International_Fuel_Surcharge),2)))*(1+FedEx_Markup),2)</f>
        <v>153.97</v>
      </c>
      <c r="O26" s="295">
        <f>ROUND((IF('Intl Economy Base'!$O$105&gt;ROUND(((1-IntEconomyDiscount-IntEoncomyIncentive)*'Intl Economy Base'!O23),2),ROUND('Intl Economy Base'!$O$105*(1+International_Fuel_Surcharge),2),ROUND(((1-IntEconomyDiscount-IntEoncomyIncentive)*'Intl Economy Base'!O23)*(1+International_Fuel_Surcharge),2)))*(1+FedEx_Markup),2)</f>
        <v>104.54</v>
      </c>
      <c r="P26" s="295">
        <f>ROUND((IF('Intl Economy Base'!$P$105&gt;ROUND(((1-IntEconomyDiscount-IntEoncomyIncentive)*'Intl Economy Base'!P23),2),ROUND('Intl Economy Base'!$P$105*(1+International_Fuel_Surcharge),2),ROUND(((1-IntEconomyDiscount-IntEoncomyIncentive)*'Intl Economy Base'!P23)*(1+International_Fuel_Surcharge),2)))*(1+FedEx_Markup),2)</f>
        <v>106.15</v>
      </c>
      <c r="Q26" s="295">
        <f>ROUND((IF('Intl Economy Base'!$Q$105&gt;ROUND(((1-PuertoRicoDiscount)*'Intl Economy Base'!Q23),2),ROUND('Intl Economy Base'!$Q$105*(1+International_Fuel_Surcharge),2),ROUND(((1-PuertoRicoDiscount)*'Intl Economy Base'!Q23)*(1+International_Fuel_Surcharge),2)))*(1+FedEx_Markup),2)</f>
        <v>133.19</v>
      </c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94">
        <v>22.0</v>
      </c>
      <c r="B27" s="295">
        <f>ROUND((IF('Intl Economy Base'!$B$105&gt;ROUND(((1-IntEconomyDiscount-IntEoncomyIncentive)*'Intl Economy Base'!B24),2),ROUND('Intl Economy Base'!$B$105*(1+International_Fuel_Surcharge),2),ROUND(((1-IntEconomyDiscount-IntEoncomyIncentive)*'Intl Economy Base'!B24)*(1+International_Fuel_Surcharge),2)))*(1+FedEx_Markup),2)</f>
        <v>54.79</v>
      </c>
      <c r="C27" s="295">
        <f>ROUND((IF('Intl Economy Base'!$C$105&gt;ROUND(((1-IntEconomyDiscount-IntEoncomyIncentive)*'Intl Economy Base'!C24),2),ROUND('Intl Economy Base'!$C$105*(1+International_Fuel_Surcharge),2),ROUND(((1-IntEconomyDiscount-IntEoncomyIncentive)*'Intl Economy Base'!C24)*(1+International_Fuel_Surcharge),2)))*(1+FedEx_Markup),2)</f>
        <v>69.21</v>
      </c>
      <c r="D27" s="295">
        <f>ROUND((IF('Intl Economy Base'!$D$105&gt;ROUND(((1-IntEconomyDiscount-IntEoncomyIncentive)*'Intl Economy Base'!D24),2),ROUND('Intl Economy Base'!$D$105*(1+International_Fuel_Surcharge),2),ROUND(((1-IntEconomyDiscount-IntEoncomyIncentive)*'Intl Economy Base'!D24)*(1+International_Fuel_Surcharge),2)))*(1+FedEx_Markup),2)</f>
        <v>59.2</v>
      </c>
      <c r="E27" s="295">
        <f>ROUND((IF('Intl Economy Base'!$E$105&gt;ROUND(((1-IntEconomyDiscount-IntEoncomyIncentive)*'Intl Economy Base'!E24),2),ROUND('Intl Economy Base'!$E$105*(1+International_Fuel_Surcharge),2),ROUND(((1-IntEconomyDiscount-IntEoncomyIncentive)*'Intl Economy Base'!E24)*(1+International_Fuel_Surcharge),2)))*(1+FedEx_Markup),2)</f>
        <v>84.2</v>
      </c>
      <c r="F27" s="295">
        <f>ROUND((IF('Intl Economy Base'!$F$105&gt;ROUND(((1-IntEconomyDiscount-IntEoncomyIncentive)*'Intl Economy Base'!F24),2),ROUND('Intl Economy Base'!$F$105*(1+International_Fuel_Surcharge),2),ROUND(((1-IntEconomyDiscount-IntEoncomyIncentive)*'Intl Economy Base'!F24)*(1+International_Fuel_Surcharge),2)))*(1+FedEx_Markup),2)</f>
        <v>164.69</v>
      </c>
      <c r="G27" s="295">
        <f>ROUND((IF('Intl Economy Base'!$G$105&gt;ROUND(((1-IntEconomyDiscount-IntEoncomyIncentive)*'Intl Economy Base'!G24),2),ROUND('Intl Economy Base'!$G$105*(1+International_Fuel_Surcharge),2),ROUND(((1-IntEconomyDiscount-IntEoncomyIncentive)*'Intl Economy Base'!G24)*(1+International_Fuel_Surcharge),2)))*(1+FedEx_Markup),2)</f>
        <v>82.6</v>
      </c>
      <c r="H27" s="295">
        <f>ROUND((IF('Intl Economy Base'!$H$105&gt;ROUND(((1-IntEconomyDiscount-IntEoncomyIncentive)*'Intl Economy Base'!H24),2),ROUND('Intl Economy Base'!$H$105*(1+International_Fuel_Surcharge),2),ROUND(((1-IntEconomyDiscount-IntEoncomyIncentive)*'Intl Economy Base'!H24)*(1+International_Fuel_Surcharge),2)))*(1+FedEx_Markup),2)</f>
        <v>85.64</v>
      </c>
      <c r="I27" s="295">
        <f>ROUND((IF('Intl Economy Base'!$I$105&gt;ROUND(((1-IntEconomyDiscount-IntEoncomyIncentive)*'Intl Economy Base'!I24),2),ROUND('Intl Economy Base'!$I$105*(1+International_Fuel_Surcharge),2),ROUND(((1-IntEconomyDiscount-IntEoncomyIncentive)*'Intl Economy Base'!I24)*(1+International_Fuel_Surcharge),2)))*(1+FedEx_Markup),2)</f>
        <v>92.64</v>
      </c>
      <c r="J27" s="295">
        <f>ROUND((IF('Intl Economy Base'!$J$105&gt;ROUND(((1-IntEconomyDiscount-IntEoncomyIncentive)*'Intl Economy Base'!J24),2),ROUND('Intl Economy Base'!$J$105*(1+International_Fuel_Surcharge),2),ROUND(((1-IntEconomyDiscount-IntEoncomyIncentive)*'Intl Economy Base'!J24)*(1+International_Fuel_Surcharge),2)))*(1+FedEx_Markup),2)</f>
        <v>70.98</v>
      </c>
      <c r="K27" s="295">
        <f>ROUND((IF('Intl Economy Base'!$K$105&gt;ROUND(((1-IntEconomyDiscount-IntEoncomyIncentive)*'Intl Economy Base'!K24),2),ROUND('Intl Economy Base'!$K$105*(1+International_Fuel_Surcharge),2),ROUND(((1-IntEconomyDiscount-IntEoncomyIncentive)*'Intl Economy Base'!K24)*(1+International_Fuel_Surcharge),2)))*(1+FedEx_Markup),2)</f>
        <v>124.91</v>
      </c>
      <c r="L27" s="295">
        <f>ROUND((IF('Intl Economy Base'!$L$105&gt;ROUND(((1-IntEconomyDiscount-IntEoncomyIncentive)*'Intl Economy Base'!L24),2),ROUND('Intl Economy Base'!$L$105*(1+International_Fuel_Surcharge),2),ROUND(((1-IntEconomyDiscount-IntEoncomyIncentive)*'Intl Economy Base'!L24)*(1+International_Fuel_Surcharge),2)))*(1+FedEx_Markup),2)</f>
        <v>107.82</v>
      </c>
      <c r="M27" s="295">
        <f>ROUND((IF('Intl Economy Base'!$M$105&gt;ROUND(((1-IntEconomyDiscount-IntEoncomyIncentive)*'Intl Economy Base'!M24),2),ROUND('Intl Economy Base'!$M$105*(1+International_Fuel_Surcharge),2),ROUND(((1-IntEconomyDiscount-IntEoncomyIncentive)*'Intl Economy Base'!M24)*(1+International_Fuel_Surcharge),2)))*(1+FedEx_Markup),2)</f>
        <v>167.03</v>
      </c>
      <c r="N27" s="295">
        <f>ROUND((IF('Intl Economy Base'!$N$105&gt;ROUND(((1-IntEconomyDiscount-IntEoncomyIncentive)*'Intl Economy Base'!N24),2),ROUND('Intl Economy Base'!$N$105*(1+International_Fuel_Surcharge),2),ROUND(((1-IntEconomyDiscount-IntEoncomyIncentive)*'Intl Economy Base'!N24)*(1+International_Fuel_Surcharge),2)))*(1+FedEx_Markup),2)</f>
        <v>154.94</v>
      </c>
      <c r="O27" s="295">
        <f>ROUND((IF('Intl Economy Base'!$O$105&gt;ROUND(((1-IntEconomyDiscount-IntEoncomyIncentive)*'Intl Economy Base'!O24),2),ROUND('Intl Economy Base'!$O$105*(1+International_Fuel_Surcharge),2),ROUND(((1-IntEconomyDiscount-IntEoncomyIncentive)*'Intl Economy Base'!O24)*(1+International_Fuel_Surcharge),2)))*(1+FedEx_Markup),2)</f>
        <v>104.82</v>
      </c>
      <c r="P27" s="295">
        <f>ROUND((IF('Intl Economy Base'!$P$105&gt;ROUND(((1-IntEconomyDiscount-IntEoncomyIncentive)*'Intl Economy Base'!P24),2),ROUND('Intl Economy Base'!$P$105*(1+International_Fuel_Surcharge),2),ROUND(((1-IntEconomyDiscount-IntEoncomyIncentive)*'Intl Economy Base'!P24)*(1+International_Fuel_Surcharge),2)))*(1+FedEx_Markup),2)</f>
        <v>106.21</v>
      </c>
      <c r="Q27" s="295">
        <f>ROUND((IF('Intl Economy Base'!$Q$105&gt;ROUND(((1-PuertoRicoDiscount)*'Intl Economy Base'!Q24),2),ROUND('Intl Economy Base'!$Q$105*(1+International_Fuel_Surcharge),2),ROUND(((1-PuertoRicoDiscount)*'Intl Economy Base'!Q24)*(1+International_Fuel_Surcharge),2)))*(1+FedEx_Markup),2)</f>
        <v>139.36</v>
      </c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94">
        <v>23.0</v>
      </c>
      <c r="B28" s="295">
        <f>ROUND((IF('Intl Economy Base'!$B$105&gt;ROUND(((1-IntEconomyDiscount-IntEoncomyIncentive)*'Intl Economy Base'!B25),2),ROUND('Intl Economy Base'!$B$105*(1+International_Fuel_Surcharge),2),ROUND(((1-IntEconomyDiscount-IntEoncomyIncentive)*'Intl Economy Base'!B25)*(1+International_Fuel_Surcharge),2)))*(1+FedEx_Markup),2)</f>
        <v>56.68</v>
      </c>
      <c r="C28" s="295">
        <f>ROUND((IF('Intl Economy Base'!$C$105&gt;ROUND(((1-IntEconomyDiscount-IntEoncomyIncentive)*'Intl Economy Base'!C25),2),ROUND('Intl Economy Base'!$C$105*(1+International_Fuel_Surcharge),2),ROUND(((1-IntEconomyDiscount-IntEoncomyIncentive)*'Intl Economy Base'!C25)*(1+International_Fuel_Surcharge),2)))*(1+FedEx_Markup),2)</f>
        <v>69.3</v>
      </c>
      <c r="D28" s="295">
        <f>ROUND((IF('Intl Economy Base'!$D$105&gt;ROUND(((1-IntEconomyDiscount-IntEoncomyIncentive)*'Intl Economy Base'!D25),2),ROUND('Intl Economy Base'!$D$105*(1+International_Fuel_Surcharge),2),ROUND(((1-IntEconomyDiscount-IntEoncomyIncentive)*'Intl Economy Base'!D25)*(1+International_Fuel_Surcharge),2)))*(1+FedEx_Markup),2)</f>
        <v>64.16</v>
      </c>
      <c r="E28" s="295">
        <f>ROUND((IF('Intl Economy Base'!$E$105&gt;ROUND(((1-IntEconomyDiscount-IntEoncomyIncentive)*'Intl Economy Base'!E25),2),ROUND('Intl Economy Base'!$E$105*(1+International_Fuel_Surcharge),2),ROUND(((1-IntEconomyDiscount-IntEoncomyIncentive)*'Intl Economy Base'!E25)*(1+International_Fuel_Surcharge),2)))*(1+FedEx_Markup),2)</f>
        <v>84.25</v>
      </c>
      <c r="F28" s="295">
        <f>ROUND((IF('Intl Economy Base'!$F$105&gt;ROUND(((1-IntEconomyDiscount-IntEoncomyIncentive)*'Intl Economy Base'!F25),2),ROUND('Intl Economy Base'!$F$105*(1+International_Fuel_Surcharge),2),ROUND(((1-IntEconomyDiscount-IntEoncomyIncentive)*'Intl Economy Base'!F25)*(1+International_Fuel_Surcharge),2)))*(1+FedEx_Markup),2)</f>
        <v>165.01</v>
      </c>
      <c r="G28" s="295">
        <f>ROUND((IF('Intl Economy Base'!$G$105&gt;ROUND(((1-IntEconomyDiscount-IntEoncomyIncentive)*'Intl Economy Base'!G25),2),ROUND('Intl Economy Base'!$G$105*(1+International_Fuel_Surcharge),2),ROUND(((1-IntEconomyDiscount-IntEoncomyIncentive)*'Intl Economy Base'!G25)*(1+International_Fuel_Surcharge),2)))*(1+FedEx_Markup),2)</f>
        <v>82.66</v>
      </c>
      <c r="H28" s="295">
        <f>ROUND((IF('Intl Economy Base'!$H$105&gt;ROUND(((1-IntEconomyDiscount-IntEoncomyIncentive)*'Intl Economy Base'!H25),2),ROUND('Intl Economy Base'!$H$105*(1+International_Fuel_Surcharge),2),ROUND(((1-IntEconomyDiscount-IntEoncomyIncentive)*'Intl Economy Base'!H25)*(1+International_Fuel_Surcharge),2)))*(1+FedEx_Markup),2)</f>
        <v>86.02</v>
      </c>
      <c r="I28" s="295">
        <f>ROUND((IF('Intl Economy Base'!$I$105&gt;ROUND(((1-IntEconomyDiscount-IntEoncomyIncentive)*'Intl Economy Base'!I25),2),ROUND('Intl Economy Base'!$I$105*(1+International_Fuel_Surcharge),2),ROUND(((1-IntEconomyDiscount-IntEoncomyIncentive)*'Intl Economy Base'!I25)*(1+International_Fuel_Surcharge),2)))*(1+FedEx_Markup),2)</f>
        <v>92.7</v>
      </c>
      <c r="J28" s="295">
        <f>ROUND((IF('Intl Economy Base'!$J$105&gt;ROUND(((1-IntEconomyDiscount-IntEoncomyIncentive)*'Intl Economy Base'!J25),2),ROUND('Intl Economy Base'!$J$105*(1+International_Fuel_Surcharge),2),ROUND(((1-IntEconomyDiscount-IntEoncomyIncentive)*'Intl Economy Base'!J25)*(1+International_Fuel_Surcharge),2)))*(1+FedEx_Markup),2)</f>
        <v>71.35</v>
      </c>
      <c r="K28" s="295">
        <f>ROUND((IF('Intl Economy Base'!$K$105&gt;ROUND(((1-IntEconomyDiscount-IntEoncomyIncentive)*'Intl Economy Base'!K25),2),ROUND('Intl Economy Base'!$K$105*(1+International_Fuel_Surcharge),2),ROUND(((1-IntEconomyDiscount-IntEoncomyIncentive)*'Intl Economy Base'!K25)*(1+International_Fuel_Surcharge),2)))*(1+FedEx_Markup),2)</f>
        <v>124.97</v>
      </c>
      <c r="L28" s="295">
        <f>ROUND((IF('Intl Economy Base'!$L$105&gt;ROUND(((1-IntEconomyDiscount-IntEoncomyIncentive)*'Intl Economy Base'!L25),2),ROUND('Intl Economy Base'!$L$105*(1+International_Fuel_Surcharge),2),ROUND(((1-IntEconomyDiscount-IntEoncomyIncentive)*'Intl Economy Base'!L25)*(1+International_Fuel_Surcharge),2)))*(1+FedEx_Markup),2)</f>
        <v>107.88</v>
      </c>
      <c r="M28" s="295">
        <f>ROUND((IF('Intl Economy Base'!$M$105&gt;ROUND(((1-IntEconomyDiscount-IntEoncomyIncentive)*'Intl Economy Base'!M25),2),ROUND('Intl Economy Base'!$M$105*(1+International_Fuel_Surcharge),2),ROUND(((1-IntEconomyDiscount-IntEoncomyIncentive)*'Intl Economy Base'!M25)*(1+International_Fuel_Surcharge),2)))*(1+FedEx_Markup),2)</f>
        <v>167.53</v>
      </c>
      <c r="N28" s="295">
        <f>ROUND((IF('Intl Economy Base'!$N$105&gt;ROUND(((1-IntEconomyDiscount-IntEoncomyIncentive)*'Intl Economy Base'!N25),2),ROUND('Intl Economy Base'!$N$105*(1+International_Fuel_Surcharge),2),ROUND(((1-IntEconomyDiscount-IntEoncomyIncentive)*'Intl Economy Base'!N25)*(1+International_Fuel_Surcharge),2)))*(1+FedEx_Markup),2)</f>
        <v>155.03</v>
      </c>
      <c r="O28" s="295">
        <f>ROUND((IF('Intl Economy Base'!$O$105&gt;ROUND(((1-IntEconomyDiscount-IntEoncomyIncentive)*'Intl Economy Base'!O25),2),ROUND('Intl Economy Base'!$O$105*(1+International_Fuel_Surcharge),2),ROUND(((1-IntEconomyDiscount-IntEoncomyIncentive)*'Intl Economy Base'!O25)*(1+International_Fuel_Surcharge),2)))*(1+FedEx_Markup),2)</f>
        <v>104.87</v>
      </c>
      <c r="P28" s="295">
        <f>ROUND((IF('Intl Economy Base'!$P$105&gt;ROUND(((1-IntEconomyDiscount-IntEoncomyIncentive)*'Intl Economy Base'!P25),2),ROUND('Intl Economy Base'!$P$105*(1+International_Fuel_Surcharge),2),ROUND(((1-IntEconomyDiscount-IntEoncomyIncentive)*'Intl Economy Base'!P25)*(1+International_Fuel_Surcharge),2)))*(1+FedEx_Markup),2)</f>
        <v>106.26</v>
      </c>
      <c r="Q28" s="295">
        <f>ROUND((IF('Intl Economy Base'!$Q$105&gt;ROUND(((1-PuertoRicoDiscount)*'Intl Economy Base'!Q25),2),ROUND('Intl Economy Base'!$Q$105*(1+International_Fuel_Surcharge),2),ROUND(((1-PuertoRicoDiscount)*'Intl Economy Base'!Q25)*(1+International_Fuel_Surcharge),2)))*(1+FedEx_Markup),2)</f>
        <v>144.47</v>
      </c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94">
        <v>24.0</v>
      </c>
      <c r="B29" s="295">
        <f>ROUND((IF('Intl Economy Base'!$B$105&gt;ROUND(((1-IntEconomyDiscount-IntEoncomyIncentive)*'Intl Economy Base'!B26),2),ROUND('Intl Economy Base'!$B$105*(1+International_Fuel_Surcharge),2),ROUND(((1-IntEconomyDiscount-IntEoncomyIncentive)*'Intl Economy Base'!B26)*(1+International_Fuel_Surcharge),2)))*(1+FedEx_Markup),2)</f>
        <v>58.57</v>
      </c>
      <c r="C29" s="295">
        <f>ROUND((IF('Intl Economy Base'!$C$105&gt;ROUND(((1-IntEconomyDiscount-IntEoncomyIncentive)*'Intl Economy Base'!C26),2),ROUND('Intl Economy Base'!$C$105*(1+International_Fuel_Surcharge),2),ROUND(((1-IntEconomyDiscount-IntEoncomyIncentive)*'Intl Economy Base'!C26)*(1+International_Fuel_Surcharge),2)))*(1+FedEx_Markup),2)</f>
        <v>69.37</v>
      </c>
      <c r="D29" s="295">
        <f>ROUND((IF('Intl Economy Base'!$D$105&gt;ROUND(((1-IntEconomyDiscount-IntEoncomyIncentive)*'Intl Economy Base'!D26),2),ROUND('Intl Economy Base'!$D$105*(1+International_Fuel_Surcharge),2),ROUND(((1-IntEconomyDiscount-IntEoncomyIncentive)*'Intl Economy Base'!D26)*(1+International_Fuel_Surcharge),2)))*(1+FedEx_Markup),2)</f>
        <v>66.34</v>
      </c>
      <c r="E29" s="295">
        <f>ROUND((IF('Intl Economy Base'!$E$105&gt;ROUND(((1-IntEconomyDiscount-IntEoncomyIncentive)*'Intl Economy Base'!E26),2),ROUND('Intl Economy Base'!$E$105*(1+International_Fuel_Surcharge),2),ROUND(((1-IntEconomyDiscount-IntEoncomyIncentive)*'Intl Economy Base'!E26)*(1+International_Fuel_Surcharge),2)))*(1+FedEx_Markup),2)</f>
        <v>84.33</v>
      </c>
      <c r="F29" s="295">
        <f>ROUND((IF('Intl Economy Base'!$F$105&gt;ROUND(((1-IntEconomyDiscount-IntEoncomyIncentive)*'Intl Economy Base'!F26),2),ROUND('Intl Economy Base'!$F$105*(1+International_Fuel_Surcharge),2),ROUND(((1-IntEconomyDiscount-IntEoncomyIncentive)*'Intl Economy Base'!F26)*(1+International_Fuel_Surcharge),2)))*(1+FedEx_Markup),2)</f>
        <v>165.12</v>
      </c>
      <c r="G29" s="295">
        <f>ROUND((IF('Intl Economy Base'!$G$105&gt;ROUND(((1-IntEconomyDiscount-IntEoncomyIncentive)*'Intl Economy Base'!G26),2),ROUND('Intl Economy Base'!$G$105*(1+International_Fuel_Surcharge),2),ROUND(((1-IntEconomyDiscount-IntEoncomyIncentive)*'Intl Economy Base'!G26)*(1+International_Fuel_Surcharge),2)))*(1+FedEx_Markup),2)</f>
        <v>82.73</v>
      </c>
      <c r="H29" s="295">
        <f>ROUND((IF('Intl Economy Base'!$H$105&gt;ROUND(((1-IntEconomyDiscount-IntEoncomyIncentive)*'Intl Economy Base'!H26),2),ROUND('Intl Economy Base'!$H$105*(1+International_Fuel_Surcharge),2),ROUND(((1-IntEconomyDiscount-IntEoncomyIncentive)*'Intl Economy Base'!H26)*(1+International_Fuel_Surcharge),2)))*(1+FedEx_Markup),2)</f>
        <v>86.08</v>
      </c>
      <c r="I29" s="295">
        <f>ROUND((IF('Intl Economy Base'!$I$105&gt;ROUND(((1-IntEconomyDiscount-IntEoncomyIncentive)*'Intl Economy Base'!I26),2),ROUND('Intl Economy Base'!$I$105*(1+International_Fuel_Surcharge),2),ROUND(((1-IntEconomyDiscount-IntEoncomyIncentive)*'Intl Economy Base'!I26)*(1+International_Fuel_Surcharge),2)))*(1+FedEx_Markup),2)</f>
        <v>92.79</v>
      </c>
      <c r="J29" s="295">
        <f>ROUND((IF('Intl Economy Base'!$J$105&gt;ROUND(((1-IntEconomyDiscount-IntEoncomyIncentive)*'Intl Economy Base'!J26),2),ROUND('Intl Economy Base'!$J$105*(1+International_Fuel_Surcharge),2),ROUND(((1-IntEconomyDiscount-IntEoncomyIncentive)*'Intl Economy Base'!J26)*(1+International_Fuel_Surcharge),2)))*(1+FedEx_Markup),2)</f>
        <v>71.54</v>
      </c>
      <c r="K29" s="295">
        <f>ROUND((IF('Intl Economy Base'!$K$105&gt;ROUND(((1-IntEconomyDiscount-IntEoncomyIncentive)*'Intl Economy Base'!K26),2),ROUND('Intl Economy Base'!$K$105*(1+International_Fuel_Surcharge),2),ROUND(((1-IntEconomyDiscount-IntEoncomyIncentive)*'Intl Economy Base'!K26)*(1+International_Fuel_Surcharge),2)))*(1+FedEx_Markup),2)</f>
        <v>125.09</v>
      </c>
      <c r="L29" s="295">
        <f>ROUND((IF('Intl Economy Base'!$L$105&gt;ROUND(((1-IntEconomyDiscount-IntEoncomyIncentive)*'Intl Economy Base'!L26),2),ROUND('Intl Economy Base'!$L$105*(1+International_Fuel_Surcharge),2),ROUND(((1-IntEconomyDiscount-IntEoncomyIncentive)*'Intl Economy Base'!L26)*(1+International_Fuel_Surcharge),2)))*(1+FedEx_Markup),2)</f>
        <v>107.95</v>
      </c>
      <c r="M29" s="295">
        <f>ROUND((IF('Intl Economy Base'!$M$105&gt;ROUND(((1-IntEconomyDiscount-IntEoncomyIncentive)*'Intl Economy Base'!M26),2),ROUND('Intl Economy Base'!$M$105*(1+International_Fuel_Surcharge),2),ROUND(((1-IntEconomyDiscount-IntEoncomyIncentive)*'Intl Economy Base'!M26)*(1+International_Fuel_Surcharge),2)))*(1+FedEx_Markup),2)</f>
        <v>171.6</v>
      </c>
      <c r="N29" s="295">
        <f>ROUND((IF('Intl Economy Base'!$N$105&gt;ROUND(((1-IntEconomyDiscount-IntEoncomyIncentive)*'Intl Economy Base'!N26),2),ROUND('Intl Economy Base'!$N$105*(1+International_Fuel_Surcharge),2),ROUND(((1-IntEconomyDiscount-IntEoncomyIncentive)*'Intl Economy Base'!N26)*(1+International_Fuel_Surcharge),2)))*(1+FedEx_Markup),2)</f>
        <v>155.1</v>
      </c>
      <c r="O29" s="295">
        <f>ROUND((IF('Intl Economy Base'!$O$105&gt;ROUND(((1-IntEconomyDiscount-IntEoncomyIncentive)*'Intl Economy Base'!O26),2),ROUND('Intl Economy Base'!$O$105*(1+International_Fuel_Surcharge),2),ROUND(((1-IntEconomyDiscount-IntEoncomyIncentive)*'Intl Economy Base'!O26)*(1+International_Fuel_Surcharge),2)))*(1+FedEx_Markup),2)</f>
        <v>104.97</v>
      </c>
      <c r="P29" s="295">
        <f>ROUND((IF('Intl Economy Base'!$P$105&gt;ROUND(((1-IntEconomyDiscount-IntEoncomyIncentive)*'Intl Economy Base'!P26),2),ROUND('Intl Economy Base'!$P$105*(1+International_Fuel_Surcharge),2),ROUND(((1-IntEconomyDiscount-IntEoncomyIncentive)*'Intl Economy Base'!P26)*(1+International_Fuel_Surcharge),2)))*(1+FedEx_Markup),2)</f>
        <v>106.34</v>
      </c>
      <c r="Q29" s="295">
        <f>ROUND((IF('Intl Economy Base'!$Q$105&gt;ROUND(((1-PuertoRicoDiscount)*'Intl Economy Base'!Q26),2),ROUND('Intl Economy Base'!$Q$105*(1+International_Fuel_Surcharge),2),ROUND(((1-PuertoRicoDiscount)*'Intl Economy Base'!Q26)*(1+International_Fuel_Surcharge),2)))*(1+FedEx_Markup),2)</f>
        <v>149.81</v>
      </c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94">
        <v>25.0</v>
      </c>
      <c r="B30" s="295">
        <f>ROUND((IF('Intl Economy Base'!$B$105&gt;ROUND(((1-IntEconomyDiscount-IntEoncomyIncentive)*'Intl Economy Base'!B27),2),ROUND('Intl Economy Base'!$B$105*(1+International_Fuel_Surcharge),2),ROUND(((1-IntEconomyDiscount-IntEoncomyIncentive)*'Intl Economy Base'!B27)*(1+International_Fuel_Surcharge),2)))*(1+FedEx_Markup),2)</f>
        <v>59.32</v>
      </c>
      <c r="C30" s="295">
        <f>ROUND((IF('Intl Economy Base'!$C$105&gt;ROUND(((1-IntEconomyDiscount-IntEoncomyIncentive)*'Intl Economy Base'!C27),2),ROUND('Intl Economy Base'!$C$105*(1+International_Fuel_Surcharge),2),ROUND(((1-IntEconomyDiscount-IntEoncomyIncentive)*'Intl Economy Base'!C27)*(1+International_Fuel_Surcharge),2)))*(1+FedEx_Markup),2)</f>
        <v>70.31</v>
      </c>
      <c r="D30" s="295">
        <f>ROUND((IF('Intl Economy Base'!$D$105&gt;ROUND(((1-IntEconomyDiscount-IntEoncomyIncentive)*'Intl Economy Base'!D27),2),ROUND('Intl Economy Base'!$D$105*(1+International_Fuel_Surcharge),2),ROUND(((1-IntEconomyDiscount-IntEoncomyIncentive)*'Intl Economy Base'!D27)*(1+International_Fuel_Surcharge),2)))*(1+FedEx_Markup),2)</f>
        <v>66.56</v>
      </c>
      <c r="E30" s="295">
        <f>ROUND((IF('Intl Economy Base'!$E$105&gt;ROUND(((1-IntEconomyDiscount-IntEoncomyIncentive)*'Intl Economy Base'!E27),2),ROUND('Intl Economy Base'!$E$105*(1+International_Fuel_Surcharge),2),ROUND(((1-IntEconomyDiscount-IntEoncomyIncentive)*'Intl Economy Base'!E27)*(1+International_Fuel_Surcharge),2)))*(1+FedEx_Markup),2)</f>
        <v>85.79</v>
      </c>
      <c r="F30" s="295">
        <f>ROUND((IF('Intl Economy Base'!$F$105&gt;ROUND(((1-IntEconomyDiscount-IntEoncomyIncentive)*'Intl Economy Base'!F27),2),ROUND('Intl Economy Base'!$F$105*(1+International_Fuel_Surcharge),2),ROUND(((1-IntEconomyDiscount-IntEoncomyIncentive)*'Intl Economy Base'!F27)*(1+International_Fuel_Surcharge),2)))*(1+FedEx_Markup),2)</f>
        <v>166.88</v>
      </c>
      <c r="G30" s="295">
        <f>ROUND((IF('Intl Economy Base'!$G$105&gt;ROUND(((1-IntEconomyDiscount-IntEoncomyIncentive)*'Intl Economy Base'!G27),2),ROUND('Intl Economy Base'!$G$105*(1+International_Fuel_Surcharge),2),ROUND(((1-IntEconomyDiscount-IntEoncomyIncentive)*'Intl Economy Base'!G27)*(1+International_Fuel_Surcharge),2)))*(1+FedEx_Markup),2)</f>
        <v>84</v>
      </c>
      <c r="H30" s="295">
        <f>ROUND((IF('Intl Economy Base'!$H$105&gt;ROUND(((1-IntEconomyDiscount-IntEoncomyIncentive)*'Intl Economy Base'!H27),2),ROUND('Intl Economy Base'!$H$105*(1+International_Fuel_Surcharge),2),ROUND(((1-IntEconomyDiscount-IntEoncomyIncentive)*'Intl Economy Base'!H27)*(1+International_Fuel_Surcharge),2)))*(1+FedEx_Markup),2)</f>
        <v>87.25</v>
      </c>
      <c r="I30" s="295">
        <f>ROUND((IF('Intl Economy Base'!$I$105&gt;ROUND(((1-IntEconomyDiscount-IntEoncomyIncentive)*'Intl Economy Base'!I27),2),ROUND('Intl Economy Base'!$I$105*(1+International_Fuel_Surcharge),2),ROUND(((1-IntEconomyDiscount-IntEoncomyIncentive)*'Intl Economy Base'!I27)*(1+International_Fuel_Surcharge),2)))*(1+FedEx_Markup),2)</f>
        <v>94.66</v>
      </c>
      <c r="J30" s="295">
        <f>ROUND((IF('Intl Economy Base'!$J$105&gt;ROUND(((1-IntEconomyDiscount-IntEoncomyIncentive)*'Intl Economy Base'!J27),2),ROUND('Intl Economy Base'!$J$105*(1+International_Fuel_Surcharge),2),ROUND(((1-IntEconomyDiscount-IntEoncomyIncentive)*'Intl Economy Base'!J27)*(1+International_Fuel_Surcharge),2)))*(1+FedEx_Markup),2)</f>
        <v>71.98</v>
      </c>
      <c r="K30" s="295">
        <f>ROUND((IF('Intl Economy Base'!$K$105&gt;ROUND(((1-IntEconomyDiscount-IntEoncomyIncentive)*'Intl Economy Base'!K27),2),ROUND('Intl Economy Base'!$K$105*(1+International_Fuel_Surcharge),2),ROUND(((1-IntEconomyDiscount-IntEoncomyIncentive)*'Intl Economy Base'!K27)*(1+International_Fuel_Surcharge),2)))*(1+FedEx_Markup),2)</f>
        <v>127.36</v>
      </c>
      <c r="L30" s="295">
        <f>ROUND((IF('Intl Economy Base'!$L$105&gt;ROUND(((1-IntEconomyDiscount-IntEoncomyIncentive)*'Intl Economy Base'!L27),2),ROUND('Intl Economy Base'!$L$105*(1+International_Fuel_Surcharge),2),ROUND(((1-IntEconomyDiscount-IntEoncomyIncentive)*'Intl Economy Base'!L27)*(1+International_Fuel_Surcharge),2)))*(1+FedEx_Markup),2)</f>
        <v>109.37</v>
      </c>
      <c r="M30" s="295">
        <f>ROUND((IF('Intl Economy Base'!$M$105&gt;ROUND(((1-IntEconomyDiscount-IntEoncomyIncentive)*'Intl Economy Base'!M27),2),ROUND('Intl Economy Base'!$M$105*(1+International_Fuel_Surcharge),2),ROUND(((1-IntEconomyDiscount-IntEoncomyIncentive)*'Intl Economy Base'!M27)*(1+International_Fuel_Surcharge),2)))*(1+FedEx_Markup),2)</f>
        <v>173.44</v>
      </c>
      <c r="N30" s="295">
        <f>ROUND((IF('Intl Economy Base'!$N$105&gt;ROUND(((1-IntEconomyDiscount-IntEoncomyIncentive)*'Intl Economy Base'!N27),2),ROUND('Intl Economy Base'!$N$105*(1+International_Fuel_Surcharge),2),ROUND(((1-IntEconomyDiscount-IntEoncomyIncentive)*'Intl Economy Base'!N27)*(1+International_Fuel_Surcharge),2)))*(1+FedEx_Markup),2)</f>
        <v>156.42</v>
      </c>
      <c r="O30" s="295">
        <f>ROUND((IF('Intl Economy Base'!$O$105&gt;ROUND(((1-IntEconomyDiscount-IntEoncomyIncentive)*'Intl Economy Base'!O27),2),ROUND('Intl Economy Base'!$O$105*(1+International_Fuel_Surcharge),2),ROUND(((1-IntEconomyDiscount-IntEoncomyIncentive)*'Intl Economy Base'!O27)*(1+International_Fuel_Surcharge),2)))*(1+FedEx_Markup),2)</f>
        <v>106.85</v>
      </c>
      <c r="P30" s="295">
        <f>ROUND((IF('Intl Economy Base'!$P$105&gt;ROUND(((1-IntEconomyDiscount-IntEoncomyIncentive)*'Intl Economy Base'!P27),2),ROUND('Intl Economy Base'!$P$105*(1+International_Fuel_Surcharge),2),ROUND(((1-IntEconomyDiscount-IntEoncomyIncentive)*'Intl Economy Base'!P27)*(1+International_Fuel_Surcharge),2)))*(1+FedEx_Markup),2)</f>
        <v>108</v>
      </c>
      <c r="Q30" s="295">
        <f>ROUND((IF('Intl Economy Base'!$Q$105&gt;ROUND(((1-PuertoRicoDiscount)*'Intl Economy Base'!Q27),2),ROUND('Intl Economy Base'!$Q$105*(1+International_Fuel_Surcharge),2),ROUND(((1-PuertoRicoDiscount)*'Intl Economy Base'!Q27)*(1+International_Fuel_Surcharge),2)))*(1+FedEx_Markup),2)</f>
        <v>155.08</v>
      </c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94">
        <v>26.0</v>
      </c>
      <c r="B31" s="295">
        <f>ROUND((IF('Intl Economy Base'!$B$105&gt;ROUND(((1-IntEconomyDiscount-IntEoncomyIncentive)*'Intl Economy Base'!B28),2),ROUND('Intl Economy Base'!$B$105*(1+International_Fuel_Surcharge),2),ROUND(((1-IntEconomyDiscount-IntEoncomyIncentive)*'Intl Economy Base'!B28)*(1+International_Fuel_Surcharge),2)))*(1+FedEx_Markup),2)</f>
        <v>67.64</v>
      </c>
      <c r="C31" s="295">
        <f>ROUND((IF('Intl Economy Base'!$C$105&gt;ROUND(((1-IntEconomyDiscount-IntEoncomyIncentive)*'Intl Economy Base'!C28),2),ROUND('Intl Economy Base'!$C$105*(1+International_Fuel_Surcharge),2),ROUND(((1-IntEconomyDiscount-IntEoncomyIncentive)*'Intl Economy Base'!C28)*(1+International_Fuel_Surcharge),2)))*(1+FedEx_Markup),2)</f>
        <v>80.53</v>
      </c>
      <c r="D31" s="295">
        <f>ROUND((IF('Intl Economy Base'!$D$105&gt;ROUND(((1-IntEconomyDiscount-IntEoncomyIncentive)*'Intl Economy Base'!D28),2),ROUND('Intl Economy Base'!$D$105*(1+International_Fuel_Surcharge),2),ROUND(((1-IntEconomyDiscount-IntEoncomyIncentive)*'Intl Economy Base'!D28)*(1+International_Fuel_Surcharge),2)))*(1+FedEx_Markup),2)</f>
        <v>66.62</v>
      </c>
      <c r="E31" s="295">
        <f>ROUND((IF('Intl Economy Base'!$E$105&gt;ROUND(((1-IntEconomyDiscount-IntEoncomyIncentive)*'Intl Economy Base'!E28),2),ROUND('Intl Economy Base'!$E$105*(1+International_Fuel_Surcharge),2),ROUND(((1-IntEconomyDiscount-IntEoncomyIncentive)*'Intl Economy Base'!E28)*(1+International_Fuel_Surcharge),2)))*(1+FedEx_Markup),2)</f>
        <v>113.61</v>
      </c>
      <c r="F31" s="295">
        <f>ROUND((IF('Intl Economy Base'!$F$105&gt;ROUND(((1-IntEconomyDiscount-IntEoncomyIncentive)*'Intl Economy Base'!F28),2),ROUND('Intl Economy Base'!$F$105*(1+International_Fuel_Surcharge),2),ROUND(((1-IntEconomyDiscount-IntEoncomyIncentive)*'Intl Economy Base'!F28)*(1+International_Fuel_Surcharge),2)))*(1+FedEx_Markup),2)</f>
        <v>194.28</v>
      </c>
      <c r="G31" s="295">
        <f>ROUND((IF('Intl Economy Base'!$G$105&gt;ROUND(((1-IntEconomyDiscount-IntEoncomyIncentive)*'Intl Economy Base'!G28),2),ROUND('Intl Economy Base'!$G$105*(1+International_Fuel_Surcharge),2),ROUND(((1-IntEconomyDiscount-IntEoncomyIncentive)*'Intl Economy Base'!G28)*(1+International_Fuel_Surcharge),2)))*(1+FedEx_Markup),2)</f>
        <v>109.32</v>
      </c>
      <c r="H31" s="295">
        <f>ROUND((IF('Intl Economy Base'!$H$105&gt;ROUND(((1-IntEconomyDiscount-IntEoncomyIncentive)*'Intl Economy Base'!H28),2),ROUND('Intl Economy Base'!$H$105*(1+International_Fuel_Surcharge),2),ROUND(((1-IntEconomyDiscount-IntEoncomyIncentive)*'Intl Economy Base'!H28)*(1+International_Fuel_Surcharge),2)))*(1+FedEx_Markup),2)</f>
        <v>97.18</v>
      </c>
      <c r="I31" s="295">
        <f>ROUND((IF('Intl Economy Base'!$I$105&gt;ROUND(((1-IntEconomyDiscount-IntEoncomyIncentive)*'Intl Economy Base'!I28),2),ROUND('Intl Economy Base'!$I$105*(1+International_Fuel_Surcharge),2),ROUND(((1-IntEconomyDiscount-IntEoncomyIncentive)*'Intl Economy Base'!I28)*(1+International_Fuel_Surcharge),2)))*(1+FedEx_Markup),2)</f>
        <v>131.86</v>
      </c>
      <c r="J31" s="295">
        <f>ROUND((IF('Intl Economy Base'!$J$105&gt;ROUND(((1-IntEconomyDiscount-IntEoncomyIncentive)*'Intl Economy Base'!J28),2),ROUND('Intl Economy Base'!$J$105*(1+International_Fuel_Surcharge),2),ROUND(((1-IntEconomyDiscount-IntEoncomyIncentive)*'Intl Economy Base'!J28)*(1+International_Fuel_Surcharge),2)))*(1+FedEx_Markup),2)</f>
        <v>80.62</v>
      </c>
      <c r="K31" s="295">
        <f>ROUND((IF('Intl Economy Base'!$K$105&gt;ROUND(((1-IntEconomyDiscount-IntEoncomyIncentive)*'Intl Economy Base'!K28),2),ROUND('Intl Economy Base'!$K$105*(1+International_Fuel_Surcharge),2),ROUND(((1-IntEconomyDiscount-IntEoncomyIncentive)*'Intl Economy Base'!K28)*(1+International_Fuel_Surcharge),2)))*(1+FedEx_Markup),2)</f>
        <v>167.38</v>
      </c>
      <c r="L31" s="295">
        <f>ROUND((IF('Intl Economy Base'!$L$105&gt;ROUND(((1-IntEconomyDiscount-IntEoncomyIncentive)*'Intl Economy Base'!L28),2),ROUND('Intl Economy Base'!$L$105*(1+International_Fuel_Surcharge),2),ROUND(((1-IntEconomyDiscount-IntEoncomyIncentive)*'Intl Economy Base'!L28)*(1+International_Fuel_Surcharge),2)))*(1+FedEx_Markup),2)</f>
        <v>129.58</v>
      </c>
      <c r="M31" s="295">
        <f>ROUND((IF('Intl Economy Base'!$M$105&gt;ROUND(((1-IntEconomyDiscount-IntEoncomyIncentive)*'Intl Economy Base'!M28),2),ROUND('Intl Economy Base'!$M$105*(1+International_Fuel_Surcharge),2),ROUND(((1-IntEconomyDiscount-IntEoncomyIncentive)*'Intl Economy Base'!M28)*(1+International_Fuel_Surcharge),2)))*(1+FedEx_Markup),2)</f>
        <v>187.35</v>
      </c>
      <c r="N31" s="295">
        <f>ROUND((IF('Intl Economy Base'!$N$105&gt;ROUND(((1-IntEconomyDiscount-IntEoncomyIncentive)*'Intl Economy Base'!N28),2),ROUND('Intl Economy Base'!$N$105*(1+International_Fuel_Surcharge),2),ROUND(((1-IntEconomyDiscount-IntEoncomyIncentive)*'Intl Economy Base'!N28)*(1+International_Fuel_Surcharge),2)))*(1+FedEx_Markup),2)</f>
        <v>182.56</v>
      </c>
      <c r="O31" s="295">
        <f>ROUND((IF('Intl Economy Base'!$O$105&gt;ROUND(((1-IntEconomyDiscount-IntEoncomyIncentive)*'Intl Economy Base'!O28),2),ROUND('Intl Economy Base'!$O$105*(1+International_Fuel_Surcharge),2),ROUND(((1-IntEconomyDiscount-IntEoncomyIncentive)*'Intl Economy Base'!O28)*(1+International_Fuel_Surcharge),2)))*(1+FedEx_Markup),2)</f>
        <v>142.59</v>
      </c>
      <c r="P31" s="295">
        <f>ROUND((IF('Intl Economy Base'!$P$105&gt;ROUND(((1-IntEconomyDiscount-IntEoncomyIncentive)*'Intl Economy Base'!P28),2),ROUND('Intl Economy Base'!$P$105*(1+International_Fuel_Surcharge),2),ROUND(((1-IntEconomyDiscount-IntEoncomyIncentive)*'Intl Economy Base'!P28)*(1+International_Fuel_Surcharge),2)))*(1+FedEx_Markup),2)</f>
        <v>140.92</v>
      </c>
      <c r="Q31" s="295">
        <f>ROUND((IF('Intl Economy Base'!$Q$105&gt;ROUND(((1-PuertoRicoDiscount)*'Intl Economy Base'!Q28),2),ROUND('Intl Economy Base'!$Q$105*(1+International_Fuel_Surcharge),2),ROUND(((1-PuertoRicoDiscount)*'Intl Economy Base'!Q28)*(1+International_Fuel_Surcharge),2)))*(1+FedEx_Markup),2)</f>
        <v>156.22</v>
      </c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294">
        <v>27.0</v>
      </c>
      <c r="B32" s="295">
        <f>ROUND((IF('Intl Economy Base'!$B$105&gt;ROUND(((1-IntEconomyDiscount-IntEoncomyIncentive)*'Intl Economy Base'!B29),2),ROUND('Intl Economy Base'!$B$105*(1+International_Fuel_Surcharge),2),ROUND(((1-IntEconomyDiscount-IntEoncomyIncentive)*'Intl Economy Base'!B29)*(1+International_Fuel_Surcharge),2)))*(1+FedEx_Markup),2)</f>
        <v>70.91</v>
      </c>
      <c r="C32" s="295">
        <f>ROUND((IF('Intl Economy Base'!$C$105&gt;ROUND(((1-IntEconomyDiscount-IntEoncomyIncentive)*'Intl Economy Base'!C29),2),ROUND('Intl Economy Base'!$C$105*(1+International_Fuel_Surcharge),2),ROUND(((1-IntEconomyDiscount-IntEoncomyIncentive)*'Intl Economy Base'!C29)*(1+International_Fuel_Surcharge),2)))*(1+FedEx_Markup),2)</f>
        <v>84.41</v>
      </c>
      <c r="D32" s="295">
        <f>ROUND((IF('Intl Economy Base'!$D$105&gt;ROUND(((1-IntEconomyDiscount-IntEoncomyIncentive)*'Intl Economy Base'!D29),2),ROUND('Intl Economy Base'!$D$105*(1+International_Fuel_Surcharge),2),ROUND(((1-IntEconomyDiscount-IntEoncomyIncentive)*'Intl Economy Base'!D29)*(1+International_Fuel_Surcharge),2)))*(1+FedEx_Markup),2)</f>
        <v>66.68</v>
      </c>
      <c r="E32" s="295">
        <f>ROUND((IF('Intl Economy Base'!$E$105&gt;ROUND(((1-IntEconomyDiscount-IntEoncomyIncentive)*'Intl Economy Base'!E29),2),ROUND('Intl Economy Base'!$E$105*(1+International_Fuel_Surcharge),2),ROUND(((1-IntEconomyDiscount-IntEoncomyIncentive)*'Intl Economy Base'!E29)*(1+International_Fuel_Surcharge),2)))*(1+FedEx_Markup),2)</f>
        <v>119.92</v>
      </c>
      <c r="F32" s="295">
        <f>ROUND((IF('Intl Economy Base'!$F$105&gt;ROUND(((1-IntEconomyDiscount-IntEoncomyIncentive)*'Intl Economy Base'!F29),2),ROUND('Intl Economy Base'!$F$105*(1+International_Fuel_Surcharge),2),ROUND(((1-IntEconomyDiscount-IntEoncomyIncentive)*'Intl Economy Base'!F29)*(1+International_Fuel_Surcharge),2)))*(1+FedEx_Markup),2)</f>
        <v>197.03</v>
      </c>
      <c r="G32" s="295">
        <f>ROUND((IF('Intl Economy Base'!$G$105&gt;ROUND(((1-IntEconomyDiscount-IntEoncomyIncentive)*'Intl Economy Base'!G29),2),ROUND('Intl Economy Base'!$G$105*(1+International_Fuel_Surcharge),2),ROUND(((1-IntEconomyDiscount-IntEoncomyIncentive)*'Intl Economy Base'!G29)*(1+International_Fuel_Surcharge),2)))*(1+FedEx_Markup),2)</f>
        <v>115.13</v>
      </c>
      <c r="H32" s="295">
        <f>ROUND((IF('Intl Economy Base'!$H$105&gt;ROUND(((1-IntEconomyDiscount-IntEoncomyIncentive)*'Intl Economy Base'!H29),2),ROUND('Intl Economy Base'!$H$105*(1+International_Fuel_Surcharge),2),ROUND(((1-IntEconomyDiscount-IntEoncomyIncentive)*'Intl Economy Base'!H29)*(1+International_Fuel_Surcharge),2)))*(1+FedEx_Markup),2)</f>
        <v>102.87</v>
      </c>
      <c r="I32" s="295">
        <f>ROUND((IF('Intl Economy Base'!$I$105&gt;ROUND(((1-IntEconomyDiscount-IntEoncomyIncentive)*'Intl Economy Base'!I29),2),ROUND('Intl Economy Base'!$I$105*(1+International_Fuel_Surcharge),2),ROUND(((1-IntEconomyDiscount-IntEoncomyIncentive)*'Intl Economy Base'!I29)*(1+International_Fuel_Surcharge),2)))*(1+FedEx_Markup),2)</f>
        <v>135.63</v>
      </c>
      <c r="J32" s="295">
        <f>ROUND((IF('Intl Economy Base'!$J$105&gt;ROUND(((1-IntEconomyDiscount-IntEoncomyIncentive)*'Intl Economy Base'!J29),2),ROUND('Intl Economy Base'!$J$105*(1+International_Fuel_Surcharge),2),ROUND(((1-IntEconomyDiscount-IntEoncomyIncentive)*'Intl Economy Base'!J29)*(1+International_Fuel_Surcharge),2)))*(1+FedEx_Markup),2)</f>
        <v>82.33</v>
      </c>
      <c r="K32" s="295">
        <f>ROUND((IF('Intl Economy Base'!$K$105&gt;ROUND(((1-IntEconomyDiscount-IntEoncomyIncentive)*'Intl Economy Base'!K29),2),ROUND('Intl Economy Base'!$K$105*(1+International_Fuel_Surcharge),2),ROUND(((1-IntEconomyDiscount-IntEoncomyIncentive)*'Intl Economy Base'!K29)*(1+International_Fuel_Surcharge),2)))*(1+FedEx_Markup),2)</f>
        <v>171.79</v>
      </c>
      <c r="L32" s="295">
        <f>ROUND((IF('Intl Economy Base'!$L$105&gt;ROUND(((1-IntEconomyDiscount-IntEoncomyIncentive)*'Intl Economy Base'!L29),2),ROUND('Intl Economy Base'!$L$105*(1+International_Fuel_Surcharge),2),ROUND(((1-IntEconomyDiscount-IntEoncomyIncentive)*'Intl Economy Base'!L29)*(1+International_Fuel_Surcharge),2)))*(1+FedEx_Markup),2)</f>
        <v>135.96</v>
      </c>
      <c r="M32" s="295">
        <f>ROUND((IF('Intl Economy Base'!$M$105&gt;ROUND(((1-IntEconomyDiscount-IntEoncomyIncentive)*'Intl Economy Base'!M29),2),ROUND('Intl Economy Base'!$M$105*(1+International_Fuel_Surcharge),2),ROUND(((1-IntEconomyDiscount-IntEoncomyIncentive)*'Intl Economy Base'!M29)*(1+International_Fuel_Surcharge),2)))*(1+FedEx_Markup),2)</f>
        <v>188.74</v>
      </c>
      <c r="N32" s="295">
        <f>ROUND((IF('Intl Economy Base'!$N$105&gt;ROUND(((1-IntEconomyDiscount-IntEoncomyIncentive)*'Intl Economy Base'!N29),2),ROUND('Intl Economy Base'!$N$105*(1+International_Fuel_Surcharge),2),ROUND(((1-IntEconomyDiscount-IntEoncomyIncentive)*'Intl Economy Base'!N29)*(1+International_Fuel_Surcharge),2)))*(1+FedEx_Markup),2)</f>
        <v>205.26</v>
      </c>
      <c r="O32" s="295">
        <f>ROUND((IF('Intl Economy Base'!$O$105&gt;ROUND(((1-IntEconomyDiscount-IntEoncomyIncentive)*'Intl Economy Base'!O29),2),ROUND('Intl Economy Base'!$O$105*(1+International_Fuel_Surcharge),2),ROUND(((1-IntEconomyDiscount-IntEoncomyIncentive)*'Intl Economy Base'!O29)*(1+International_Fuel_Surcharge),2)))*(1+FedEx_Markup),2)</f>
        <v>147.81</v>
      </c>
      <c r="P32" s="295">
        <f>ROUND((IF('Intl Economy Base'!$P$105&gt;ROUND(((1-IntEconomyDiscount-IntEoncomyIncentive)*'Intl Economy Base'!P29),2),ROUND('Intl Economy Base'!$P$105*(1+International_Fuel_Surcharge),2),ROUND(((1-IntEconomyDiscount-IntEoncomyIncentive)*'Intl Economy Base'!P29)*(1+International_Fuel_Surcharge),2)))*(1+FedEx_Markup),2)</f>
        <v>151.8</v>
      </c>
      <c r="Q32" s="295">
        <f>ROUND((IF('Intl Economy Base'!$Q$105&gt;ROUND(((1-PuertoRicoDiscount)*'Intl Economy Base'!Q29),2),ROUND('Intl Economy Base'!$Q$105*(1+International_Fuel_Surcharge),2),ROUND(((1-PuertoRicoDiscount)*'Intl Economy Base'!Q29)*(1+International_Fuel_Surcharge),2)))*(1+FedEx_Markup),2)</f>
        <v>161.16</v>
      </c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294">
        <v>28.0</v>
      </c>
      <c r="B33" s="295">
        <f>ROUND((IF('Intl Economy Base'!$B$105&gt;ROUND(((1-IntEconomyDiscount-IntEoncomyIncentive)*'Intl Economy Base'!B30),2),ROUND('Intl Economy Base'!$B$105*(1+International_Fuel_Surcharge),2),ROUND(((1-IntEconomyDiscount-IntEoncomyIncentive)*'Intl Economy Base'!B30)*(1+International_Fuel_Surcharge),2)))*(1+FedEx_Markup),2)</f>
        <v>73.57</v>
      </c>
      <c r="C33" s="295">
        <f>ROUND((IF('Intl Economy Base'!$C$105&gt;ROUND(((1-IntEconomyDiscount-IntEoncomyIncentive)*'Intl Economy Base'!C30),2),ROUND('Intl Economy Base'!$C$105*(1+International_Fuel_Surcharge),2),ROUND(((1-IntEconomyDiscount-IntEoncomyIncentive)*'Intl Economy Base'!C30)*(1+International_Fuel_Surcharge),2)))*(1+FedEx_Markup),2)</f>
        <v>85.03</v>
      </c>
      <c r="D33" s="295">
        <f>ROUND((IF('Intl Economy Base'!$D$105&gt;ROUND(((1-IntEconomyDiscount-IntEoncomyIncentive)*'Intl Economy Base'!D30),2),ROUND('Intl Economy Base'!$D$105*(1+International_Fuel_Surcharge),2),ROUND(((1-IntEconomyDiscount-IntEoncomyIncentive)*'Intl Economy Base'!D30)*(1+International_Fuel_Surcharge),2)))*(1+FedEx_Markup),2)</f>
        <v>66.96</v>
      </c>
      <c r="E33" s="295">
        <f>ROUND((IF('Intl Economy Base'!$E$105&gt;ROUND(((1-IntEconomyDiscount-IntEoncomyIncentive)*'Intl Economy Base'!E30),2),ROUND('Intl Economy Base'!$E$105*(1+International_Fuel_Surcharge),2),ROUND(((1-IntEconomyDiscount-IntEoncomyIncentive)*'Intl Economy Base'!E30)*(1+International_Fuel_Surcharge),2)))*(1+FedEx_Markup),2)</f>
        <v>120.55</v>
      </c>
      <c r="F33" s="295">
        <f>ROUND((IF('Intl Economy Base'!$F$105&gt;ROUND(((1-IntEconomyDiscount-IntEoncomyIncentive)*'Intl Economy Base'!F30),2),ROUND('Intl Economy Base'!$F$105*(1+International_Fuel_Surcharge),2),ROUND(((1-IntEconomyDiscount-IntEoncomyIncentive)*'Intl Economy Base'!F30)*(1+International_Fuel_Surcharge),2)))*(1+FedEx_Markup),2)</f>
        <v>201.89</v>
      </c>
      <c r="G33" s="295">
        <f>ROUND((IF('Intl Economy Base'!$G$105&gt;ROUND(((1-IntEconomyDiscount-IntEoncomyIncentive)*'Intl Economy Base'!G30),2),ROUND('Intl Economy Base'!$G$105*(1+International_Fuel_Surcharge),2),ROUND(((1-IntEconomyDiscount-IntEoncomyIncentive)*'Intl Economy Base'!G30)*(1+International_Fuel_Surcharge),2)))*(1+FedEx_Markup),2)</f>
        <v>115.71</v>
      </c>
      <c r="H33" s="295">
        <f>ROUND((IF('Intl Economy Base'!$H$105&gt;ROUND(((1-IntEconomyDiscount-IntEoncomyIncentive)*'Intl Economy Base'!H30),2),ROUND('Intl Economy Base'!$H$105*(1+International_Fuel_Surcharge),2),ROUND(((1-IntEconomyDiscount-IntEoncomyIncentive)*'Intl Economy Base'!H30)*(1+International_Fuel_Surcharge),2)))*(1+FedEx_Markup),2)</f>
        <v>103.43</v>
      </c>
      <c r="I33" s="295">
        <f>ROUND((IF('Intl Economy Base'!$I$105&gt;ROUND(((1-IntEconomyDiscount-IntEoncomyIncentive)*'Intl Economy Base'!I30),2),ROUND('Intl Economy Base'!$I$105*(1+International_Fuel_Surcharge),2),ROUND(((1-IntEconomyDiscount-IntEoncomyIncentive)*'Intl Economy Base'!I30)*(1+International_Fuel_Surcharge),2)))*(1+FedEx_Markup),2)</f>
        <v>139.1</v>
      </c>
      <c r="J33" s="295">
        <f>ROUND((IF('Intl Economy Base'!$J$105&gt;ROUND(((1-IntEconomyDiscount-IntEoncomyIncentive)*'Intl Economy Base'!J30),2),ROUND('Intl Economy Base'!$J$105*(1+International_Fuel_Surcharge),2),ROUND(((1-IntEconomyDiscount-IntEoncomyIncentive)*'Intl Economy Base'!J30)*(1+International_Fuel_Surcharge),2)))*(1+FedEx_Markup),2)</f>
        <v>82.58</v>
      </c>
      <c r="K33" s="295">
        <f>ROUND((IF('Intl Economy Base'!$K$105&gt;ROUND(((1-IntEconomyDiscount-IntEoncomyIncentive)*'Intl Economy Base'!K30),2),ROUND('Intl Economy Base'!$K$105*(1+International_Fuel_Surcharge),2),ROUND(((1-IntEconomyDiscount-IntEoncomyIncentive)*'Intl Economy Base'!K30)*(1+International_Fuel_Surcharge),2)))*(1+FedEx_Markup),2)</f>
        <v>172.22</v>
      </c>
      <c r="L33" s="295">
        <f>ROUND((IF('Intl Economy Base'!$L$105&gt;ROUND(((1-IntEconomyDiscount-IntEoncomyIncentive)*'Intl Economy Base'!L30),2),ROUND('Intl Economy Base'!$L$105*(1+International_Fuel_Surcharge),2),ROUND(((1-IntEconomyDiscount-IntEoncomyIncentive)*'Intl Economy Base'!L30)*(1+International_Fuel_Surcharge),2)))*(1+FedEx_Markup),2)</f>
        <v>151.66</v>
      </c>
      <c r="M33" s="295">
        <f>ROUND((IF('Intl Economy Base'!$M$105&gt;ROUND(((1-IntEconomyDiscount-IntEoncomyIncentive)*'Intl Economy Base'!M30),2),ROUND('Intl Economy Base'!$M$105*(1+International_Fuel_Surcharge),2),ROUND(((1-IntEconomyDiscount-IntEoncomyIncentive)*'Intl Economy Base'!M30)*(1+International_Fuel_Surcharge),2)))*(1+FedEx_Markup),2)</f>
        <v>189.9</v>
      </c>
      <c r="N33" s="295">
        <f>ROUND((IF('Intl Economy Base'!$N$105&gt;ROUND(((1-IntEconomyDiscount-IntEoncomyIncentive)*'Intl Economy Base'!N30),2),ROUND('Intl Economy Base'!$N$105*(1+International_Fuel_Surcharge),2),ROUND(((1-IntEconomyDiscount-IntEoncomyIncentive)*'Intl Economy Base'!N30)*(1+International_Fuel_Surcharge),2)))*(1+FedEx_Markup),2)</f>
        <v>207.54</v>
      </c>
      <c r="O33" s="295">
        <f>ROUND((IF('Intl Economy Base'!$O$105&gt;ROUND(((1-IntEconomyDiscount-IntEoncomyIncentive)*'Intl Economy Base'!O30),2),ROUND('Intl Economy Base'!$O$105*(1+International_Fuel_Surcharge),2),ROUND(((1-IntEconomyDiscount-IntEoncomyIncentive)*'Intl Economy Base'!O30)*(1+International_Fuel_Surcharge),2)))*(1+FedEx_Markup),2)</f>
        <v>148.75</v>
      </c>
      <c r="P33" s="295">
        <f>ROUND((IF('Intl Economy Base'!$P$105&gt;ROUND(((1-IntEconomyDiscount-IntEoncomyIncentive)*'Intl Economy Base'!P30),2),ROUND('Intl Economy Base'!$P$105*(1+International_Fuel_Surcharge),2),ROUND(((1-IntEconomyDiscount-IntEoncomyIncentive)*'Intl Economy Base'!P30)*(1+International_Fuel_Surcharge),2)))*(1+FedEx_Markup),2)</f>
        <v>154.79</v>
      </c>
      <c r="Q33" s="295">
        <f>ROUND((IF('Intl Economy Base'!$Q$105&gt;ROUND(((1-PuertoRicoDiscount)*'Intl Economy Base'!Q30),2),ROUND('Intl Economy Base'!$Q$105*(1+International_Fuel_Surcharge),2),ROUND(((1-PuertoRicoDiscount)*'Intl Economy Base'!Q30)*(1+International_Fuel_Surcharge),2)))*(1+FedEx_Markup),2)</f>
        <v>166.28</v>
      </c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294">
        <v>29.0</v>
      </c>
      <c r="B34" s="295">
        <f>ROUND((IF('Intl Economy Base'!$B$105&gt;ROUND(((1-IntEconomyDiscount-IntEoncomyIncentive)*'Intl Economy Base'!B31),2),ROUND('Intl Economy Base'!$B$105*(1+International_Fuel_Surcharge),2),ROUND(((1-IntEconomyDiscount-IntEoncomyIncentive)*'Intl Economy Base'!B31)*(1+International_Fuel_Surcharge),2)))*(1+FedEx_Markup),2)</f>
        <v>74.68</v>
      </c>
      <c r="C34" s="295">
        <f>ROUND((IF('Intl Economy Base'!$C$105&gt;ROUND(((1-IntEconomyDiscount-IntEoncomyIncentive)*'Intl Economy Base'!C31),2),ROUND('Intl Economy Base'!$C$105*(1+International_Fuel_Surcharge),2),ROUND(((1-IntEconomyDiscount-IntEoncomyIncentive)*'Intl Economy Base'!C31)*(1+International_Fuel_Surcharge),2)))*(1+FedEx_Markup),2)</f>
        <v>85.31</v>
      </c>
      <c r="D34" s="295">
        <f>ROUND((IF('Intl Economy Base'!$D$105&gt;ROUND(((1-IntEconomyDiscount-IntEoncomyIncentive)*'Intl Economy Base'!D31),2),ROUND('Intl Economy Base'!$D$105*(1+International_Fuel_Surcharge),2),ROUND(((1-IntEconomyDiscount-IntEoncomyIncentive)*'Intl Economy Base'!D31)*(1+International_Fuel_Surcharge),2)))*(1+FedEx_Markup),2)</f>
        <v>72.74</v>
      </c>
      <c r="E34" s="295">
        <f>ROUND((IF('Intl Economy Base'!$E$105&gt;ROUND(((1-IntEconomyDiscount-IntEoncomyIncentive)*'Intl Economy Base'!E31),2),ROUND('Intl Economy Base'!$E$105*(1+International_Fuel_Surcharge),2),ROUND(((1-IntEconomyDiscount-IntEoncomyIncentive)*'Intl Economy Base'!E31)*(1+International_Fuel_Surcharge),2)))*(1+FedEx_Markup),2)</f>
        <v>120.62</v>
      </c>
      <c r="F34" s="295">
        <f>ROUND((IF('Intl Economy Base'!$F$105&gt;ROUND(((1-IntEconomyDiscount-IntEoncomyIncentive)*'Intl Economy Base'!F31),2),ROUND('Intl Economy Base'!$F$105*(1+International_Fuel_Surcharge),2),ROUND(((1-IntEconomyDiscount-IntEoncomyIncentive)*'Intl Economy Base'!F31)*(1+International_Fuel_Surcharge),2)))*(1+FedEx_Markup),2)</f>
        <v>202.93</v>
      </c>
      <c r="G34" s="295">
        <f>ROUND((IF('Intl Economy Base'!$G$105&gt;ROUND(((1-IntEconomyDiscount-IntEoncomyIncentive)*'Intl Economy Base'!G31),2),ROUND('Intl Economy Base'!$G$105*(1+International_Fuel_Surcharge),2),ROUND(((1-IntEconomyDiscount-IntEoncomyIncentive)*'Intl Economy Base'!G31)*(1+International_Fuel_Surcharge),2)))*(1+FedEx_Markup),2)</f>
        <v>115.83</v>
      </c>
      <c r="H34" s="295">
        <f>ROUND((IF('Intl Economy Base'!$H$105&gt;ROUND(((1-IntEconomyDiscount-IntEoncomyIncentive)*'Intl Economy Base'!H31),2),ROUND('Intl Economy Base'!$H$105*(1+International_Fuel_Surcharge),2),ROUND(((1-IntEconomyDiscount-IntEoncomyIncentive)*'Intl Economy Base'!H31)*(1+International_Fuel_Surcharge),2)))*(1+FedEx_Markup),2)</f>
        <v>112.08</v>
      </c>
      <c r="I34" s="295">
        <f>ROUND((IF('Intl Economy Base'!$I$105&gt;ROUND(((1-IntEconomyDiscount-IntEoncomyIncentive)*'Intl Economy Base'!I31),2),ROUND('Intl Economy Base'!$I$105*(1+International_Fuel_Surcharge),2),ROUND(((1-IntEconomyDiscount-IntEoncomyIncentive)*'Intl Economy Base'!I31)*(1+International_Fuel_Surcharge),2)))*(1+FedEx_Markup),2)</f>
        <v>139.5</v>
      </c>
      <c r="J34" s="295">
        <f>ROUND((IF('Intl Economy Base'!$J$105&gt;ROUND(((1-IntEconomyDiscount-IntEoncomyIncentive)*'Intl Economy Base'!J31),2),ROUND('Intl Economy Base'!$J$105*(1+International_Fuel_Surcharge),2),ROUND(((1-IntEconomyDiscount-IntEoncomyIncentive)*'Intl Economy Base'!J31)*(1+International_Fuel_Surcharge),2)))*(1+FedEx_Markup),2)</f>
        <v>87.49</v>
      </c>
      <c r="K34" s="295">
        <f>ROUND((IF('Intl Economy Base'!$K$105&gt;ROUND(((1-IntEconomyDiscount-IntEoncomyIncentive)*'Intl Economy Base'!K31),2),ROUND('Intl Economy Base'!$K$105*(1+International_Fuel_Surcharge),2),ROUND(((1-IntEconomyDiscount-IntEoncomyIncentive)*'Intl Economy Base'!K31)*(1+International_Fuel_Surcharge),2)))*(1+FedEx_Markup),2)</f>
        <v>172.95</v>
      </c>
      <c r="L34" s="295">
        <f>ROUND((IF('Intl Economy Base'!$L$105&gt;ROUND(((1-IntEconomyDiscount-IntEoncomyIncentive)*'Intl Economy Base'!L31),2),ROUND('Intl Economy Base'!$L$105*(1+International_Fuel_Surcharge),2),ROUND(((1-IntEconomyDiscount-IntEoncomyIncentive)*'Intl Economy Base'!L31)*(1+International_Fuel_Surcharge),2)))*(1+FedEx_Markup),2)</f>
        <v>153.23</v>
      </c>
      <c r="M34" s="295">
        <f>ROUND((IF('Intl Economy Base'!$M$105&gt;ROUND(((1-IntEconomyDiscount-IntEoncomyIncentive)*'Intl Economy Base'!M31),2),ROUND('Intl Economy Base'!$M$105*(1+International_Fuel_Surcharge),2),ROUND(((1-IntEconomyDiscount-IntEoncomyIncentive)*'Intl Economy Base'!M31)*(1+International_Fuel_Surcharge),2)))*(1+FedEx_Markup),2)</f>
        <v>199.59</v>
      </c>
      <c r="N34" s="295">
        <f>ROUND((IF('Intl Economy Base'!$N$105&gt;ROUND(((1-IntEconomyDiscount-IntEoncomyIncentive)*'Intl Economy Base'!N31),2),ROUND('Intl Economy Base'!$N$105*(1+International_Fuel_Surcharge),2),ROUND(((1-IntEconomyDiscount-IntEoncomyIncentive)*'Intl Economy Base'!N31)*(1+International_Fuel_Surcharge),2)))*(1+FedEx_Markup),2)</f>
        <v>207.77</v>
      </c>
      <c r="O34" s="295">
        <f>ROUND((IF('Intl Economy Base'!$O$105&gt;ROUND(((1-IntEconomyDiscount-IntEoncomyIncentive)*'Intl Economy Base'!O31),2),ROUND('Intl Economy Base'!$O$105*(1+International_Fuel_Surcharge),2),ROUND(((1-IntEconomyDiscount-IntEoncomyIncentive)*'Intl Economy Base'!O31)*(1+International_Fuel_Surcharge),2)))*(1+FedEx_Markup),2)</f>
        <v>157.02</v>
      </c>
      <c r="P34" s="295">
        <f>ROUND((IF('Intl Economy Base'!$P$105&gt;ROUND(((1-IntEconomyDiscount-IntEoncomyIncentive)*'Intl Economy Base'!P31),2),ROUND('Intl Economy Base'!$P$105*(1+International_Fuel_Surcharge),2),ROUND(((1-IntEconomyDiscount-IntEoncomyIncentive)*'Intl Economy Base'!P31)*(1+International_Fuel_Surcharge),2)))*(1+FedEx_Markup),2)</f>
        <v>155.09</v>
      </c>
      <c r="Q34" s="295">
        <f>ROUND((IF('Intl Economy Base'!$Q$105&gt;ROUND(((1-PuertoRicoDiscount)*'Intl Economy Base'!Q31),2),ROUND('Intl Economy Base'!$Q$105*(1+International_Fuel_Surcharge),2),ROUND(((1-PuertoRicoDiscount)*'Intl Economy Base'!Q31)*(1+International_Fuel_Surcharge),2)))*(1+FedEx_Markup),2)</f>
        <v>170.79</v>
      </c>
      <c r="R34" s="138"/>
      <c r="S34" s="138"/>
      <c r="T34" s="138"/>
      <c r="U34" s="138"/>
      <c r="V34" s="138"/>
      <c r="W34" s="138"/>
      <c r="X34" s="138"/>
      <c r="Y34" s="138"/>
      <c r="Z34" s="138"/>
    </row>
    <row r="35" ht="12.75" customHeight="1">
      <c r="A35" s="294">
        <v>30.0</v>
      </c>
      <c r="B35" s="295">
        <f>ROUND((IF('Intl Economy Base'!$B$105&gt;ROUND(((1-IntEconomyDiscount-IntEoncomyIncentive)*'Intl Economy Base'!B32),2),ROUND('Intl Economy Base'!$B$105*(1+International_Fuel_Surcharge),2),ROUND(((1-IntEconomyDiscount-IntEoncomyIncentive)*'Intl Economy Base'!B32)*(1+International_Fuel_Surcharge),2)))*(1+FedEx_Markup),2)</f>
        <v>74.81</v>
      </c>
      <c r="C35" s="295">
        <f>ROUND((IF('Intl Economy Base'!$C$105&gt;ROUND(((1-IntEconomyDiscount-IntEoncomyIncentive)*'Intl Economy Base'!C32),2),ROUND('Intl Economy Base'!$C$105*(1+International_Fuel_Surcharge),2),ROUND(((1-IntEconomyDiscount-IntEoncomyIncentive)*'Intl Economy Base'!C32)*(1+International_Fuel_Surcharge),2)))*(1+FedEx_Markup),2)</f>
        <v>88.52</v>
      </c>
      <c r="D35" s="295">
        <f>ROUND((IF('Intl Economy Base'!$D$105&gt;ROUND(((1-IntEconomyDiscount-IntEoncomyIncentive)*'Intl Economy Base'!D32),2),ROUND('Intl Economy Base'!$D$105*(1+International_Fuel_Surcharge),2),ROUND(((1-IntEconomyDiscount-IntEoncomyIncentive)*'Intl Economy Base'!D32)*(1+International_Fuel_Surcharge),2)))*(1+FedEx_Markup),2)</f>
        <v>73.32</v>
      </c>
      <c r="E35" s="295">
        <f>ROUND((IF('Intl Economy Base'!$E$105&gt;ROUND(((1-IntEconomyDiscount-IntEoncomyIncentive)*'Intl Economy Base'!E32),2),ROUND('Intl Economy Base'!$E$105*(1+International_Fuel_Surcharge),2),ROUND(((1-IntEconomyDiscount-IntEoncomyIncentive)*'Intl Economy Base'!E32)*(1+International_Fuel_Surcharge),2)))*(1+FedEx_Markup),2)</f>
        <v>120.78</v>
      </c>
      <c r="F35" s="295">
        <f>ROUND((IF('Intl Economy Base'!$F$105&gt;ROUND(((1-IntEconomyDiscount-IntEoncomyIncentive)*'Intl Economy Base'!F32),2),ROUND('Intl Economy Base'!$F$105*(1+International_Fuel_Surcharge),2),ROUND(((1-IntEconomyDiscount-IntEoncomyIncentive)*'Intl Economy Base'!F32)*(1+International_Fuel_Surcharge),2)))*(1+FedEx_Markup),2)</f>
        <v>203.03</v>
      </c>
      <c r="G35" s="295">
        <f>ROUND((IF('Intl Economy Base'!$G$105&gt;ROUND(((1-IntEconomyDiscount-IntEoncomyIncentive)*'Intl Economy Base'!G32),2),ROUND('Intl Economy Base'!$G$105*(1+International_Fuel_Surcharge),2),ROUND(((1-IntEconomyDiscount-IntEoncomyIncentive)*'Intl Economy Base'!G32)*(1+International_Fuel_Surcharge),2)))*(1+FedEx_Markup),2)</f>
        <v>115.89</v>
      </c>
      <c r="H35" s="295">
        <f>ROUND((IF('Intl Economy Base'!$H$105&gt;ROUND(((1-IntEconomyDiscount-IntEoncomyIncentive)*'Intl Economy Base'!H32),2),ROUND('Intl Economy Base'!$H$105*(1+International_Fuel_Surcharge),2),ROUND(((1-IntEconomyDiscount-IntEoncomyIncentive)*'Intl Economy Base'!H32)*(1+International_Fuel_Surcharge),2)))*(1+FedEx_Markup),2)</f>
        <v>119.07</v>
      </c>
      <c r="I35" s="295">
        <f>ROUND((IF('Intl Economy Base'!$I$105&gt;ROUND(((1-IntEconomyDiscount-IntEoncomyIncentive)*'Intl Economy Base'!I32),2),ROUND('Intl Economy Base'!$I$105*(1+International_Fuel_Surcharge),2),ROUND(((1-IntEconomyDiscount-IntEoncomyIncentive)*'Intl Economy Base'!I32)*(1+International_Fuel_Surcharge),2)))*(1+FedEx_Markup),2)</f>
        <v>142.97</v>
      </c>
      <c r="J35" s="295">
        <f>ROUND((IF('Intl Economy Base'!$J$105&gt;ROUND(((1-IntEconomyDiscount-IntEoncomyIncentive)*'Intl Economy Base'!J32),2),ROUND('Intl Economy Base'!$J$105*(1+International_Fuel_Surcharge),2),ROUND(((1-IntEconomyDiscount-IntEoncomyIncentive)*'Intl Economy Base'!J32)*(1+International_Fuel_Surcharge),2)))*(1+FedEx_Markup),2)</f>
        <v>87.98</v>
      </c>
      <c r="K35" s="295">
        <f>ROUND((IF('Intl Economy Base'!$K$105&gt;ROUND(((1-IntEconomyDiscount-IntEoncomyIncentive)*'Intl Economy Base'!K32),2),ROUND('Intl Economy Base'!$K$105*(1+International_Fuel_Surcharge),2),ROUND(((1-IntEconomyDiscount-IntEoncomyIncentive)*'Intl Economy Base'!K32)*(1+International_Fuel_Surcharge),2)))*(1+FedEx_Markup),2)</f>
        <v>173.03</v>
      </c>
      <c r="L35" s="295">
        <f>ROUND((IF('Intl Economy Base'!$L$105&gt;ROUND(((1-IntEconomyDiscount-IntEoncomyIncentive)*'Intl Economy Base'!L32),2),ROUND('Intl Economy Base'!$L$105*(1+International_Fuel_Surcharge),2),ROUND(((1-IntEconomyDiscount-IntEoncomyIncentive)*'Intl Economy Base'!L32)*(1+International_Fuel_Surcharge),2)))*(1+FedEx_Markup),2)</f>
        <v>153.39</v>
      </c>
      <c r="M35" s="295">
        <f>ROUND((IF('Intl Economy Base'!$M$105&gt;ROUND(((1-IntEconomyDiscount-IntEoncomyIncentive)*'Intl Economy Base'!M32),2),ROUND('Intl Economy Base'!$M$105*(1+International_Fuel_Surcharge),2),ROUND(((1-IntEconomyDiscount-IntEoncomyIncentive)*'Intl Economy Base'!M32)*(1+International_Fuel_Surcharge),2)))*(1+FedEx_Markup),2)</f>
        <v>200.56</v>
      </c>
      <c r="N35" s="295">
        <f>ROUND((IF('Intl Economy Base'!$N$105&gt;ROUND(((1-IntEconomyDiscount-IntEoncomyIncentive)*'Intl Economy Base'!N32),2),ROUND('Intl Economy Base'!$N$105*(1+International_Fuel_Surcharge),2),ROUND(((1-IntEconomyDiscount-IntEoncomyIncentive)*'Intl Economy Base'!N32)*(1+International_Fuel_Surcharge),2)))*(1+FedEx_Markup),2)</f>
        <v>207.83</v>
      </c>
      <c r="O35" s="295">
        <f>ROUND((IF('Intl Economy Base'!$O$105&gt;ROUND(((1-IntEconomyDiscount-IntEoncomyIncentive)*'Intl Economy Base'!O32),2),ROUND('Intl Economy Base'!$O$105*(1+International_Fuel_Surcharge),2),ROUND(((1-IntEconomyDiscount-IntEoncomyIncentive)*'Intl Economy Base'!O32)*(1+International_Fuel_Surcharge),2)))*(1+FedEx_Markup),2)</f>
        <v>157.86</v>
      </c>
      <c r="P35" s="295">
        <f>ROUND((IF('Intl Economy Base'!$P$105&gt;ROUND(((1-IntEconomyDiscount-IntEoncomyIncentive)*'Intl Economy Base'!P32),2),ROUND('Intl Economy Base'!$P$105*(1+International_Fuel_Surcharge),2),ROUND(((1-IntEconomyDiscount-IntEoncomyIncentive)*'Intl Economy Base'!P32)*(1+International_Fuel_Surcharge),2)))*(1+FedEx_Markup),2)</f>
        <v>155.22</v>
      </c>
      <c r="Q35" s="295">
        <f>ROUND((IF('Intl Economy Base'!$Q$105&gt;ROUND(((1-PuertoRicoDiscount)*'Intl Economy Base'!Q32),2),ROUND('Intl Economy Base'!$Q$105*(1+International_Fuel_Surcharge),2),ROUND(((1-PuertoRicoDiscount)*'Intl Economy Base'!Q32)*(1+International_Fuel_Surcharge),2)))*(1+FedEx_Markup),2)</f>
        <v>175.8</v>
      </c>
      <c r="R35" s="138"/>
      <c r="S35" s="138"/>
      <c r="T35" s="138"/>
      <c r="U35" s="138"/>
      <c r="V35" s="138"/>
      <c r="W35" s="138"/>
      <c r="X35" s="138"/>
      <c r="Y35" s="138"/>
      <c r="Z35" s="138"/>
    </row>
    <row r="36" ht="12.75" customHeight="1">
      <c r="A36" s="294">
        <v>31.0</v>
      </c>
      <c r="B36" s="295">
        <f>ROUND((IF('Intl Economy Base'!$B$105&gt;ROUND(((1-IntEconomyDiscount-IntEoncomyIncentive)*'Intl Economy Base'!B33),2),ROUND('Intl Economy Base'!$B$105*(1+International_Fuel_Surcharge),2),ROUND(((1-IntEconomyDiscount-IntEoncomyIncentive)*'Intl Economy Base'!B33)*(1+International_Fuel_Surcharge),2)))*(1+FedEx_Markup),2)</f>
        <v>75.35</v>
      </c>
      <c r="C36" s="295">
        <f>ROUND((IF('Intl Economy Base'!$C$105&gt;ROUND(((1-IntEconomyDiscount-IntEoncomyIncentive)*'Intl Economy Base'!C33),2),ROUND('Intl Economy Base'!$C$105*(1+International_Fuel_Surcharge),2),ROUND(((1-IntEconomyDiscount-IntEoncomyIncentive)*'Intl Economy Base'!C33)*(1+International_Fuel_Surcharge),2)))*(1+FedEx_Markup),2)</f>
        <v>88.84</v>
      </c>
      <c r="D36" s="295">
        <f>ROUND((IF('Intl Economy Base'!$D$105&gt;ROUND(((1-IntEconomyDiscount-IntEoncomyIncentive)*'Intl Economy Base'!D33),2),ROUND('Intl Economy Base'!$D$105*(1+International_Fuel_Surcharge),2),ROUND(((1-IntEconomyDiscount-IntEoncomyIncentive)*'Intl Economy Base'!D33)*(1+International_Fuel_Surcharge),2)))*(1+FedEx_Markup),2)</f>
        <v>73.38</v>
      </c>
      <c r="E36" s="295">
        <f>ROUND((IF('Intl Economy Base'!$E$105&gt;ROUND(((1-IntEconomyDiscount-IntEoncomyIncentive)*'Intl Economy Base'!E33),2),ROUND('Intl Economy Base'!$E$105*(1+International_Fuel_Surcharge),2),ROUND(((1-IntEconomyDiscount-IntEoncomyIncentive)*'Intl Economy Base'!E33)*(1+International_Fuel_Surcharge),2)))*(1+FedEx_Markup),2)</f>
        <v>122.97</v>
      </c>
      <c r="F36" s="295">
        <f>ROUND((IF('Intl Economy Base'!$F$105&gt;ROUND(((1-IntEconomyDiscount-IntEoncomyIncentive)*'Intl Economy Base'!F33),2),ROUND('Intl Economy Base'!$F$105*(1+International_Fuel_Surcharge),2),ROUND(((1-IntEconomyDiscount-IntEoncomyIncentive)*'Intl Economy Base'!F33)*(1+International_Fuel_Surcharge),2)))*(1+FedEx_Markup),2)</f>
        <v>204.02</v>
      </c>
      <c r="G36" s="295">
        <f>ROUND((IF('Intl Economy Base'!$G$105&gt;ROUND(((1-IntEconomyDiscount-IntEoncomyIncentive)*'Intl Economy Base'!G33),2),ROUND('Intl Economy Base'!$G$105*(1+International_Fuel_Surcharge),2),ROUND(((1-IntEconomyDiscount-IntEoncomyIncentive)*'Intl Economy Base'!G33)*(1+International_Fuel_Surcharge),2)))*(1+FedEx_Markup),2)</f>
        <v>116.23</v>
      </c>
      <c r="H36" s="295">
        <f>ROUND((IF('Intl Economy Base'!$H$105&gt;ROUND(((1-IntEconomyDiscount-IntEoncomyIncentive)*'Intl Economy Base'!H33),2),ROUND('Intl Economy Base'!$H$105*(1+International_Fuel_Surcharge),2),ROUND(((1-IntEconomyDiscount-IntEoncomyIncentive)*'Intl Economy Base'!H33)*(1+International_Fuel_Surcharge),2)))*(1+FedEx_Markup),2)</f>
        <v>121.46</v>
      </c>
      <c r="I36" s="295">
        <f>ROUND((IF('Intl Economy Base'!$I$105&gt;ROUND(((1-IntEconomyDiscount-IntEoncomyIncentive)*'Intl Economy Base'!I33),2),ROUND('Intl Economy Base'!$I$105*(1+International_Fuel_Surcharge),2),ROUND(((1-IntEconomyDiscount-IntEoncomyIncentive)*'Intl Economy Base'!I33)*(1+International_Fuel_Surcharge),2)))*(1+FedEx_Markup),2)</f>
        <v>143.35</v>
      </c>
      <c r="J36" s="295">
        <f>ROUND((IF('Intl Economy Base'!$J$105&gt;ROUND(((1-IntEconomyDiscount-IntEoncomyIncentive)*'Intl Economy Base'!J33),2),ROUND('Intl Economy Base'!$J$105*(1+International_Fuel_Surcharge),2),ROUND(((1-IntEconomyDiscount-IntEoncomyIncentive)*'Intl Economy Base'!J33)*(1+International_Fuel_Surcharge),2)))*(1+FedEx_Markup),2)</f>
        <v>88.06</v>
      </c>
      <c r="K36" s="295">
        <f>ROUND((IF('Intl Economy Base'!$K$105&gt;ROUND(((1-IntEconomyDiscount-IntEoncomyIncentive)*'Intl Economy Base'!K33),2),ROUND('Intl Economy Base'!$K$105*(1+International_Fuel_Surcharge),2),ROUND(((1-IntEconomyDiscount-IntEoncomyIncentive)*'Intl Economy Base'!K33)*(1+International_Fuel_Surcharge),2)))*(1+FedEx_Markup),2)</f>
        <v>173.09</v>
      </c>
      <c r="L36" s="295">
        <f>ROUND((IF('Intl Economy Base'!$L$105&gt;ROUND(((1-IntEconomyDiscount-IntEoncomyIncentive)*'Intl Economy Base'!L33),2),ROUND('Intl Economy Base'!$L$105*(1+International_Fuel_Surcharge),2),ROUND(((1-IntEconomyDiscount-IntEoncomyIncentive)*'Intl Economy Base'!L33)*(1+International_Fuel_Surcharge),2)))*(1+FedEx_Markup),2)</f>
        <v>156.62</v>
      </c>
      <c r="M36" s="295">
        <f>ROUND((IF('Intl Economy Base'!$M$105&gt;ROUND(((1-IntEconomyDiscount-IntEoncomyIncentive)*'Intl Economy Base'!M33),2),ROUND('Intl Economy Base'!$M$105*(1+International_Fuel_Surcharge),2),ROUND(((1-IntEconomyDiscount-IntEoncomyIncentive)*'Intl Economy Base'!M33)*(1+International_Fuel_Surcharge),2)))*(1+FedEx_Markup),2)</f>
        <v>217.94</v>
      </c>
      <c r="N36" s="295">
        <f>ROUND((IF('Intl Economy Base'!$N$105&gt;ROUND(((1-IntEconomyDiscount-IntEoncomyIncentive)*'Intl Economy Base'!N33),2),ROUND('Intl Economy Base'!$N$105*(1+International_Fuel_Surcharge),2),ROUND(((1-IntEconomyDiscount-IntEoncomyIncentive)*'Intl Economy Base'!N33)*(1+International_Fuel_Surcharge),2)))*(1+FedEx_Markup),2)</f>
        <v>207.87</v>
      </c>
      <c r="O36" s="295">
        <f>ROUND((IF('Intl Economy Base'!$O$105&gt;ROUND(((1-IntEconomyDiscount-IntEoncomyIncentive)*'Intl Economy Base'!O33),2),ROUND('Intl Economy Base'!$O$105*(1+International_Fuel_Surcharge),2),ROUND(((1-IntEconomyDiscount-IntEoncomyIncentive)*'Intl Economy Base'!O33)*(1+International_Fuel_Surcharge),2)))*(1+FedEx_Markup),2)</f>
        <v>157.94</v>
      </c>
      <c r="P36" s="295">
        <f>ROUND((IF('Intl Economy Base'!$P$105&gt;ROUND(((1-IntEconomyDiscount-IntEoncomyIncentive)*'Intl Economy Base'!P33),2),ROUND('Intl Economy Base'!$P$105*(1+International_Fuel_Surcharge),2),ROUND(((1-IntEconomyDiscount-IntEoncomyIncentive)*'Intl Economy Base'!P33)*(1+International_Fuel_Surcharge),2)))*(1+FedEx_Markup),2)</f>
        <v>155.27</v>
      </c>
      <c r="Q36" s="295">
        <f>ROUND((IF('Intl Economy Base'!$Q$105&gt;ROUND(((1-PuertoRicoDiscount)*'Intl Economy Base'!Q33),2),ROUND('Intl Economy Base'!$Q$105*(1+International_Fuel_Surcharge),2),ROUND(((1-PuertoRicoDiscount)*'Intl Economy Base'!Q33)*(1+International_Fuel_Surcharge),2)))*(1+FedEx_Markup),2)</f>
        <v>180.68</v>
      </c>
      <c r="R36" s="138"/>
      <c r="S36" s="138"/>
      <c r="T36" s="138"/>
      <c r="U36" s="138"/>
      <c r="V36" s="138"/>
      <c r="W36" s="138"/>
      <c r="X36" s="138"/>
      <c r="Y36" s="138"/>
      <c r="Z36" s="138"/>
    </row>
    <row r="37" ht="12.75" customHeight="1">
      <c r="A37" s="294">
        <v>32.0</v>
      </c>
      <c r="B37" s="295">
        <f>ROUND((IF('Intl Economy Base'!$B$105&gt;ROUND(((1-IntEconomyDiscount-IntEoncomyIncentive)*'Intl Economy Base'!B34),2),ROUND('Intl Economy Base'!$B$105*(1+International_Fuel_Surcharge),2),ROUND(((1-IntEconomyDiscount-IntEoncomyIncentive)*'Intl Economy Base'!B34)*(1+International_Fuel_Surcharge),2)))*(1+FedEx_Markup),2)</f>
        <v>75.41</v>
      </c>
      <c r="C37" s="295">
        <f>ROUND((IF('Intl Economy Base'!$C$105&gt;ROUND(((1-IntEconomyDiscount-IntEoncomyIncentive)*'Intl Economy Base'!C34),2),ROUND('Intl Economy Base'!$C$105*(1+International_Fuel_Surcharge),2),ROUND(((1-IntEconomyDiscount-IntEoncomyIncentive)*'Intl Economy Base'!C34)*(1+International_Fuel_Surcharge),2)))*(1+FedEx_Markup),2)</f>
        <v>88.9</v>
      </c>
      <c r="D37" s="295">
        <f>ROUND((IF('Intl Economy Base'!$D$105&gt;ROUND(((1-IntEconomyDiscount-IntEoncomyIncentive)*'Intl Economy Base'!D34),2),ROUND('Intl Economy Base'!$D$105*(1+International_Fuel_Surcharge),2),ROUND(((1-IntEconomyDiscount-IntEoncomyIncentive)*'Intl Economy Base'!D34)*(1+International_Fuel_Surcharge),2)))*(1+FedEx_Markup),2)</f>
        <v>73.45</v>
      </c>
      <c r="E37" s="295">
        <f>ROUND((IF('Intl Economy Base'!$E$105&gt;ROUND(((1-IntEconomyDiscount-IntEoncomyIncentive)*'Intl Economy Base'!E34),2),ROUND('Intl Economy Base'!$E$105*(1+International_Fuel_Surcharge),2),ROUND(((1-IntEconomyDiscount-IntEoncomyIncentive)*'Intl Economy Base'!E34)*(1+International_Fuel_Surcharge),2)))*(1+FedEx_Markup),2)</f>
        <v>123.2</v>
      </c>
      <c r="F37" s="295">
        <f>ROUND((IF('Intl Economy Base'!$F$105&gt;ROUND(((1-IntEconomyDiscount-IntEoncomyIncentive)*'Intl Economy Base'!F34),2),ROUND('Intl Economy Base'!$F$105*(1+International_Fuel_Surcharge),2),ROUND(((1-IntEconomyDiscount-IntEoncomyIncentive)*'Intl Economy Base'!F34)*(1+International_Fuel_Surcharge),2)))*(1+FedEx_Markup),2)</f>
        <v>223.51</v>
      </c>
      <c r="G37" s="295">
        <f>ROUND((IF('Intl Economy Base'!$G$105&gt;ROUND(((1-IntEconomyDiscount-IntEoncomyIncentive)*'Intl Economy Base'!G34),2),ROUND('Intl Economy Base'!$G$105*(1+International_Fuel_Surcharge),2),ROUND(((1-IntEconomyDiscount-IntEoncomyIncentive)*'Intl Economy Base'!G34)*(1+International_Fuel_Surcharge),2)))*(1+FedEx_Markup),2)</f>
        <v>123.02</v>
      </c>
      <c r="H37" s="295">
        <f>ROUND((IF('Intl Economy Base'!$H$105&gt;ROUND(((1-IntEconomyDiscount-IntEoncomyIncentive)*'Intl Economy Base'!H34),2),ROUND('Intl Economy Base'!$H$105*(1+International_Fuel_Surcharge),2),ROUND(((1-IntEconomyDiscount-IntEoncomyIncentive)*'Intl Economy Base'!H34)*(1+International_Fuel_Surcharge),2)))*(1+FedEx_Markup),2)</f>
        <v>129.33</v>
      </c>
      <c r="I37" s="295">
        <f>ROUND((IF('Intl Economy Base'!$I$105&gt;ROUND(((1-IntEconomyDiscount-IntEoncomyIncentive)*'Intl Economy Base'!I34),2),ROUND('Intl Economy Base'!$I$105*(1+International_Fuel_Surcharge),2),ROUND(((1-IntEconomyDiscount-IntEoncomyIncentive)*'Intl Economy Base'!I34)*(1+International_Fuel_Surcharge),2)))*(1+FedEx_Markup),2)</f>
        <v>144.13</v>
      </c>
      <c r="J37" s="295">
        <f>ROUND((IF('Intl Economy Base'!$J$105&gt;ROUND(((1-IntEconomyDiscount-IntEoncomyIncentive)*'Intl Economy Base'!J34),2),ROUND('Intl Economy Base'!$J$105*(1+International_Fuel_Surcharge),2),ROUND(((1-IntEconomyDiscount-IntEoncomyIncentive)*'Intl Economy Base'!J34)*(1+International_Fuel_Surcharge),2)))*(1+FedEx_Markup),2)</f>
        <v>89.62</v>
      </c>
      <c r="K37" s="295">
        <f>ROUND((IF('Intl Economy Base'!$K$105&gt;ROUND(((1-IntEconomyDiscount-IntEoncomyIncentive)*'Intl Economy Base'!K34),2),ROUND('Intl Economy Base'!$K$105*(1+International_Fuel_Surcharge),2),ROUND(((1-IntEconomyDiscount-IntEoncomyIncentive)*'Intl Economy Base'!K34)*(1+International_Fuel_Surcharge),2)))*(1+FedEx_Markup),2)</f>
        <v>173.13</v>
      </c>
      <c r="L37" s="295">
        <f>ROUND((IF('Intl Economy Base'!$L$105&gt;ROUND(((1-IntEconomyDiscount-IntEoncomyIncentive)*'Intl Economy Base'!L34),2),ROUND('Intl Economy Base'!$L$105*(1+International_Fuel_Surcharge),2),ROUND(((1-IntEconomyDiscount-IntEoncomyIncentive)*'Intl Economy Base'!L34)*(1+International_Fuel_Surcharge),2)))*(1+FedEx_Markup),2)</f>
        <v>156.94</v>
      </c>
      <c r="M37" s="295">
        <f>ROUND((IF('Intl Economy Base'!$M$105&gt;ROUND(((1-IntEconomyDiscount-IntEoncomyIncentive)*'Intl Economy Base'!M34),2),ROUND('Intl Economy Base'!$M$105*(1+International_Fuel_Surcharge),2),ROUND(((1-IntEconomyDiscount-IntEoncomyIncentive)*'Intl Economy Base'!M34)*(1+International_Fuel_Surcharge),2)))*(1+FedEx_Markup),2)</f>
        <v>219.67</v>
      </c>
      <c r="N37" s="295">
        <f>ROUND((IF('Intl Economy Base'!$N$105&gt;ROUND(((1-IntEconomyDiscount-IntEoncomyIncentive)*'Intl Economy Base'!N34),2),ROUND('Intl Economy Base'!$N$105*(1+International_Fuel_Surcharge),2),ROUND(((1-IntEconomyDiscount-IntEoncomyIncentive)*'Intl Economy Base'!N34)*(1+International_Fuel_Surcharge),2)))*(1+FedEx_Markup),2)</f>
        <v>207.95</v>
      </c>
      <c r="O37" s="295">
        <f>ROUND((IF('Intl Economy Base'!$O$105&gt;ROUND(((1-IntEconomyDiscount-IntEoncomyIncentive)*'Intl Economy Base'!O34),2),ROUND('Intl Economy Base'!$O$105*(1+International_Fuel_Surcharge),2),ROUND(((1-IntEconomyDiscount-IntEoncomyIncentive)*'Intl Economy Base'!O34)*(1+International_Fuel_Surcharge),2)))*(1+FedEx_Markup),2)</f>
        <v>158.71</v>
      </c>
      <c r="P37" s="295">
        <f>ROUND((IF('Intl Economy Base'!$P$105&gt;ROUND(((1-IntEconomyDiscount-IntEoncomyIncentive)*'Intl Economy Base'!P34),2),ROUND('Intl Economy Base'!$P$105*(1+International_Fuel_Surcharge),2),ROUND(((1-IntEconomyDiscount-IntEoncomyIncentive)*'Intl Economy Base'!P34)*(1+International_Fuel_Surcharge),2)))*(1+FedEx_Markup),2)</f>
        <v>155.74</v>
      </c>
      <c r="Q37" s="295">
        <f>ROUND((IF('Intl Economy Base'!$Q$105&gt;ROUND(((1-PuertoRicoDiscount)*'Intl Economy Base'!Q34),2),ROUND('Intl Economy Base'!$Q$105*(1+International_Fuel_Surcharge),2),ROUND(((1-PuertoRicoDiscount)*'Intl Economy Base'!Q34)*(1+International_Fuel_Surcharge),2)))*(1+FedEx_Markup),2)</f>
        <v>185.93</v>
      </c>
      <c r="R37" s="138"/>
      <c r="S37" s="138"/>
      <c r="T37" s="138"/>
      <c r="U37" s="138"/>
      <c r="V37" s="138"/>
      <c r="W37" s="138"/>
      <c r="X37" s="138"/>
      <c r="Y37" s="138"/>
      <c r="Z37" s="138"/>
    </row>
    <row r="38" ht="12.75" customHeight="1">
      <c r="A38" s="294">
        <v>33.0</v>
      </c>
      <c r="B38" s="295">
        <f>ROUND((IF('Intl Economy Base'!$B$105&gt;ROUND(((1-IntEconomyDiscount-IntEoncomyIncentive)*'Intl Economy Base'!B35),2),ROUND('Intl Economy Base'!$B$105*(1+International_Fuel_Surcharge),2),ROUND(((1-IntEconomyDiscount-IntEoncomyIncentive)*'Intl Economy Base'!B35)*(1+International_Fuel_Surcharge),2)))*(1+FedEx_Markup),2)</f>
        <v>75.46</v>
      </c>
      <c r="C38" s="295">
        <f>ROUND((IF('Intl Economy Base'!$C$105&gt;ROUND(((1-IntEconomyDiscount-IntEoncomyIncentive)*'Intl Economy Base'!C35),2),ROUND('Intl Economy Base'!$C$105*(1+International_Fuel_Surcharge),2),ROUND(((1-IntEconomyDiscount-IntEoncomyIncentive)*'Intl Economy Base'!C35)*(1+International_Fuel_Surcharge),2)))*(1+FedEx_Markup),2)</f>
        <v>88.95</v>
      </c>
      <c r="D38" s="295">
        <f>ROUND((IF('Intl Economy Base'!$D$105&gt;ROUND(((1-IntEconomyDiscount-IntEoncomyIncentive)*'Intl Economy Base'!D35),2),ROUND('Intl Economy Base'!$D$105*(1+International_Fuel_Surcharge),2),ROUND(((1-IntEconomyDiscount-IntEoncomyIncentive)*'Intl Economy Base'!D35)*(1+International_Fuel_Surcharge),2)))*(1+FedEx_Markup),2)</f>
        <v>73.52</v>
      </c>
      <c r="E38" s="295">
        <f>ROUND((IF('Intl Economy Base'!$E$105&gt;ROUND(((1-IntEconomyDiscount-IntEoncomyIncentive)*'Intl Economy Base'!E35),2),ROUND('Intl Economy Base'!$E$105*(1+International_Fuel_Surcharge),2),ROUND(((1-IntEconomyDiscount-IntEoncomyIncentive)*'Intl Economy Base'!E35)*(1+International_Fuel_Surcharge),2)))*(1+FedEx_Markup),2)</f>
        <v>123.91</v>
      </c>
      <c r="F38" s="295">
        <f>ROUND((IF('Intl Economy Base'!$F$105&gt;ROUND(((1-IntEconomyDiscount-IntEoncomyIncentive)*'Intl Economy Base'!F35),2),ROUND('Intl Economy Base'!$F$105*(1+International_Fuel_Surcharge),2),ROUND(((1-IntEconomyDiscount-IntEoncomyIncentive)*'Intl Economy Base'!F35)*(1+International_Fuel_Surcharge),2)))*(1+FedEx_Markup),2)</f>
        <v>225.47</v>
      </c>
      <c r="G38" s="295">
        <f>ROUND((IF('Intl Economy Base'!$G$105&gt;ROUND(((1-IntEconomyDiscount-IntEoncomyIncentive)*'Intl Economy Base'!G35),2),ROUND('Intl Economy Base'!$G$105*(1+International_Fuel_Surcharge),2),ROUND(((1-IntEconomyDiscount-IntEoncomyIncentive)*'Intl Economy Base'!G35)*(1+International_Fuel_Surcharge),2)))*(1+FedEx_Markup),2)</f>
        <v>134.4</v>
      </c>
      <c r="H38" s="295">
        <f>ROUND((IF('Intl Economy Base'!$H$105&gt;ROUND(((1-IntEconomyDiscount-IntEoncomyIncentive)*'Intl Economy Base'!H35),2),ROUND('Intl Economy Base'!$H$105*(1+International_Fuel_Surcharge),2),ROUND(((1-IntEconomyDiscount-IntEoncomyIncentive)*'Intl Economy Base'!H35)*(1+International_Fuel_Surcharge),2)))*(1+FedEx_Markup),2)</f>
        <v>130.11</v>
      </c>
      <c r="I38" s="295">
        <f>ROUND((IF('Intl Economy Base'!$I$105&gt;ROUND(((1-IntEconomyDiscount-IntEoncomyIncentive)*'Intl Economy Base'!I35),2),ROUND('Intl Economy Base'!$I$105*(1+International_Fuel_Surcharge),2),ROUND(((1-IntEconomyDiscount-IntEoncomyIncentive)*'Intl Economy Base'!I35)*(1+International_Fuel_Surcharge),2)))*(1+FedEx_Markup),2)</f>
        <v>148.17</v>
      </c>
      <c r="J38" s="295">
        <f>ROUND((IF('Intl Economy Base'!$J$105&gt;ROUND(((1-IntEconomyDiscount-IntEoncomyIncentive)*'Intl Economy Base'!J35),2),ROUND('Intl Economy Base'!$J$105*(1+International_Fuel_Surcharge),2),ROUND(((1-IntEconomyDiscount-IntEoncomyIncentive)*'Intl Economy Base'!J35)*(1+International_Fuel_Surcharge),2)))*(1+FedEx_Markup),2)</f>
        <v>92.46</v>
      </c>
      <c r="K38" s="295">
        <f>ROUND((IF('Intl Economy Base'!$K$105&gt;ROUND(((1-IntEconomyDiscount-IntEoncomyIncentive)*'Intl Economy Base'!K35),2),ROUND('Intl Economy Base'!$K$105*(1+International_Fuel_Surcharge),2),ROUND(((1-IntEconomyDiscount-IntEoncomyIncentive)*'Intl Economy Base'!K35)*(1+International_Fuel_Surcharge),2)))*(1+FedEx_Markup),2)</f>
        <v>173.19</v>
      </c>
      <c r="L38" s="295">
        <f>ROUND((IF('Intl Economy Base'!$L$105&gt;ROUND(((1-IntEconomyDiscount-IntEoncomyIncentive)*'Intl Economy Base'!L35),2),ROUND('Intl Economy Base'!$L$105*(1+International_Fuel_Surcharge),2),ROUND(((1-IntEconomyDiscount-IntEoncomyIncentive)*'Intl Economy Base'!L35)*(1+International_Fuel_Surcharge),2)))*(1+FedEx_Markup),2)</f>
        <v>157.01</v>
      </c>
      <c r="M38" s="295">
        <f>ROUND((IF('Intl Economy Base'!$M$105&gt;ROUND(((1-IntEconomyDiscount-IntEoncomyIncentive)*'Intl Economy Base'!M35),2),ROUND('Intl Economy Base'!$M$105*(1+International_Fuel_Surcharge),2),ROUND(((1-IntEconomyDiscount-IntEoncomyIncentive)*'Intl Economy Base'!M35)*(1+International_Fuel_Surcharge),2)))*(1+FedEx_Markup),2)</f>
        <v>221.63</v>
      </c>
      <c r="N38" s="295">
        <f>ROUND((IF('Intl Economy Base'!$N$105&gt;ROUND(((1-IntEconomyDiscount-IntEoncomyIncentive)*'Intl Economy Base'!N35),2),ROUND('Intl Economy Base'!$N$105*(1+International_Fuel_Surcharge),2),ROUND(((1-IntEconomyDiscount-IntEoncomyIncentive)*'Intl Economy Base'!N35)*(1+International_Fuel_Surcharge),2)))*(1+FedEx_Markup),2)</f>
        <v>208.04</v>
      </c>
      <c r="O38" s="295">
        <f>ROUND((IF('Intl Economy Base'!$O$105&gt;ROUND(((1-IntEconomyDiscount-IntEoncomyIncentive)*'Intl Economy Base'!O35),2),ROUND('Intl Economy Base'!$O$105*(1+International_Fuel_Surcharge),2),ROUND(((1-IntEconomyDiscount-IntEoncomyIncentive)*'Intl Economy Base'!O35)*(1+International_Fuel_Surcharge),2)))*(1+FedEx_Markup),2)</f>
        <v>173.97</v>
      </c>
      <c r="P38" s="295">
        <f>ROUND((IF('Intl Economy Base'!$P$105&gt;ROUND(((1-IntEconomyDiscount-IntEoncomyIncentive)*'Intl Economy Base'!P35),2),ROUND('Intl Economy Base'!$P$105*(1+International_Fuel_Surcharge),2),ROUND(((1-IntEconomyDiscount-IntEoncomyIncentive)*'Intl Economy Base'!P35)*(1+International_Fuel_Surcharge),2)))*(1+FedEx_Markup),2)</f>
        <v>164.98</v>
      </c>
      <c r="Q38" s="295">
        <f>ROUND((IF('Intl Economy Base'!$Q$105&gt;ROUND(((1-PuertoRicoDiscount)*'Intl Economy Base'!Q35),2),ROUND('Intl Economy Base'!$Q$105*(1+International_Fuel_Surcharge),2),ROUND(((1-PuertoRicoDiscount)*'Intl Economy Base'!Q35)*(1+International_Fuel_Surcharge),2)))*(1+FedEx_Markup),2)</f>
        <v>190.98</v>
      </c>
      <c r="R38" s="34"/>
      <c r="S38" s="34"/>
      <c r="T38" s="34"/>
      <c r="U38" s="34"/>
      <c r="V38" s="34"/>
      <c r="W38" s="34"/>
      <c r="X38" s="34"/>
      <c r="Y38" s="34"/>
      <c r="Z38" s="34"/>
    </row>
    <row r="39" ht="12.75" customHeight="1">
      <c r="A39" s="294">
        <v>34.0</v>
      </c>
      <c r="B39" s="295">
        <f>ROUND((IF('Intl Economy Base'!$B$105&gt;ROUND(((1-IntEconomyDiscount-IntEoncomyIncentive)*'Intl Economy Base'!B36),2),ROUND('Intl Economy Base'!$B$105*(1+International_Fuel_Surcharge),2),ROUND(((1-IntEconomyDiscount-IntEoncomyIncentive)*'Intl Economy Base'!B36)*(1+International_Fuel_Surcharge),2)))*(1+FedEx_Markup),2)</f>
        <v>75.52</v>
      </c>
      <c r="C39" s="295">
        <f>ROUND((IF('Intl Economy Base'!$C$105&gt;ROUND(((1-IntEconomyDiscount-IntEoncomyIncentive)*'Intl Economy Base'!C36),2),ROUND('Intl Economy Base'!$C$105*(1+International_Fuel_Surcharge),2),ROUND(((1-IntEconomyDiscount-IntEoncomyIncentive)*'Intl Economy Base'!C36)*(1+International_Fuel_Surcharge),2)))*(1+FedEx_Markup),2)</f>
        <v>89.01</v>
      </c>
      <c r="D39" s="295">
        <f>ROUND((IF('Intl Economy Base'!$D$105&gt;ROUND(((1-IntEconomyDiscount-IntEoncomyIncentive)*'Intl Economy Base'!D36),2),ROUND('Intl Economy Base'!$D$105*(1+International_Fuel_Surcharge),2),ROUND(((1-IntEconomyDiscount-IntEoncomyIncentive)*'Intl Economy Base'!D36)*(1+International_Fuel_Surcharge),2)))*(1+FedEx_Markup),2)</f>
        <v>73.57</v>
      </c>
      <c r="E39" s="295">
        <f>ROUND((IF('Intl Economy Base'!$E$105&gt;ROUND(((1-IntEconomyDiscount-IntEoncomyIncentive)*'Intl Economy Base'!E36),2),ROUND('Intl Economy Base'!$E$105*(1+International_Fuel_Surcharge),2),ROUND(((1-IntEconomyDiscount-IntEoncomyIncentive)*'Intl Economy Base'!E36)*(1+International_Fuel_Surcharge),2)))*(1+FedEx_Markup),2)</f>
        <v>123.99</v>
      </c>
      <c r="F39" s="295">
        <f>ROUND((IF('Intl Economy Base'!$F$105&gt;ROUND(((1-IntEconomyDiscount-IntEoncomyIncentive)*'Intl Economy Base'!F36),2),ROUND('Intl Economy Base'!$F$105*(1+International_Fuel_Surcharge),2),ROUND(((1-IntEconomyDiscount-IntEoncomyIncentive)*'Intl Economy Base'!F36)*(1+International_Fuel_Surcharge),2)))*(1+FedEx_Markup),2)</f>
        <v>225.66</v>
      </c>
      <c r="G39" s="295">
        <f>ROUND((IF('Intl Economy Base'!$G$105&gt;ROUND(((1-IntEconomyDiscount-IntEoncomyIncentive)*'Intl Economy Base'!G36),2),ROUND('Intl Economy Base'!$G$105*(1+International_Fuel_Surcharge),2),ROUND(((1-IntEconomyDiscount-IntEoncomyIncentive)*'Intl Economy Base'!G36)*(1+International_Fuel_Surcharge),2)))*(1+FedEx_Markup),2)</f>
        <v>135.54</v>
      </c>
      <c r="H39" s="295">
        <f>ROUND((IF('Intl Economy Base'!$H$105&gt;ROUND(((1-IntEconomyDiscount-IntEoncomyIncentive)*'Intl Economy Base'!H36),2),ROUND('Intl Economy Base'!$H$105*(1+International_Fuel_Surcharge),2),ROUND(((1-IntEconomyDiscount-IntEoncomyIncentive)*'Intl Economy Base'!H36)*(1+International_Fuel_Surcharge),2)))*(1+FedEx_Markup),2)</f>
        <v>130.24</v>
      </c>
      <c r="I39" s="295">
        <f>ROUND((IF('Intl Economy Base'!$I$105&gt;ROUND(((1-IntEconomyDiscount-IntEoncomyIncentive)*'Intl Economy Base'!I36),2),ROUND('Intl Economy Base'!$I$105*(1+International_Fuel_Surcharge),2),ROUND(((1-IntEconomyDiscount-IntEoncomyIncentive)*'Intl Economy Base'!I36)*(1+International_Fuel_Surcharge),2)))*(1+FedEx_Markup),2)</f>
        <v>148.58</v>
      </c>
      <c r="J39" s="295">
        <f>ROUND((IF('Intl Economy Base'!$J$105&gt;ROUND(((1-IntEconomyDiscount-IntEoncomyIncentive)*'Intl Economy Base'!J36),2),ROUND('Intl Economy Base'!$J$105*(1+International_Fuel_Surcharge),2),ROUND(((1-IntEconomyDiscount-IntEoncomyIncentive)*'Intl Economy Base'!J36)*(1+International_Fuel_Surcharge),2)))*(1+FedEx_Markup),2)</f>
        <v>92.75</v>
      </c>
      <c r="K39" s="295">
        <f>ROUND((IF('Intl Economy Base'!$K$105&gt;ROUND(((1-IntEconomyDiscount-IntEoncomyIncentive)*'Intl Economy Base'!K36),2),ROUND('Intl Economy Base'!$K$105*(1+International_Fuel_Surcharge),2),ROUND(((1-IntEconomyDiscount-IntEoncomyIncentive)*'Intl Economy Base'!K36)*(1+International_Fuel_Surcharge),2)))*(1+FedEx_Markup),2)</f>
        <v>173.55</v>
      </c>
      <c r="L39" s="295">
        <f>ROUND((IF('Intl Economy Base'!$L$105&gt;ROUND(((1-IntEconomyDiscount-IntEoncomyIncentive)*'Intl Economy Base'!L36),2),ROUND('Intl Economy Base'!$L$105*(1+International_Fuel_Surcharge),2),ROUND(((1-IntEconomyDiscount-IntEoncomyIncentive)*'Intl Economy Base'!L36)*(1+International_Fuel_Surcharge),2)))*(1+FedEx_Markup),2)</f>
        <v>157.09</v>
      </c>
      <c r="M39" s="295">
        <f>ROUND((IF('Intl Economy Base'!$M$105&gt;ROUND(((1-IntEconomyDiscount-IntEoncomyIncentive)*'Intl Economy Base'!M36),2),ROUND('Intl Economy Base'!$M$105*(1+International_Fuel_Surcharge),2),ROUND(((1-IntEconomyDiscount-IntEoncomyIncentive)*'Intl Economy Base'!M36)*(1+International_Fuel_Surcharge),2)))*(1+FedEx_Markup),2)</f>
        <v>221.84</v>
      </c>
      <c r="N39" s="295">
        <f>ROUND((IF('Intl Economy Base'!$N$105&gt;ROUND(((1-IntEconomyDiscount-IntEoncomyIncentive)*'Intl Economy Base'!N36),2),ROUND('Intl Economy Base'!$N$105*(1+International_Fuel_Surcharge),2),ROUND(((1-IntEconomyDiscount-IntEoncomyIncentive)*'Intl Economy Base'!N36)*(1+International_Fuel_Surcharge),2)))*(1+FedEx_Markup),2)</f>
        <v>208.09</v>
      </c>
      <c r="O39" s="295">
        <f>ROUND((IF('Intl Economy Base'!$O$105&gt;ROUND(((1-IntEconomyDiscount-IntEoncomyIncentive)*'Intl Economy Base'!O36),2),ROUND('Intl Economy Base'!$O$105*(1+International_Fuel_Surcharge),2),ROUND(((1-IntEconomyDiscount-IntEoncomyIncentive)*'Intl Economy Base'!O36)*(1+International_Fuel_Surcharge),2)))*(1+FedEx_Markup),2)</f>
        <v>175.5</v>
      </c>
      <c r="P39" s="295">
        <f>ROUND((IF('Intl Economy Base'!$P$105&gt;ROUND(((1-IntEconomyDiscount-IntEoncomyIncentive)*'Intl Economy Base'!P36),2),ROUND('Intl Economy Base'!$P$105*(1+International_Fuel_Surcharge),2),ROUND(((1-IntEconomyDiscount-IntEoncomyIncentive)*'Intl Economy Base'!P36)*(1+International_Fuel_Surcharge),2)))*(1+FedEx_Markup),2)</f>
        <v>170.83</v>
      </c>
      <c r="Q39" s="295">
        <f>ROUND((IF('Intl Economy Base'!$Q$105&gt;ROUND(((1-PuertoRicoDiscount)*'Intl Economy Base'!Q36),2),ROUND('Intl Economy Base'!$Q$105*(1+International_Fuel_Surcharge),2),ROUND(((1-PuertoRicoDiscount)*'Intl Economy Base'!Q36)*(1+International_Fuel_Surcharge),2)))*(1+FedEx_Markup),2)</f>
        <v>195.96</v>
      </c>
      <c r="R39" s="138"/>
      <c r="S39" s="138"/>
      <c r="T39" s="138"/>
      <c r="U39" s="138"/>
      <c r="V39" s="138"/>
      <c r="W39" s="138"/>
      <c r="X39" s="138"/>
      <c r="Y39" s="138"/>
      <c r="Z39" s="138"/>
    </row>
    <row r="40" ht="12.75" customHeight="1">
      <c r="A40" s="294">
        <v>35.0</v>
      </c>
      <c r="B40" s="295">
        <f>ROUND((IF('Intl Economy Base'!$B$105&gt;ROUND(((1-IntEconomyDiscount-IntEoncomyIncentive)*'Intl Economy Base'!B37),2),ROUND('Intl Economy Base'!$B$105*(1+International_Fuel_Surcharge),2),ROUND(((1-IntEconomyDiscount-IntEoncomyIncentive)*'Intl Economy Base'!B37)*(1+International_Fuel_Surcharge),2)))*(1+FedEx_Markup),2)</f>
        <v>76.12</v>
      </c>
      <c r="C40" s="295">
        <f>ROUND((IF('Intl Economy Base'!$C$105&gt;ROUND(((1-IntEconomyDiscount-IntEoncomyIncentive)*'Intl Economy Base'!C37),2),ROUND('Intl Economy Base'!$C$105*(1+International_Fuel_Surcharge),2),ROUND(((1-IntEconomyDiscount-IntEoncomyIncentive)*'Intl Economy Base'!C37)*(1+International_Fuel_Surcharge),2)))*(1+FedEx_Markup),2)</f>
        <v>89.41</v>
      </c>
      <c r="D40" s="295">
        <f>ROUND((IF('Intl Economy Base'!$D$105&gt;ROUND(((1-IntEconomyDiscount-IntEoncomyIncentive)*'Intl Economy Base'!D37),2),ROUND('Intl Economy Base'!$D$105*(1+International_Fuel_Surcharge),2),ROUND(((1-IntEconomyDiscount-IntEoncomyIncentive)*'Intl Economy Base'!D37)*(1+International_Fuel_Surcharge),2)))*(1+FedEx_Markup),2)</f>
        <v>73.63</v>
      </c>
      <c r="E40" s="295">
        <f>ROUND((IF('Intl Economy Base'!$E$105&gt;ROUND(((1-IntEconomyDiscount-IntEoncomyIncentive)*'Intl Economy Base'!E37),2),ROUND('Intl Economy Base'!$E$105*(1+International_Fuel_Surcharge),2),ROUND(((1-IntEconomyDiscount-IntEoncomyIncentive)*'Intl Economy Base'!E37)*(1+International_Fuel_Surcharge),2)))*(1+FedEx_Markup),2)</f>
        <v>124.06</v>
      </c>
      <c r="F40" s="295">
        <f>ROUND((IF('Intl Economy Base'!$F$105&gt;ROUND(((1-IntEconomyDiscount-IntEoncomyIncentive)*'Intl Economy Base'!F37),2),ROUND('Intl Economy Base'!$F$105*(1+International_Fuel_Surcharge),2),ROUND(((1-IntEconomyDiscount-IntEoncomyIncentive)*'Intl Economy Base'!F37)*(1+International_Fuel_Surcharge),2)))*(1+FedEx_Markup),2)</f>
        <v>225.71</v>
      </c>
      <c r="G40" s="295">
        <f>ROUND((IF('Intl Economy Base'!$G$105&gt;ROUND(((1-IntEconomyDiscount-IntEoncomyIncentive)*'Intl Economy Base'!G37),2),ROUND('Intl Economy Base'!$G$105*(1+International_Fuel_Surcharge),2),ROUND(((1-IntEconomyDiscount-IntEoncomyIncentive)*'Intl Economy Base'!G37)*(1+International_Fuel_Surcharge),2)))*(1+FedEx_Markup),2)</f>
        <v>136.46</v>
      </c>
      <c r="H40" s="295">
        <f>ROUND((IF('Intl Economy Base'!$H$105&gt;ROUND(((1-IntEconomyDiscount-IntEoncomyIncentive)*'Intl Economy Base'!H37),2),ROUND('Intl Economy Base'!$H$105*(1+International_Fuel_Surcharge),2),ROUND(((1-IntEconomyDiscount-IntEoncomyIncentive)*'Intl Economy Base'!H37)*(1+International_Fuel_Surcharge),2)))*(1+FedEx_Markup),2)</f>
        <v>130.79</v>
      </c>
      <c r="I40" s="295">
        <f>ROUND((IF('Intl Economy Base'!$I$105&gt;ROUND(((1-IntEconomyDiscount-IntEoncomyIncentive)*'Intl Economy Base'!I37),2),ROUND('Intl Economy Base'!$I$105*(1+International_Fuel_Surcharge),2),ROUND(((1-IntEconomyDiscount-IntEoncomyIncentive)*'Intl Economy Base'!I37)*(1+International_Fuel_Surcharge),2)))*(1+FedEx_Markup),2)</f>
        <v>151.14</v>
      </c>
      <c r="J40" s="295">
        <f>ROUND((IF('Intl Economy Base'!$J$105&gt;ROUND(((1-IntEconomyDiscount-IntEoncomyIncentive)*'Intl Economy Base'!J37),2),ROUND('Intl Economy Base'!$J$105*(1+International_Fuel_Surcharge),2),ROUND(((1-IntEconomyDiscount-IntEoncomyIncentive)*'Intl Economy Base'!J37)*(1+International_Fuel_Surcharge),2)))*(1+FedEx_Markup),2)</f>
        <v>93.12</v>
      </c>
      <c r="K40" s="295">
        <f>ROUND((IF('Intl Economy Base'!$K$105&gt;ROUND(((1-IntEconomyDiscount-IntEoncomyIncentive)*'Intl Economy Base'!K37),2),ROUND('Intl Economy Base'!$K$105*(1+International_Fuel_Surcharge),2),ROUND(((1-IntEconomyDiscount-IntEoncomyIncentive)*'Intl Economy Base'!K37)*(1+International_Fuel_Surcharge),2)))*(1+FedEx_Markup),2)</f>
        <v>180.69</v>
      </c>
      <c r="L40" s="295">
        <f>ROUND((IF('Intl Economy Base'!$L$105&gt;ROUND(((1-IntEconomyDiscount-IntEoncomyIncentive)*'Intl Economy Base'!L37),2),ROUND('Intl Economy Base'!$L$105*(1+International_Fuel_Surcharge),2),ROUND(((1-IntEconomyDiscount-IntEoncomyIncentive)*'Intl Economy Base'!L37)*(1+International_Fuel_Surcharge),2)))*(1+FedEx_Markup),2)</f>
        <v>157.84</v>
      </c>
      <c r="M40" s="295">
        <f>ROUND((IF('Intl Economy Base'!$M$105&gt;ROUND(((1-IntEconomyDiscount-IntEoncomyIncentive)*'Intl Economy Base'!M37),2),ROUND('Intl Economy Base'!$M$105*(1+International_Fuel_Surcharge),2),ROUND(((1-IntEconomyDiscount-IntEoncomyIncentive)*'Intl Economy Base'!M37)*(1+International_Fuel_Surcharge),2)))*(1+FedEx_Markup),2)</f>
        <v>221.9</v>
      </c>
      <c r="N40" s="295">
        <f>ROUND((IF('Intl Economy Base'!$N$105&gt;ROUND(((1-IntEconomyDiscount-IntEoncomyIncentive)*'Intl Economy Base'!N37),2),ROUND('Intl Economy Base'!$N$105*(1+International_Fuel_Surcharge),2),ROUND(((1-IntEconomyDiscount-IntEoncomyIncentive)*'Intl Economy Base'!N37)*(1+International_Fuel_Surcharge),2)))*(1+FedEx_Markup),2)</f>
        <v>208.16</v>
      </c>
      <c r="O40" s="295">
        <f>ROUND((IF('Intl Economy Base'!$O$105&gt;ROUND(((1-IntEconomyDiscount-IntEoncomyIncentive)*'Intl Economy Base'!O37),2),ROUND('Intl Economy Base'!$O$105*(1+International_Fuel_Surcharge),2),ROUND(((1-IntEconomyDiscount-IntEoncomyIncentive)*'Intl Economy Base'!O37)*(1+International_Fuel_Surcharge),2)))*(1+FedEx_Markup),2)</f>
        <v>176.1</v>
      </c>
      <c r="P40" s="295">
        <f>ROUND((IF('Intl Economy Base'!$P$105&gt;ROUND(((1-IntEconomyDiscount-IntEoncomyIncentive)*'Intl Economy Base'!P37),2),ROUND('Intl Economy Base'!$P$105*(1+International_Fuel_Surcharge),2),ROUND(((1-IntEconomyDiscount-IntEoncomyIncentive)*'Intl Economy Base'!P37)*(1+International_Fuel_Surcharge),2)))*(1+FedEx_Markup),2)</f>
        <v>171.95</v>
      </c>
      <c r="Q40" s="295">
        <f>ROUND((IF('Intl Economy Base'!$Q$105&gt;ROUND(((1-PuertoRicoDiscount)*'Intl Economy Base'!Q37),2),ROUND('Intl Economy Base'!$Q$105*(1+International_Fuel_Surcharge),2),ROUND(((1-PuertoRicoDiscount)*'Intl Economy Base'!Q37)*(1+International_Fuel_Surcharge),2)))*(1+FedEx_Markup),2)</f>
        <v>201.23</v>
      </c>
      <c r="R40" s="138"/>
      <c r="S40" s="138"/>
      <c r="T40" s="138"/>
      <c r="U40" s="138"/>
      <c r="V40" s="138"/>
      <c r="W40" s="138"/>
      <c r="X40" s="138"/>
      <c r="Y40" s="138"/>
      <c r="Z40" s="138"/>
    </row>
    <row r="41" ht="12.75" customHeight="1">
      <c r="A41" s="294">
        <v>36.0</v>
      </c>
      <c r="B41" s="295">
        <f>ROUND((IF('Intl Economy Base'!$B$105&gt;ROUND(((1-IntEconomyDiscount-IntEoncomyIncentive)*'Intl Economy Base'!B38),2),ROUND('Intl Economy Base'!$B$105*(1+International_Fuel_Surcharge),2),ROUND(((1-IntEconomyDiscount-IntEoncomyIncentive)*'Intl Economy Base'!B38)*(1+International_Fuel_Surcharge),2)))*(1+FedEx_Markup),2)</f>
        <v>84.72</v>
      </c>
      <c r="C41" s="295">
        <f>ROUND((IF('Intl Economy Base'!$C$105&gt;ROUND(((1-IntEconomyDiscount-IntEoncomyIncentive)*'Intl Economy Base'!C38),2),ROUND('Intl Economy Base'!$C$105*(1+International_Fuel_Surcharge),2),ROUND(((1-IntEconomyDiscount-IntEoncomyIncentive)*'Intl Economy Base'!C38)*(1+International_Fuel_Surcharge),2)))*(1+FedEx_Markup),2)</f>
        <v>97.45</v>
      </c>
      <c r="D41" s="295">
        <f>ROUND((IF('Intl Economy Base'!$D$105&gt;ROUND(((1-IntEconomyDiscount-IntEoncomyIncentive)*'Intl Economy Base'!D38),2),ROUND('Intl Economy Base'!$D$105*(1+International_Fuel_Surcharge),2),ROUND(((1-IntEconomyDiscount-IntEoncomyIncentive)*'Intl Economy Base'!D38)*(1+International_Fuel_Surcharge),2)))*(1+FedEx_Markup),2)</f>
        <v>74.83</v>
      </c>
      <c r="E41" s="295">
        <f>ROUND((IF('Intl Economy Base'!$E$105&gt;ROUND(((1-IntEconomyDiscount-IntEoncomyIncentive)*'Intl Economy Base'!E38),2),ROUND('Intl Economy Base'!$E$105*(1+International_Fuel_Surcharge),2),ROUND(((1-IntEconomyDiscount-IntEoncomyIncentive)*'Intl Economy Base'!E38)*(1+International_Fuel_Surcharge),2)))*(1+FedEx_Markup),2)</f>
        <v>124.13</v>
      </c>
      <c r="F41" s="295">
        <f>ROUND((IF('Intl Economy Base'!$F$105&gt;ROUND(((1-IntEconomyDiscount-IntEoncomyIncentive)*'Intl Economy Base'!F38),2),ROUND('Intl Economy Base'!$F$105*(1+International_Fuel_Surcharge),2),ROUND(((1-IntEconomyDiscount-IntEoncomyIncentive)*'Intl Economy Base'!F38)*(1+International_Fuel_Surcharge),2)))*(1+FedEx_Markup),2)</f>
        <v>225.77</v>
      </c>
      <c r="G41" s="295">
        <f>ROUND((IF('Intl Economy Base'!$G$105&gt;ROUND(((1-IntEconomyDiscount-IntEoncomyIncentive)*'Intl Economy Base'!G38),2),ROUND('Intl Economy Base'!$G$105*(1+International_Fuel_Surcharge),2),ROUND(((1-IntEconomyDiscount-IntEoncomyIncentive)*'Intl Economy Base'!G38)*(1+International_Fuel_Surcharge),2)))*(1+FedEx_Markup),2)</f>
        <v>136.55</v>
      </c>
      <c r="H41" s="295">
        <f>ROUND((IF('Intl Economy Base'!$H$105&gt;ROUND(((1-IntEconomyDiscount-IntEoncomyIncentive)*'Intl Economy Base'!H38),2),ROUND('Intl Economy Base'!$H$105*(1+International_Fuel_Surcharge),2),ROUND(((1-IntEconomyDiscount-IntEoncomyIncentive)*'Intl Economy Base'!H38)*(1+International_Fuel_Surcharge),2)))*(1+FedEx_Markup),2)</f>
        <v>141.74</v>
      </c>
      <c r="I41" s="295">
        <f>ROUND((IF('Intl Economy Base'!$I$105&gt;ROUND(((1-IntEconomyDiscount-IntEoncomyIncentive)*'Intl Economy Base'!I38),2),ROUND('Intl Economy Base'!$I$105*(1+International_Fuel_Surcharge),2),ROUND(((1-IntEconomyDiscount-IntEoncomyIncentive)*'Intl Economy Base'!I38)*(1+International_Fuel_Surcharge),2)))*(1+FedEx_Markup),2)</f>
        <v>156.88</v>
      </c>
      <c r="J41" s="295">
        <f>ROUND((IF('Intl Economy Base'!$J$105&gt;ROUND(((1-IntEconomyDiscount-IntEoncomyIncentive)*'Intl Economy Base'!J38),2),ROUND('Intl Economy Base'!$J$105*(1+International_Fuel_Surcharge),2),ROUND(((1-IntEconomyDiscount-IntEoncomyIncentive)*'Intl Economy Base'!J38)*(1+International_Fuel_Surcharge),2)))*(1+FedEx_Markup),2)</f>
        <v>93.17</v>
      </c>
      <c r="K41" s="295">
        <f>ROUND((IF('Intl Economy Base'!$K$105&gt;ROUND(((1-IntEconomyDiscount-IntEoncomyIncentive)*'Intl Economy Base'!K38),2),ROUND('Intl Economy Base'!$K$105*(1+International_Fuel_Surcharge),2),ROUND(((1-IntEconomyDiscount-IntEoncomyIncentive)*'Intl Economy Base'!K38)*(1+International_Fuel_Surcharge),2)))*(1+FedEx_Markup),2)</f>
        <v>215.2</v>
      </c>
      <c r="L41" s="295">
        <f>ROUND((IF('Intl Economy Base'!$L$105&gt;ROUND(((1-IntEconomyDiscount-IntEoncomyIncentive)*'Intl Economy Base'!L38),2),ROUND('Intl Economy Base'!$L$105*(1+International_Fuel_Surcharge),2),ROUND(((1-IntEconomyDiscount-IntEoncomyIncentive)*'Intl Economy Base'!L38)*(1+International_Fuel_Surcharge),2)))*(1+FedEx_Markup),2)</f>
        <v>162.44</v>
      </c>
      <c r="M41" s="295">
        <f>ROUND((IF('Intl Economy Base'!$M$105&gt;ROUND(((1-IntEconomyDiscount-IntEoncomyIncentive)*'Intl Economy Base'!M38),2),ROUND('Intl Economy Base'!$M$105*(1+International_Fuel_Surcharge),2),ROUND(((1-IntEconomyDiscount-IntEoncomyIncentive)*'Intl Economy Base'!M38)*(1+International_Fuel_Surcharge),2)))*(1+FedEx_Markup),2)</f>
        <v>222.3</v>
      </c>
      <c r="N41" s="295">
        <f>ROUND((IF('Intl Economy Base'!$N$105&gt;ROUND(((1-IntEconomyDiscount-IntEoncomyIncentive)*'Intl Economy Base'!N38),2),ROUND('Intl Economy Base'!$N$105*(1+International_Fuel_Surcharge),2),ROUND(((1-IntEconomyDiscount-IntEoncomyIncentive)*'Intl Economy Base'!N38)*(1+International_Fuel_Surcharge),2)))*(1+FedEx_Markup),2)</f>
        <v>208.23</v>
      </c>
      <c r="O41" s="295">
        <f>ROUND((IF('Intl Economy Base'!$O$105&gt;ROUND(((1-IntEconomyDiscount-IntEoncomyIncentive)*'Intl Economy Base'!O38),2),ROUND('Intl Economy Base'!$O$105*(1+International_Fuel_Surcharge),2),ROUND(((1-IntEconomyDiscount-IntEoncomyIncentive)*'Intl Economy Base'!O38)*(1+International_Fuel_Surcharge),2)))*(1+FedEx_Markup),2)</f>
        <v>188.05</v>
      </c>
      <c r="P41" s="295">
        <f>ROUND((IF('Intl Economy Base'!$P$105&gt;ROUND(((1-IntEconomyDiscount-IntEoncomyIncentive)*'Intl Economy Base'!P38),2),ROUND('Intl Economy Base'!$P$105*(1+International_Fuel_Surcharge),2),ROUND(((1-IntEconomyDiscount-IntEoncomyIncentive)*'Intl Economy Base'!P38)*(1+International_Fuel_Surcharge),2)))*(1+FedEx_Markup),2)</f>
        <v>172.09</v>
      </c>
      <c r="Q41" s="295">
        <f>ROUND((IF('Intl Economy Base'!$Q$105&gt;ROUND(((1-PuertoRicoDiscount)*'Intl Economy Base'!Q38),2),ROUND('Intl Economy Base'!$Q$105*(1+International_Fuel_Surcharge),2),ROUND(((1-PuertoRicoDiscount)*'Intl Economy Base'!Q38)*(1+International_Fuel_Surcharge),2)))*(1+FedEx_Markup),2)</f>
        <v>210.04</v>
      </c>
      <c r="R41" s="138"/>
      <c r="S41" s="138"/>
      <c r="T41" s="138"/>
      <c r="U41" s="138"/>
      <c r="V41" s="138"/>
      <c r="W41" s="138"/>
      <c r="X41" s="138"/>
      <c r="Y41" s="138"/>
      <c r="Z41" s="138"/>
    </row>
    <row r="42" ht="12.75" customHeight="1">
      <c r="A42" s="294">
        <v>37.0</v>
      </c>
      <c r="B42" s="295">
        <f>ROUND((IF('Intl Economy Base'!$B$105&gt;ROUND(((1-IntEconomyDiscount-IntEoncomyIncentive)*'Intl Economy Base'!B39),2),ROUND('Intl Economy Base'!$B$105*(1+International_Fuel_Surcharge),2),ROUND(((1-IntEconomyDiscount-IntEoncomyIncentive)*'Intl Economy Base'!B39)*(1+International_Fuel_Surcharge),2)))*(1+FedEx_Markup),2)</f>
        <v>85.58</v>
      </c>
      <c r="C42" s="295">
        <f>ROUND((IF('Intl Economy Base'!$C$105&gt;ROUND(((1-IntEconomyDiscount-IntEoncomyIncentive)*'Intl Economy Base'!C39),2),ROUND('Intl Economy Base'!$C$105*(1+International_Fuel_Surcharge),2),ROUND(((1-IntEconomyDiscount-IntEoncomyIncentive)*'Intl Economy Base'!C39)*(1+International_Fuel_Surcharge),2)))*(1+FedEx_Markup),2)</f>
        <v>99.3</v>
      </c>
      <c r="D42" s="295">
        <f>ROUND((IF('Intl Economy Base'!$D$105&gt;ROUND(((1-IntEconomyDiscount-IntEoncomyIncentive)*'Intl Economy Base'!D39),2),ROUND('Intl Economy Base'!$D$105*(1+International_Fuel_Surcharge),2),ROUND(((1-IntEconomyDiscount-IntEoncomyIncentive)*'Intl Economy Base'!D39)*(1+International_Fuel_Surcharge),2)))*(1+FedEx_Markup),2)</f>
        <v>75.06</v>
      </c>
      <c r="E42" s="295">
        <f>ROUND((IF('Intl Economy Base'!$E$105&gt;ROUND(((1-IntEconomyDiscount-IntEoncomyIncentive)*'Intl Economy Base'!E39),2),ROUND('Intl Economy Base'!$E$105*(1+International_Fuel_Surcharge),2),ROUND(((1-IntEconomyDiscount-IntEoncomyIncentive)*'Intl Economy Base'!E39)*(1+International_Fuel_Surcharge),2)))*(1+FedEx_Markup),2)</f>
        <v>124.63</v>
      </c>
      <c r="F42" s="295">
        <f>ROUND((IF('Intl Economy Base'!$F$105&gt;ROUND(((1-IntEconomyDiscount-IntEoncomyIncentive)*'Intl Economy Base'!F39),2),ROUND('Intl Economy Base'!$F$105*(1+International_Fuel_Surcharge),2),ROUND(((1-IntEconomyDiscount-IntEoncomyIncentive)*'Intl Economy Base'!F39)*(1+International_Fuel_Surcharge),2)))*(1+FedEx_Markup),2)</f>
        <v>225.81</v>
      </c>
      <c r="G42" s="295">
        <f>ROUND((IF('Intl Economy Base'!$G$105&gt;ROUND(((1-IntEconomyDiscount-IntEoncomyIncentive)*'Intl Economy Base'!G39),2),ROUND('Intl Economy Base'!$G$105*(1+International_Fuel_Surcharge),2),ROUND(((1-IntEconomyDiscount-IntEoncomyIncentive)*'Intl Economy Base'!G39)*(1+International_Fuel_Surcharge),2)))*(1+FedEx_Markup),2)</f>
        <v>136.62</v>
      </c>
      <c r="H42" s="295">
        <f>ROUND((IF('Intl Economy Base'!$H$105&gt;ROUND(((1-IntEconomyDiscount-IntEoncomyIncentive)*'Intl Economy Base'!H39),2),ROUND('Intl Economy Base'!$H$105*(1+International_Fuel_Surcharge),2),ROUND(((1-IntEconomyDiscount-IntEoncomyIncentive)*'Intl Economy Base'!H39)*(1+International_Fuel_Surcharge),2)))*(1+FedEx_Markup),2)</f>
        <v>142.83</v>
      </c>
      <c r="I42" s="295">
        <f>ROUND((IF('Intl Economy Base'!$I$105&gt;ROUND(((1-IntEconomyDiscount-IntEoncomyIncentive)*'Intl Economy Base'!I39),2),ROUND('Intl Economy Base'!$I$105*(1+International_Fuel_Surcharge),2),ROUND(((1-IntEconomyDiscount-IntEoncomyIncentive)*'Intl Economy Base'!I39)*(1+International_Fuel_Surcharge),2)))*(1+FedEx_Markup),2)</f>
        <v>157.64</v>
      </c>
      <c r="J42" s="295">
        <f>ROUND((IF('Intl Economy Base'!$J$105&gt;ROUND(((1-IntEconomyDiscount-IntEoncomyIncentive)*'Intl Economy Base'!J39),2),ROUND('Intl Economy Base'!$J$105*(1+International_Fuel_Surcharge),2),ROUND(((1-IntEconomyDiscount-IntEoncomyIncentive)*'Intl Economy Base'!J39)*(1+International_Fuel_Surcharge),2)))*(1+FedEx_Markup),2)</f>
        <v>93.31</v>
      </c>
      <c r="K42" s="295">
        <f>ROUND((IF('Intl Economy Base'!$K$105&gt;ROUND(((1-IntEconomyDiscount-IntEoncomyIncentive)*'Intl Economy Base'!K39),2),ROUND('Intl Economy Base'!$K$105*(1+International_Fuel_Surcharge),2),ROUND(((1-IntEconomyDiscount-IntEoncomyIncentive)*'Intl Economy Base'!K39)*(1+International_Fuel_Surcharge),2)))*(1+FedEx_Markup),2)</f>
        <v>218.65</v>
      </c>
      <c r="L42" s="295">
        <f>ROUND((IF('Intl Economy Base'!$L$105&gt;ROUND(((1-IntEconomyDiscount-IntEoncomyIncentive)*'Intl Economy Base'!L39),2),ROUND('Intl Economy Base'!$L$105*(1+International_Fuel_Surcharge),2),ROUND(((1-IntEconomyDiscount-IntEoncomyIncentive)*'Intl Economy Base'!L39)*(1+International_Fuel_Surcharge),2)))*(1+FedEx_Markup),2)</f>
        <v>162.9</v>
      </c>
      <c r="M42" s="295">
        <f>ROUND((IF('Intl Economy Base'!$M$105&gt;ROUND(((1-IntEconomyDiscount-IntEoncomyIncentive)*'Intl Economy Base'!M39),2),ROUND('Intl Economy Base'!$M$105*(1+International_Fuel_Surcharge),2),ROUND(((1-IntEconomyDiscount-IntEoncomyIncentive)*'Intl Economy Base'!M39)*(1+International_Fuel_Surcharge),2)))*(1+FedEx_Markup),2)</f>
        <v>222.72</v>
      </c>
      <c r="N42" s="295">
        <f>ROUND((IF('Intl Economy Base'!$N$105&gt;ROUND(((1-IntEconomyDiscount-IntEoncomyIncentive)*'Intl Economy Base'!N39),2),ROUND('Intl Economy Base'!$N$105*(1+International_Fuel_Surcharge),2),ROUND(((1-IntEconomyDiscount-IntEoncomyIncentive)*'Intl Economy Base'!N39)*(1+International_Fuel_Surcharge),2)))*(1+FedEx_Markup),2)</f>
        <v>208.99</v>
      </c>
      <c r="O42" s="295">
        <f>ROUND((IF('Intl Economy Base'!$O$105&gt;ROUND(((1-IntEconomyDiscount-IntEoncomyIncentive)*'Intl Economy Base'!O39),2),ROUND('Intl Economy Base'!$O$105*(1+International_Fuel_Surcharge),2),ROUND(((1-IntEconomyDiscount-IntEoncomyIncentive)*'Intl Economy Base'!O39)*(1+International_Fuel_Surcharge),2)))*(1+FedEx_Markup),2)</f>
        <v>189.26</v>
      </c>
      <c r="P42" s="295">
        <f>ROUND((IF('Intl Economy Base'!$P$105&gt;ROUND(((1-IntEconomyDiscount-IntEoncomyIncentive)*'Intl Economy Base'!P39),2),ROUND('Intl Economy Base'!$P$105*(1+International_Fuel_Surcharge),2),ROUND(((1-IntEconomyDiscount-IntEoncomyIncentive)*'Intl Economy Base'!P39)*(1+International_Fuel_Surcharge),2)))*(1+FedEx_Markup),2)</f>
        <v>174.8</v>
      </c>
      <c r="Q42" s="295">
        <f>ROUND((IF('Intl Economy Base'!$Q$105&gt;ROUND(((1-PuertoRicoDiscount)*'Intl Economy Base'!Q39),2),ROUND('Intl Economy Base'!$Q$105*(1+International_Fuel_Surcharge),2),ROUND(((1-PuertoRicoDiscount)*'Intl Economy Base'!Q39)*(1+International_Fuel_Surcharge),2)))*(1+FedEx_Markup),2)</f>
        <v>215.34</v>
      </c>
      <c r="R42" s="138"/>
      <c r="S42" s="138"/>
      <c r="T42" s="138"/>
      <c r="U42" s="138"/>
      <c r="V42" s="138"/>
      <c r="W42" s="138"/>
      <c r="X42" s="138"/>
      <c r="Y42" s="138"/>
      <c r="Z42" s="138"/>
    </row>
    <row r="43" ht="12.75" customHeight="1">
      <c r="A43" s="294">
        <v>38.0</v>
      </c>
      <c r="B43" s="295">
        <f>ROUND((IF('Intl Economy Base'!$B$105&gt;ROUND(((1-IntEconomyDiscount-IntEoncomyIncentive)*'Intl Economy Base'!B40),2),ROUND('Intl Economy Base'!$B$105*(1+International_Fuel_Surcharge),2),ROUND(((1-IntEconomyDiscount-IntEoncomyIncentive)*'Intl Economy Base'!B40)*(1+International_Fuel_Surcharge),2)))*(1+FedEx_Markup),2)</f>
        <v>88.04</v>
      </c>
      <c r="C43" s="295">
        <f>ROUND((IF('Intl Economy Base'!$C$105&gt;ROUND(((1-IntEconomyDiscount-IntEoncomyIncentive)*'Intl Economy Base'!C40),2),ROUND('Intl Economy Base'!$C$105*(1+International_Fuel_Surcharge),2),ROUND(((1-IntEconomyDiscount-IntEoncomyIncentive)*'Intl Economy Base'!C40)*(1+International_Fuel_Surcharge),2)))*(1+FedEx_Markup),2)</f>
        <v>101.14</v>
      </c>
      <c r="D43" s="295">
        <f>ROUND((IF('Intl Economy Base'!$D$105&gt;ROUND(((1-IntEconomyDiscount-IntEoncomyIncentive)*'Intl Economy Base'!D40),2),ROUND('Intl Economy Base'!$D$105*(1+International_Fuel_Surcharge),2),ROUND(((1-IntEconomyDiscount-IntEoncomyIncentive)*'Intl Economy Base'!D40)*(1+International_Fuel_Surcharge),2)))*(1+FedEx_Markup),2)</f>
        <v>75.9</v>
      </c>
      <c r="E43" s="295">
        <f>ROUND((IF('Intl Economy Base'!$E$105&gt;ROUND(((1-IntEconomyDiscount-IntEoncomyIncentive)*'Intl Economy Base'!E40),2),ROUND('Intl Economy Base'!$E$105*(1+International_Fuel_Surcharge),2),ROUND(((1-IntEconomyDiscount-IntEoncomyIncentive)*'Intl Economy Base'!E40)*(1+International_Fuel_Surcharge),2)))*(1+FedEx_Markup),2)</f>
        <v>127.12</v>
      </c>
      <c r="F43" s="295">
        <f>ROUND((IF('Intl Economy Base'!$F$105&gt;ROUND(((1-IntEconomyDiscount-IntEoncomyIncentive)*'Intl Economy Base'!F40),2),ROUND('Intl Economy Base'!$F$105*(1+International_Fuel_Surcharge),2),ROUND(((1-IntEconomyDiscount-IntEoncomyIncentive)*'Intl Economy Base'!F40)*(1+International_Fuel_Surcharge),2)))*(1+FedEx_Markup),2)</f>
        <v>225.91</v>
      </c>
      <c r="G43" s="295">
        <f>ROUND((IF('Intl Economy Base'!$G$105&gt;ROUND(((1-IntEconomyDiscount-IntEoncomyIncentive)*'Intl Economy Base'!G40),2),ROUND('Intl Economy Base'!$G$105*(1+International_Fuel_Surcharge),2),ROUND(((1-IntEconomyDiscount-IntEoncomyIncentive)*'Intl Economy Base'!G40)*(1+International_Fuel_Surcharge),2)))*(1+FedEx_Markup),2)</f>
        <v>136.7</v>
      </c>
      <c r="H43" s="295">
        <f>ROUND((IF('Intl Economy Base'!$H$105&gt;ROUND(((1-IntEconomyDiscount-IntEoncomyIncentive)*'Intl Economy Base'!H40),2),ROUND('Intl Economy Base'!$H$105*(1+International_Fuel_Surcharge),2),ROUND(((1-IntEconomyDiscount-IntEoncomyIncentive)*'Intl Economy Base'!H40)*(1+International_Fuel_Surcharge),2)))*(1+FedEx_Markup),2)</f>
        <v>145.3</v>
      </c>
      <c r="I43" s="295">
        <f>ROUND((IF('Intl Economy Base'!$I$105&gt;ROUND(((1-IntEconomyDiscount-IntEoncomyIncentive)*'Intl Economy Base'!I40),2),ROUND('Intl Economy Base'!$I$105*(1+International_Fuel_Surcharge),2),ROUND(((1-IntEconomyDiscount-IntEoncomyIncentive)*'Intl Economy Base'!I40)*(1+International_Fuel_Surcharge),2)))*(1+FedEx_Markup),2)</f>
        <v>157.98</v>
      </c>
      <c r="J43" s="295">
        <f>ROUND((IF('Intl Economy Base'!$J$105&gt;ROUND(((1-IntEconomyDiscount-IntEoncomyIncentive)*'Intl Economy Base'!J40),2),ROUND('Intl Economy Base'!$J$105*(1+International_Fuel_Surcharge),2),ROUND(((1-IntEconomyDiscount-IntEoncomyIncentive)*'Intl Economy Base'!J40)*(1+International_Fuel_Surcharge),2)))*(1+FedEx_Markup),2)</f>
        <v>93.37</v>
      </c>
      <c r="K43" s="295">
        <f>ROUND((IF('Intl Economy Base'!$K$105&gt;ROUND(((1-IntEconomyDiscount-IntEoncomyIncentive)*'Intl Economy Base'!K40),2),ROUND('Intl Economy Base'!$K$105*(1+International_Fuel_Surcharge),2),ROUND(((1-IntEconomyDiscount-IntEoncomyIncentive)*'Intl Economy Base'!K40)*(1+International_Fuel_Surcharge),2)))*(1+FedEx_Markup),2)</f>
        <v>225.87</v>
      </c>
      <c r="L43" s="295">
        <f>ROUND((IF('Intl Economy Base'!$L$105&gt;ROUND(((1-IntEconomyDiscount-IntEoncomyIncentive)*'Intl Economy Base'!L40),2),ROUND('Intl Economy Base'!$L$105*(1+International_Fuel_Surcharge),2),ROUND(((1-IntEconomyDiscount-IntEoncomyIncentive)*'Intl Economy Base'!L40)*(1+International_Fuel_Surcharge),2)))*(1+FedEx_Markup),2)</f>
        <v>166.75</v>
      </c>
      <c r="M43" s="295">
        <f>ROUND((IF('Intl Economy Base'!$M$105&gt;ROUND(((1-IntEconomyDiscount-IntEoncomyIncentive)*'Intl Economy Base'!M40),2),ROUND('Intl Economy Base'!$M$105*(1+International_Fuel_Surcharge),2),ROUND(((1-IntEconomyDiscount-IntEoncomyIncentive)*'Intl Economy Base'!M40)*(1+International_Fuel_Surcharge),2)))*(1+FedEx_Markup),2)</f>
        <v>231.05</v>
      </c>
      <c r="N43" s="295">
        <f>ROUND((IF('Intl Economy Base'!$N$105&gt;ROUND(((1-IntEconomyDiscount-IntEoncomyIncentive)*'Intl Economy Base'!N40),2),ROUND('Intl Economy Base'!$N$105*(1+International_Fuel_Surcharge),2),ROUND(((1-IntEconomyDiscount-IntEoncomyIncentive)*'Intl Economy Base'!N40)*(1+International_Fuel_Surcharge),2)))*(1+FedEx_Markup),2)</f>
        <v>213.5</v>
      </c>
      <c r="O43" s="295">
        <f>ROUND((IF('Intl Economy Base'!$O$105&gt;ROUND(((1-IntEconomyDiscount-IntEoncomyIncentive)*'Intl Economy Base'!O40),2),ROUND('Intl Economy Base'!$O$105*(1+International_Fuel_Surcharge),2),ROUND(((1-IntEconomyDiscount-IntEoncomyIncentive)*'Intl Economy Base'!O40)*(1+International_Fuel_Surcharge),2)))*(1+FedEx_Markup),2)</f>
        <v>189.38</v>
      </c>
      <c r="P43" s="295">
        <f>ROUND((IF('Intl Economy Base'!$P$105&gt;ROUND(((1-IntEconomyDiscount-IntEoncomyIncentive)*'Intl Economy Base'!P40),2),ROUND('Intl Economy Base'!$P$105*(1+International_Fuel_Surcharge),2),ROUND(((1-IntEconomyDiscount-IntEoncomyIncentive)*'Intl Economy Base'!P40)*(1+International_Fuel_Surcharge),2)))*(1+FedEx_Markup),2)</f>
        <v>177.31</v>
      </c>
      <c r="Q43" s="295">
        <f>ROUND((IF('Intl Economy Base'!$Q$105&gt;ROUND(((1-PuertoRicoDiscount)*'Intl Economy Base'!Q40),2),ROUND('Intl Economy Base'!$Q$105*(1+International_Fuel_Surcharge),2),ROUND(((1-PuertoRicoDiscount)*'Intl Economy Base'!Q40)*(1+International_Fuel_Surcharge),2)))*(1+FedEx_Markup),2)</f>
        <v>220.42</v>
      </c>
      <c r="R43" s="138"/>
      <c r="S43" s="138"/>
      <c r="T43" s="138"/>
      <c r="U43" s="138"/>
      <c r="V43" s="138"/>
      <c r="W43" s="138"/>
      <c r="X43" s="138"/>
      <c r="Y43" s="138"/>
      <c r="Z43" s="138"/>
    </row>
    <row r="44" ht="12.75" customHeight="1">
      <c r="A44" s="294">
        <v>39.0</v>
      </c>
      <c r="B44" s="295">
        <f>ROUND((IF('Intl Economy Base'!$B$105&gt;ROUND(((1-IntEconomyDiscount-IntEoncomyIncentive)*'Intl Economy Base'!B41),2),ROUND('Intl Economy Base'!$B$105*(1+International_Fuel_Surcharge),2),ROUND(((1-IntEconomyDiscount-IntEoncomyIncentive)*'Intl Economy Base'!B41)*(1+International_Fuel_Surcharge),2)))*(1+FedEx_Markup),2)</f>
        <v>89.7</v>
      </c>
      <c r="C44" s="295">
        <f>ROUND((IF('Intl Economy Base'!$C$105&gt;ROUND(((1-IntEconomyDiscount-IntEoncomyIncentive)*'Intl Economy Base'!C41),2),ROUND('Intl Economy Base'!$C$105*(1+International_Fuel_Surcharge),2),ROUND(((1-IntEconomyDiscount-IntEoncomyIncentive)*'Intl Economy Base'!C41)*(1+International_Fuel_Surcharge),2)))*(1+FedEx_Markup),2)</f>
        <v>102.98</v>
      </c>
      <c r="D44" s="295">
        <f>ROUND((IF('Intl Economy Base'!$D$105&gt;ROUND(((1-IntEconomyDiscount-IntEoncomyIncentive)*'Intl Economy Base'!D41),2),ROUND('Intl Economy Base'!$D$105*(1+International_Fuel_Surcharge),2),ROUND(((1-IntEconomyDiscount-IntEoncomyIncentive)*'Intl Economy Base'!D41)*(1+International_Fuel_Surcharge),2)))*(1+FedEx_Markup),2)</f>
        <v>76.41</v>
      </c>
      <c r="E44" s="295">
        <f>ROUND((IF('Intl Economy Base'!$E$105&gt;ROUND(((1-IntEconomyDiscount-IntEoncomyIncentive)*'Intl Economy Base'!E41),2),ROUND('Intl Economy Base'!$E$105*(1+International_Fuel_Surcharge),2),ROUND(((1-IntEconomyDiscount-IntEoncomyIncentive)*'Intl Economy Base'!E41)*(1+International_Fuel_Surcharge),2)))*(1+FedEx_Markup),2)</f>
        <v>140.32</v>
      </c>
      <c r="F44" s="295">
        <f>ROUND((IF('Intl Economy Base'!$F$105&gt;ROUND(((1-IntEconomyDiscount-IntEoncomyIncentive)*'Intl Economy Base'!F41),2),ROUND('Intl Economy Base'!$F$105*(1+International_Fuel_Surcharge),2),ROUND(((1-IntEconomyDiscount-IntEoncomyIncentive)*'Intl Economy Base'!F41)*(1+International_Fuel_Surcharge),2)))*(1+FedEx_Markup),2)</f>
        <v>227.6</v>
      </c>
      <c r="G44" s="295">
        <f>ROUND((IF('Intl Economy Base'!$G$105&gt;ROUND(((1-IntEconomyDiscount-IntEoncomyIncentive)*'Intl Economy Base'!G41),2),ROUND('Intl Economy Base'!$G$105*(1+International_Fuel_Surcharge),2),ROUND(((1-IntEconomyDiscount-IntEoncomyIncentive)*'Intl Economy Base'!G41)*(1+International_Fuel_Surcharge),2)))*(1+FedEx_Markup),2)</f>
        <v>136.76</v>
      </c>
      <c r="H44" s="295">
        <f>ROUND((IF('Intl Economy Base'!$H$105&gt;ROUND(((1-IntEconomyDiscount-IntEoncomyIncentive)*'Intl Economy Base'!H41),2),ROUND('Intl Economy Base'!$H$105*(1+International_Fuel_Surcharge),2),ROUND(((1-IntEconomyDiscount-IntEoncomyIncentive)*'Intl Economy Base'!H41)*(1+International_Fuel_Surcharge),2)))*(1+FedEx_Markup),2)</f>
        <v>147.3</v>
      </c>
      <c r="I44" s="295">
        <f>ROUND((IF('Intl Economy Base'!$I$105&gt;ROUND(((1-IntEconomyDiscount-IntEoncomyIncentive)*'Intl Economy Base'!I41),2),ROUND('Intl Economy Base'!$I$105*(1+International_Fuel_Surcharge),2),ROUND(((1-IntEconomyDiscount-IntEoncomyIncentive)*'Intl Economy Base'!I41)*(1+International_Fuel_Surcharge),2)))*(1+FedEx_Markup),2)</f>
        <v>164.46</v>
      </c>
      <c r="J44" s="295">
        <f>ROUND((IF('Intl Economy Base'!$J$105&gt;ROUND(((1-IntEconomyDiscount-IntEoncomyIncentive)*'Intl Economy Base'!J41),2),ROUND('Intl Economy Base'!$J$105*(1+International_Fuel_Surcharge),2),ROUND(((1-IntEconomyDiscount-IntEoncomyIncentive)*'Intl Economy Base'!J41)*(1+International_Fuel_Surcharge),2)))*(1+FedEx_Markup),2)</f>
        <v>93.81</v>
      </c>
      <c r="K44" s="295">
        <f>ROUND((IF('Intl Economy Base'!$K$105&gt;ROUND(((1-IntEconomyDiscount-IntEoncomyIncentive)*'Intl Economy Base'!K41),2),ROUND('Intl Economy Base'!$K$105*(1+International_Fuel_Surcharge),2),ROUND(((1-IntEconomyDiscount-IntEoncomyIncentive)*'Intl Economy Base'!K41)*(1+International_Fuel_Surcharge),2)))*(1+FedEx_Markup),2)</f>
        <v>232.22</v>
      </c>
      <c r="L44" s="295">
        <f>ROUND((IF('Intl Economy Base'!$L$105&gt;ROUND(((1-IntEconomyDiscount-IntEoncomyIncentive)*'Intl Economy Base'!L41),2),ROUND('Intl Economy Base'!$L$105*(1+International_Fuel_Surcharge),2),ROUND(((1-IntEconomyDiscount-IntEoncomyIncentive)*'Intl Economy Base'!L41)*(1+International_Fuel_Surcharge),2)))*(1+FedEx_Markup),2)</f>
        <v>182.19</v>
      </c>
      <c r="M44" s="295">
        <f>ROUND((IF('Intl Economy Base'!$M$105&gt;ROUND(((1-IntEconomyDiscount-IntEoncomyIncentive)*'Intl Economy Base'!M41),2),ROUND('Intl Economy Base'!$M$105*(1+International_Fuel_Surcharge),2),ROUND(((1-IntEconomyDiscount-IntEoncomyIncentive)*'Intl Economy Base'!M41)*(1+International_Fuel_Surcharge),2)))*(1+FedEx_Markup),2)</f>
        <v>254.48</v>
      </c>
      <c r="N44" s="295">
        <f>ROUND((IF('Intl Economy Base'!$N$105&gt;ROUND(((1-IntEconomyDiscount-IntEoncomyIncentive)*'Intl Economy Base'!N41),2),ROUND('Intl Economy Base'!$N$105*(1+International_Fuel_Surcharge),2),ROUND(((1-IntEconomyDiscount-IntEoncomyIncentive)*'Intl Economy Base'!N41)*(1+International_Fuel_Surcharge),2)))*(1+FedEx_Markup),2)</f>
        <v>219.39</v>
      </c>
      <c r="O44" s="295">
        <f>ROUND((IF('Intl Economy Base'!$O$105&gt;ROUND(((1-IntEconomyDiscount-IntEoncomyIncentive)*'Intl Economy Base'!O41),2),ROUND('Intl Economy Base'!$O$105*(1+International_Fuel_Surcharge),2),ROUND(((1-IntEconomyDiscount-IntEoncomyIncentive)*'Intl Economy Base'!O41)*(1+International_Fuel_Surcharge),2)))*(1+FedEx_Markup),2)</f>
        <v>189.44</v>
      </c>
      <c r="P44" s="295">
        <f>ROUND((IF('Intl Economy Base'!$P$105&gt;ROUND(((1-IntEconomyDiscount-IntEoncomyIncentive)*'Intl Economy Base'!P41),2),ROUND('Intl Economy Base'!$P$105*(1+International_Fuel_Surcharge),2),ROUND(((1-IntEconomyDiscount-IntEoncomyIncentive)*'Intl Economy Base'!P41)*(1+International_Fuel_Surcharge),2)))*(1+FedEx_Markup),2)</f>
        <v>185.14</v>
      </c>
      <c r="Q44" s="295">
        <f>ROUND((IF('Intl Economy Base'!$Q$105&gt;ROUND(((1-PuertoRicoDiscount)*'Intl Economy Base'!Q41),2),ROUND('Intl Economy Base'!$Q$105*(1+International_Fuel_Surcharge),2),ROUND(((1-PuertoRicoDiscount)*'Intl Economy Base'!Q41)*(1+International_Fuel_Surcharge),2)))*(1+FedEx_Markup),2)</f>
        <v>225.54</v>
      </c>
      <c r="R44" s="138"/>
      <c r="S44" s="138"/>
      <c r="T44" s="138"/>
      <c r="U44" s="138"/>
      <c r="V44" s="138"/>
      <c r="W44" s="138"/>
      <c r="X44" s="138"/>
      <c r="Y44" s="138"/>
      <c r="Z44" s="138"/>
    </row>
    <row r="45" ht="12.75" customHeight="1">
      <c r="A45" s="294">
        <v>40.0</v>
      </c>
      <c r="B45" s="295">
        <f>ROUND((IF('Intl Economy Base'!$B$105&gt;ROUND(((1-IntEconomyDiscount-IntEoncomyIncentive)*'Intl Economy Base'!B42),2),ROUND('Intl Economy Base'!$B$105*(1+International_Fuel_Surcharge),2),ROUND(((1-IntEconomyDiscount-IntEoncomyIncentive)*'Intl Economy Base'!B42)*(1+International_Fuel_Surcharge),2)))*(1+FedEx_Markup),2)</f>
        <v>91.36</v>
      </c>
      <c r="C45" s="295">
        <f>ROUND((IF('Intl Economy Base'!$C$105&gt;ROUND(((1-IntEconomyDiscount-IntEoncomyIncentive)*'Intl Economy Base'!C42),2),ROUND('Intl Economy Base'!$C$105*(1+International_Fuel_Surcharge),2),ROUND(((1-IntEconomyDiscount-IntEoncomyIncentive)*'Intl Economy Base'!C42)*(1+International_Fuel_Surcharge),2)))*(1+FedEx_Markup),2)</f>
        <v>105.78</v>
      </c>
      <c r="D45" s="295">
        <f>ROUND((IF('Intl Economy Base'!$D$105&gt;ROUND(((1-IntEconomyDiscount-IntEoncomyIncentive)*'Intl Economy Base'!D42),2),ROUND('Intl Economy Base'!$D$105*(1+International_Fuel_Surcharge),2),ROUND(((1-IntEconomyDiscount-IntEoncomyIncentive)*'Intl Economy Base'!D42)*(1+International_Fuel_Surcharge),2)))*(1+FedEx_Markup),2)</f>
        <v>76.46</v>
      </c>
      <c r="E45" s="295">
        <f>ROUND((IF('Intl Economy Base'!$E$105&gt;ROUND(((1-IntEconomyDiscount-IntEoncomyIncentive)*'Intl Economy Base'!E42),2),ROUND('Intl Economy Base'!$E$105*(1+International_Fuel_Surcharge),2),ROUND(((1-IntEconomyDiscount-IntEoncomyIncentive)*'Intl Economy Base'!E42)*(1+International_Fuel_Surcharge),2)))*(1+FedEx_Markup),2)</f>
        <v>141.65</v>
      </c>
      <c r="F45" s="295">
        <f>ROUND((IF('Intl Economy Base'!$F$105&gt;ROUND(((1-IntEconomyDiscount-IntEoncomyIncentive)*'Intl Economy Base'!F42),2),ROUND('Intl Economy Base'!$F$105*(1+International_Fuel_Surcharge),2),ROUND(((1-IntEconomyDiscount-IntEoncomyIncentive)*'Intl Economy Base'!F42)*(1+International_Fuel_Surcharge),2)))*(1+FedEx_Markup),2)</f>
        <v>261.18</v>
      </c>
      <c r="G45" s="295">
        <f>ROUND((IF('Intl Economy Base'!$G$105&gt;ROUND(((1-IntEconomyDiscount-IntEoncomyIncentive)*'Intl Economy Base'!G42),2),ROUND('Intl Economy Base'!$G$105*(1+International_Fuel_Surcharge),2),ROUND(((1-IntEconomyDiscount-IntEoncomyIncentive)*'Intl Economy Base'!G42)*(1+International_Fuel_Surcharge),2)))*(1+FedEx_Markup),2)</f>
        <v>136.94</v>
      </c>
      <c r="H45" s="295">
        <f>ROUND((IF('Intl Economy Base'!$H$105&gt;ROUND(((1-IntEconomyDiscount-IntEoncomyIncentive)*'Intl Economy Base'!H42),2),ROUND('Intl Economy Base'!$H$105*(1+International_Fuel_Surcharge),2),ROUND(((1-IntEconomyDiscount-IntEoncomyIncentive)*'Intl Economy Base'!H42)*(1+International_Fuel_Surcharge),2)))*(1+FedEx_Markup),2)</f>
        <v>147.82</v>
      </c>
      <c r="I45" s="295">
        <f>ROUND((IF('Intl Economy Base'!$I$105&gt;ROUND(((1-IntEconomyDiscount-IntEoncomyIncentive)*'Intl Economy Base'!I42),2),ROUND('Intl Economy Base'!$I$105*(1+International_Fuel_Surcharge),2),ROUND(((1-IntEconomyDiscount-IntEoncomyIncentive)*'Intl Economy Base'!I42)*(1+International_Fuel_Surcharge),2)))*(1+FedEx_Markup),2)</f>
        <v>172.05</v>
      </c>
      <c r="J45" s="295">
        <f>ROUND((IF('Intl Economy Base'!$J$105&gt;ROUND(((1-IntEconomyDiscount-IntEoncomyIncentive)*'Intl Economy Base'!J42),2),ROUND('Intl Economy Base'!$J$105*(1+International_Fuel_Surcharge),2),ROUND(((1-IntEconomyDiscount-IntEoncomyIncentive)*'Intl Economy Base'!J42)*(1+International_Fuel_Surcharge),2)))*(1+FedEx_Markup),2)</f>
        <v>102.55</v>
      </c>
      <c r="K45" s="295">
        <f>ROUND((IF('Intl Economy Base'!$K$105&gt;ROUND(((1-IntEconomyDiscount-IntEoncomyIncentive)*'Intl Economy Base'!K42),2),ROUND('Intl Economy Base'!$K$105*(1+International_Fuel_Surcharge),2),ROUND(((1-IntEconomyDiscount-IntEoncomyIncentive)*'Intl Economy Base'!K42)*(1+International_Fuel_Surcharge),2)))*(1+FedEx_Markup),2)</f>
        <v>233.06</v>
      </c>
      <c r="L45" s="295">
        <f>ROUND((IF('Intl Economy Base'!$L$105&gt;ROUND(((1-IntEconomyDiscount-IntEoncomyIncentive)*'Intl Economy Base'!L42),2),ROUND('Intl Economy Base'!$L$105*(1+International_Fuel_Surcharge),2),ROUND(((1-IntEconomyDiscount-IntEoncomyIncentive)*'Intl Economy Base'!L42)*(1+International_Fuel_Surcharge),2)))*(1+FedEx_Markup),2)</f>
        <v>183.74</v>
      </c>
      <c r="M45" s="295">
        <f>ROUND((IF('Intl Economy Base'!$M$105&gt;ROUND(((1-IntEconomyDiscount-IntEoncomyIncentive)*'Intl Economy Base'!M42),2),ROUND('Intl Economy Base'!$M$105*(1+International_Fuel_Surcharge),2),ROUND(((1-IntEconomyDiscount-IntEoncomyIncentive)*'Intl Economy Base'!M42)*(1+International_Fuel_Surcharge),2)))*(1+FedEx_Markup),2)</f>
        <v>256.83</v>
      </c>
      <c r="N45" s="295">
        <f>ROUND((IF('Intl Economy Base'!$N$105&gt;ROUND(((1-IntEconomyDiscount-IntEoncomyIncentive)*'Intl Economy Base'!N42),2),ROUND('Intl Economy Base'!$N$105*(1+International_Fuel_Surcharge),2),ROUND(((1-IntEconomyDiscount-IntEoncomyIncentive)*'Intl Economy Base'!N42)*(1+International_Fuel_Surcharge),2)))*(1+FedEx_Markup),2)</f>
        <v>238.31</v>
      </c>
      <c r="O45" s="295">
        <f>ROUND((IF('Intl Economy Base'!$O$105&gt;ROUND(((1-IntEconomyDiscount-IntEoncomyIncentive)*'Intl Economy Base'!O42),2),ROUND('Intl Economy Base'!$O$105*(1+International_Fuel_Surcharge),2),ROUND(((1-IntEconomyDiscount-IntEoncomyIncentive)*'Intl Economy Base'!O42)*(1+International_Fuel_Surcharge),2)))*(1+FedEx_Markup),2)</f>
        <v>190.29</v>
      </c>
      <c r="P45" s="295">
        <f>ROUND((IF('Intl Economy Base'!$P$105&gt;ROUND(((1-IntEconomyDiscount-IntEoncomyIncentive)*'Intl Economy Base'!P42),2),ROUND('Intl Economy Base'!$P$105*(1+International_Fuel_Surcharge),2),ROUND(((1-IntEconomyDiscount-IntEoncomyIncentive)*'Intl Economy Base'!P42)*(1+International_Fuel_Surcharge),2)))*(1+FedEx_Markup),2)</f>
        <v>193.65</v>
      </c>
      <c r="Q45" s="295">
        <f>ROUND((IF('Intl Economy Base'!$Q$105&gt;ROUND(((1-PuertoRicoDiscount)*'Intl Economy Base'!Q42),2),ROUND('Intl Economy Base'!$Q$105*(1+International_Fuel_Surcharge),2),ROUND(((1-PuertoRicoDiscount)*'Intl Economy Base'!Q42)*(1+International_Fuel_Surcharge),2)))*(1+FedEx_Markup),2)</f>
        <v>230.12</v>
      </c>
      <c r="R45" s="138"/>
      <c r="S45" s="138"/>
      <c r="T45" s="138"/>
      <c r="U45" s="138"/>
      <c r="V45" s="138"/>
      <c r="W45" s="138"/>
      <c r="X45" s="138"/>
      <c r="Y45" s="138"/>
      <c r="Z45" s="138"/>
    </row>
    <row r="46" ht="12.75" customHeight="1">
      <c r="A46" s="294">
        <v>41.0</v>
      </c>
      <c r="B46" s="295">
        <f>ROUND((IF('Intl Economy Base'!$B$105&gt;ROUND(((1-IntEconomyDiscount-IntEoncomyIncentive)*'Intl Economy Base'!B43),2),ROUND('Intl Economy Base'!$B$105*(1+International_Fuel_Surcharge),2),ROUND(((1-IntEconomyDiscount-IntEoncomyIncentive)*'Intl Economy Base'!B43)*(1+International_Fuel_Surcharge),2)))*(1+FedEx_Markup),2)</f>
        <v>93.02</v>
      </c>
      <c r="C46" s="295">
        <f>ROUND((IF('Intl Economy Base'!$C$105&gt;ROUND(((1-IntEconomyDiscount-IntEoncomyIncentive)*'Intl Economy Base'!C43),2),ROUND('Intl Economy Base'!$C$105*(1+International_Fuel_Surcharge),2),ROUND(((1-IntEconomyDiscount-IntEoncomyIncentive)*'Intl Economy Base'!C43)*(1+International_Fuel_Surcharge),2)))*(1+FedEx_Markup),2)</f>
        <v>106.06</v>
      </c>
      <c r="D46" s="295">
        <f>ROUND((IF('Intl Economy Base'!$D$105&gt;ROUND(((1-IntEconomyDiscount-IntEoncomyIncentive)*'Intl Economy Base'!D43),2),ROUND('Intl Economy Base'!$D$105*(1+International_Fuel_Surcharge),2),ROUND(((1-IntEconomyDiscount-IntEoncomyIncentive)*'Intl Economy Base'!D43)*(1+International_Fuel_Surcharge),2)))*(1+FedEx_Markup),2)</f>
        <v>77.28</v>
      </c>
      <c r="E46" s="295">
        <f>ROUND((IF('Intl Economy Base'!$E$105&gt;ROUND(((1-IntEconomyDiscount-IntEoncomyIncentive)*'Intl Economy Base'!E43),2),ROUND('Intl Economy Base'!$E$105*(1+International_Fuel_Surcharge),2),ROUND(((1-IntEconomyDiscount-IntEoncomyIncentive)*'Intl Economy Base'!E43)*(1+International_Fuel_Surcharge),2)))*(1+FedEx_Markup),2)</f>
        <v>142.84</v>
      </c>
      <c r="F46" s="295">
        <f>ROUND((IF('Intl Economy Base'!$F$105&gt;ROUND(((1-IntEconomyDiscount-IntEoncomyIncentive)*'Intl Economy Base'!F43),2),ROUND('Intl Economy Base'!$F$105*(1+International_Fuel_Surcharge),2),ROUND(((1-IntEconomyDiscount-IntEoncomyIncentive)*'Intl Economy Base'!F43)*(1+International_Fuel_Surcharge),2)))*(1+FedEx_Markup),2)</f>
        <v>268.79</v>
      </c>
      <c r="G46" s="295">
        <f>ROUND((IF('Intl Economy Base'!$G$105&gt;ROUND(((1-IntEconomyDiscount-IntEoncomyIncentive)*'Intl Economy Base'!G43),2),ROUND('Intl Economy Base'!$G$105*(1+International_Fuel_Surcharge),2),ROUND(((1-IntEconomyDiscount-IntEoncomyIncentive)*'Intl Economy Base'!G43)*(1+International_Fuel_Surcharge),2)))*(1+FedEx_Markup),2)</f>
        <v>140.51</v>
      </c>
      <c r="H46" s="295">
        <f>ROUND((IF('Intl Economy Base'!$H$105&gt;ROUND(((1-IntEconomyDiscount-IntEoncomyIncentive)*'Intl Economy Base'!H43),2),ROUND('Intl Economy Base'!$H$105*(1+International_Fuel_Surcharge),2),ROUND(((1-IntEconomyDiscount-IntEoncomyIncentive)*'Intl Economy Base'!H43)*(1+International_Fuel_Surcharge),2)))*(1+FedEx_Markup),2)</f>
        <v>150.56</v>
      </c>
      <c r="I46" s="295">
        <f>ROUND((IF('Intl Economy Base'!$I$105&gt;ROUND(((1-IntEconomyDiscount-IntEoncomyIncentive)*'Intl Economy Base'!I43),2),ROUND('Intl Economy Base'!$I$105*(1+International_Fuel_Surcharge),2),ROUND(((1-IntEconomyDiscount-IntEoncomyIncentive)*'Intl Economy Base'!I43)*(1+International_Fuel_Surcharge),2)))*(1+FedEx_Markup),2)</f>
        <v>175.31</v>
      </c>
      <c r="J46" s="295">
        <f>ROUND((IF('Intl Economy Base'!$J$105&gt;ROUND(((1-IntEconomyDiscount-IntEoncomyIncentive)*'Intl Economy Base'!J43),2),ROUND('Intl Economy Base'!$J$105*(1+International_Fuel_Surcharge),2),ROUND(((1-IntEconomyDiscount-IntEoncomyIncentive)*'Intl Economy Base'!J43)*(1+International_Fuel_Surcharge),2)))*(1+FedEx_Markup),2)</f>
        <v>103.89</v>
      </c>
      <c r="K46" s="295">
        <f>ROUND((IF('Intl Economy Base'!$K$105&gt;ROUND(((1-IntEconomyDiscount-IntEoncomyIncentive)*'Intl Economy Base'!K43),2),ROUND('Intl Economy Base'!$K$105*(1+International_Fuel_Surcharge),2),ROUND(((1-IntEconomyDiscount-IntEoncomyIncentive)*'Intl Economy Base'!K43)*(1+International_Fuel_Surcharge),2)))*(1+FedEx_Markup),2)</f>
        <v>238.97</v>
      </c>
      <c r="L46" s="295">
        <f>ROUND((IF('Intl Economy Base'!$L$105&gt;ROUND(((1-IntEconomyDiscount-IntEoncomyIncentive)*'Intl Economy Base'!L43),2),ROUND('Intl Economy Base'!$L$105*(1+International_Fuel_Surcharge),2),ROUND(((1-IntEconomyDiscount-IntEoncomyIncentive)*'Intl Economy Base'!L43)*(1+International_Fuel_Surcharge),2)))*(1+FedEx_Markup),2)</f>
        <v>183.93</v>
      </c>
      <c r="M46" s="295">
        <f>ROUND((IF('Intl Economy Base'!$M$105&gt;ROUND(((1-IntEconomyDiscount-IntEoncomyIncentive)*'Intl Economy Base'!M43),2),ROUND('Intl Economy Base'!$M$105*(1+International_Fuel_Surcharge),2),ROUND(((1-IntEconomyDiscount-IntEoncomyIncentive)*'Intl Economy Base'!M43)*(1+International_Fuel_Surcharge),2)))*(1+FedEx_Markup),2)</f>
        <v>257.07</v>
      </c>
      <c r="N46" s="295">
        <f>ROUND((IF('Intl Economy Base'!$N$105&gt;ROUND(((1-IntEconomyDiscount-IntEoncomyIncentive)*'Intl Economy Base'!N43),2),ROUND('Intl Economy Base'!$N$105*(1+International_Fuel_Surcharge),2),ROUND(((1-IntEconomyDiscount-IntEoncomyIncentive)*'Intl Economy Base'!N43)*(1+International_Fuel_Surcharge),2)))*(1+FedEx_Markup),2)</f>
        <v>240.2</v>
      </c>
      <c r="O46" s="295">
        <f>ROUND((IF('Intl Economy Base'!$O$105&gt;ROUND(((1-IntEconomyDiscount-IntEoncomyIncentive)*'Intl Economy Base'!O43),2),ROUND('Intl Economy Base'!$O$105*(1+International_Fuel_Surcharge),2),ROUND(((1-IntEconomyDiscount-IntEoncomyIncentive)*'Intl Economy Base'!O43)*(1+International_Fuel_Surcharge),2)))*(1+FedEx_Markup),2)</f>
        <v>206.69</v>
      </c>
      <c r="P46" s="295">
        <f>ROUND((IF('Intl Economy Base'!$P$105&gt;ROUND(((1-IntEconomyDiscount-IntEoncomyIncentive)*'Intl Economy Base'!P43),2),ROUND('Intl Economy Base'!$P$105*(1+International_Fuel_Surcharge),2),ROUND(((1-IntEconomyDiscount-IntEoncomyIncentive)*'Intl Economy Base'!P43)*(1+International_Fuel_Surcharge),2)))*(1+FedEx_Markup),2)</f>
        <v>195.02</v>
      </c>
      <c r="Q46" s="295">
        <f>ROUND((IF('Intl Economy Base'!$Q$105&gt;ROUND(((1-PuertoRicoDiscount)*'Intl Economy Base'!Q43),2),ROUND('Intl Economy Base'!$Q$105*(1+International_Fuel_Surcharge),2),ROUND(((1-PuertoRicoDiscount)*'Intl Economy Base'!Q43)*(1+International_Fuel_Surcharge),2)))*(1+FedEx_Markup),2)</f>
        <v>235.03</v>
      </c>
      <c r="R46" s="138"/>
      <c r="S46" s="138"/>
      <c r="T46" s="138"/>
      <c r="U46" s="138"/>
      <c r="V46" s="138"/>
      <c r="W46" s="138"/>
      <c r="X46" s="138"/>
      <c r="Y46" s="138"/>
      <c r="Z46" s="138"/>
    </row>
    <row r="47" ht="12.75" customHeight="1">
      <c r="A47" s="294">
        <v>42.0</v>
      </c>
      <c r="B47" s="295">
        <f>ROUND((IF('Intl Economy Base'!$B$105&gt;ROUND(((1-IntEconomyDiscount-IntEoncomyIncentive)*'Intl Economy Base'!B44),2),ROUND('Intl Economy Base'!$B$105*(1+International_Fuel_Surcharge),2),ROUND(((1-IntEconomyDiscount-IntEoncomyIncentive)*'Intl Economy Base'!B44)*(1+International_Fuel_Surcharge),2)))*(1+FedEx_Markup),2)</f>
        <v>94.69</v>
      </c>
      <c r="C47" s="295">
        <f>ROUND((IF('Intl Economy Base'!$C$105&gt;ROUND(((1-IntEconomyDiscount-IntEoncomyIncentive)*'Intl Economy Base'!C44),2),ROUND('Intl Economy Base'!$C$105*(1+International_Fuel_Surcharge),2),ROUND(((1-IntEconomyDiscount-IntEoncomyIncentive)*'Intl Economy Base'!C44)*(1+International_Fuel_Surcharge),2)))*(1+FedEx_Markup),2)</f>
        <v>107.59</v>
      </c>
      <c r="D47" s="295">
        <f>ROUND((IF('Intl Economy Base'!$D$105&gt;ROUND(((1-IntEconomyDiscount-IntEoncomyIncentive)*'Intl Economy Base'!D44),2),ROUND('Intl Economy Base'!$D$105*(1+International_Fuel_Surcharge),2),ROUND(((1-IntEconomyDiscount-IntEoncomyIncentive)*'Intl Economy Base'!D44)*(1+International_Fuel_Surcharge),2)))*(1+FedEx_Markup),2)</f>
        <v>77.36</v>
      </c>
      <c r="E47" s="295">
        <f>ROUND((IF('Intl Economy Base'!$E$105&gt;ROUND(((1-IntEconomyDiscount-IntEoncomyIncentive)*'Intl Economy Base'!E44),2),ROUND('Intl Economy Base'!$E$105*(1+International_Fuel_Surcharge),2),ROUND(((1-IntEconomyDiscount-IntEoncomyIncentive)*'Intl Economy Base'!E44)*(1+International_Fuel_Surcharge),2)))*(1+FedEx_Markup),2)</f>
        <v>147.44</v>
      </c>
      <c r="F47" s="295">
        <f>ROUND((IF('Intl Economy Base'!$F$105&gt;ROUND(((1-IntEconomyDiscount-IntEoncomyIncentive)*'Intl Economy Base'!F44),2),ROUND('Intl Economy Base'!$F$105*(1+International_Fuel_Surcharge),2),ROUND(((1-IntEconomyDiscount-IntEoncomyIncentive)*'Intl Economy Base'!F44)*(1+International_Fuel_Surcharge),2)))*(1+FedEx_Markup),2)</f>
        <v>269.55</v>
      </c>
      <c r="G47" s="295">
        <f>ROUND((IF('Intl Economy Base'!$G$105&gt;ROUND(((1-IntEconomyDiscount-IntEoncomyIncentive)*'Intl Economy Base'!G44),2),ROUND('Intl Economy Base'!$G$105*(1+International_Fuel_Surcharge),2),ROUND(((1-IntEconomyDiscount-IntEoncomyIncentive)*'Intl Economy Base'!G44)*(1+International_Fuel_Surcharge),2)))*(1+FedEx_Markup),2)</f>
        <v>152.42</v>
      </c>
      <c r="H47" s="295">
        <f>ROUND((IF('Intl Economy Base'!$H$105&gt;ROUND(((1-IntEconomyDiscount-IntEoncomyIncentive)*'Intl Economy Base'!H44),2),ROUND('Intl Economy Base'!$H$105*(1+International_Fuel_Surcharge),2),ROUND(((1-IntEconomyDiscount-IntEoncomyIncentive)*'Intl Economy Base'!H44)*(1+International_Fuel_Surcharge),2)))*(1+FedEx_Markup),2)</f>
        <v>150.83</v>
      </c>
      <c r="I47" s="295">
        <f>ROUND((IF('Intl Economy Base'!$I$105&gt;ROUND(((1-IntEconomyDiscount-IntEoncomyIncentive)*'Intl Economy Base'!I44),2),ROUND('Intl Economy Base'!$I$105*(1+International_Fuel_Surcharge),2),ROUND(((1-IntEconomyDiscount-IntEoncomyIncentive)*'Intl Economy Base'!I44)*(1+International_Fuel_Surcharge),2)))*(1+FedEx_Markup),2)</f>
        <v>175.86</v>
      </c>
      <c r="J47" s="295">
        <f>ROUND((IF('Intl Economy Base'!$J$105&gt;ROUND(((1-IntEconomyDiscount-IntEoncomyIncentive)*'Intl Economy Base'!J44),2),ROUND('Intl Economy Base'!$J$105*(1+International_Fuel_Surcharge),2),ROUND(((1-IntEconomyDiscount-IntEoncomyIncentive)*'Intl Economy Base'!J44)*(1+International_Fuel_Surcharge),2)))*(1+FedEx_Markup),2)</f>
        <v>104.94</v>
      </c>
      <c r="K47" s="295">
        <f>ROUND((IF('Intl Economy Base'!$K$105&gt;ROUND(((1-IntEconomyDiscount-IntEoncomyIncentive)*'Intl Economy Base'!K44),2),ROUND('Intl Economy Base'!$K$105*(1+International_Fuel_Surcharge),2),ROUND(((1-IntEconomyDiscount-IntEoncomyIncentive)*'Intl Economy Base'!K44)*(1+International_Fuel_Surcharge),2)))*(1+FedEx_Markup),2)</f>
        <v>239.56</v>
      </c>
      <c r="L47" s="295">
        <f>ROUND((IF('Intl Economy Base'!$L$105&gt;ROUND(((1-IntEconomyDiscount-IntEoncomyIncentive)*'Intl Economy Base'!L44),2),ROUND('Intl Economy Base'!$L$105*(1+International_Fuel_Surcharge),2),ROUND(((1-IntEconomyDiscount-IntEoncomyIncentive)*'Intl Economy Base'!L44)*(1+International_Fuel_Surcharge),2)))*(1+FedEx_Markup),2)</f>
        <v>184.54</v>
      </c>
      <c r="M47" s="295">
        <f>ROUND((IF('Intl Economy Base'!$M$105&gt;ROUND(((1-IntEconomyDiscount-IntEoncomyIncentive)*'Intl Economy Base'!M44),2),ROUND('Intl Economy Base'!$M$105*(1+International_Fuel_Surcharge),2),ROUND(((1-IntEconomyDiscount-IntEoncomyIncentive)*'Intl Economy Base'!M44)*(1+International_Fuel_Surcharge),2)))*(1+FedEx_Markup),2)</f>
        <v>257.17</v>
      </c>
      <c r="N47" s="295">
        <f>ROUND((IF('Intl Economy Base'!$N$105&gt;ROUND(((1-IntEconomyDiscount-IntEoncomyIncentive)*'Intl Economy Base'!N44),2),ROUND('Intl Economy Base'!$N$105*(1+International_Fuel_Surcharge),2),ROUND(((1-IntEconomyDiscount-IntEoncomyIncentive)*'Intl Economy Base'!N44)*(1+International_Fuel_Surcharge),2)))*(1+FedEx_Markup),2)</f>
        <v>253.13</v>
      </c>
      <c r="O47" s="295">
        <f>ROUND((IF('Intl Economy Base'!$O$105&gt;ROUND(((1-IntEconomyDiscount-IntEoncomyIncentive)*'Intl Economy Base'!O44),2),ROUND('Intl Economy Base'!$O$105*(1+International_Fuel_Surcharge),2),ROUND(((1-IntEconomyDiscount-IntEoncomyIncentive)*'Intl Economy Base'!O44)*(1+International_Fuel_Surcharge),2)))*(1+FedEx_Markup),2)</f>
        <v>208.99</v>
      </c>
      <c r="P47" s="295">
        <f>ROUND((IF('Intl Economy Base'!$P$105&gt;ROUND(((1-IntEconomyDiscount-IntEoncomyIncentive)*'Intl Economy Base'!P44),2),ROUND('Intl Economy Base'!$P$105*(1+International_Fuel_Surcharge),2),ROUND(((1-IntEconomyDiscount-IntEoncomyIncentive)*'Intl Economy Base'!P44)*(1+International_Fuel_Surcharge),2)))*(1+FedEx_Markup),2)</f>
        <v>195.18</v>
      </c>
      <c r="Q47" s="295">
        <f>ROUND((IF('Intl Economy Base'!$Q$105&gt;ROUND(((1-PuertoRicoDiscount)*'Intl Economy Base'!Q44),2),ROUND('Intl Economy Base'!$Q$105*(1+International_Fuel_Surcharge),2),ROUND(((1-PuertoRicoDiscount)*'Intl Economy Base'!Q44)*(1+International_Fuel_Surcharge),2)))*(1+FedEx_Markup),2)</f>
        <v>240.43</v>
      </c>
      <c r="R47" s="138"/>
      <c r="S47" s="138"/>
      <c r="T47" s="138"/>
      <c r="U47" s="138"/>
      <c r="V47" s="138"/>
      <c r="W47" s="138"/>
      <c r="X47" s="138"/>
      <c r="Y47" s="138"/>
      <c r="Z47" s="138"/>
    </row>
    <row r="48" ht="12.75" customHeight="1">
      <c r="A48" s="294">
        <v>43.0</v>
      </c>
      <c r="B48" s="295">
        <f>ROUND((IF('Intl Economy Base'!$B$105&gt;ROUND(((1-IntEconomyDiscount-IntEoncomyIncentive)*'Intl Economy Base'!B45),2),ROUND('Intl Economy Base'!$B$105*(1+International_Fuel_Surcharge),2),ROUND(((1-IntEconomyDiscount-IntEoncomyIncentive)*'Intl Economy Base'!B45)*(1+International_Fuel_Surcharge),2)))*(1+FedEx_Markup),2)</f>
        <v>96.35</v>
      </c>
      <c r="C48" s="295">
        <f>ROUND((IF('Intl Economy Base'!$C$105&gt;ROUND(((1-IntEconomyDiscount-IntEoncomyIncentive)*'Intl Economy Base'!C45),2),ROUND('Intl Economy Base'!$C$105*(1+International_Fuel_Surcharge),2),ROUND(((1-IntEconomyDiscount-IntEoncomyIncentive)*'Intl Economy Base'!C45)*(1+International_Fuel_Surcharge),2)))*(1+FedEx_Markup),2)</f>
        <v>109.58</v>
      </c>
      <c r="D48" s="295">
        <f>ROUND((IF('Intl Economy Base'!$D$105&gt;ROUND(((1-IntEconomyDiscount-IntEoncomyIncentive)*'Intl Economy Base'!D45),2),ROUND('Intl Economy Base'!$D$105*(1+International_Fuel_Surcharge),2),ROUND(((1-IntEconomyDiscount-IntEoncomyIncentive)*'Intl Economy Base'!D45)*(1+International_Fuel_Surcharge),2)))*(1+FedEx_Markup),2)</f>
        <v>77.59</v>
      </c>
      <c r="E48" s="295">
        <f>ROUND((IF('Intl Economy Base'!$E$105&gt;ROUND(((1-IntEconomyDiscount-IntEoncomyIncentive)*'Intl Economy Base'!E45),2),ROUND('Intl Economy Base'!$E$105*(1+International_Fuel_Surcharge),2),ROUND(((1-IntEconomyDiscount-IntEoncomyIncentive)*'Intl Economy Base'!E45)*(1+International_Fuel_Surcharge),2)))*(1+FedEx_Markup),2)</f>
        <v>147.9</v>
      </c>
      <c r="F48" s="295">
        <f>ROUND((IF('Intl Economy Base'!$F$105&gt;ROUND(((1-IntEconomyDiscount-IntEoncomyIncentive)*'Intl Economy Base'!F45),2),ROUND('Intl Economy Base'!$F$105*(1+International_Fuel_Surcharge),2),ROUND(((1-IntEconomyDiscount-IntEoncomyIncentive)*'Intl Economy Base'!F45)*(1+International_Fuel_Surcharge),2)))*(1+FedEx_Markup),2)</f>
        <v>276.92</v>
      </c>
      <c r="G48" s="295">
        <f>ROUND((IF('Intl Economy Base'!$G$105&gt;ROUND(((1-IntEconomyDiscount-IntEoncomyIncentive)*'Intl Economy Base'!G45),2),ROUND('Intl Economy Base'!$G$105*(1+International_Fuel_Surcharge),2),ROUND(((1-IntEconomyDiscount-IntEoncomyIncentive)*'Intl Economy Base'!G45)*(1+International_Fuel_Surcharge),2)))*(1+FedEx_Markup),2)</f>
        <v>153.9</v>
      </c>
      <c r="H48" s="295">
        <f>ROUND((IF('Intl Economy Base'!$H$105&gt;ROUND(((1-IntEconomyDiscount-IntEoncomyIncentive)*'Intl Economy Base'!H45),2),ROUND('Intl Economy Base'!$H$105*(1+International_Fuel_Surcharge),2),ROUND(((1-IntEconomyDiscount-IntEoncomyIncentive)*'Intl Economy Base'!H45)*(1+International_Fuel_Surcharge),2)))*(1+FedEx_Markup),2)</f>
        <v>150.96</v>
      </c>
      <c r="I48" s="295">
        <f>ROUND((IF('Intl Economy Base'!$I$105&gt;ROUND(((1-IntEconomyDiscount-IntEoncomyIncentive)*'Intl Economy Base'!I45),2),ROUND('Intl Economy Base'!$I$105*(1+International_Fuel_Surcharge),2),ROUND(((1-IntEconomyDiscount-IntEoncomyIncentive)*'Intl Economy Base'!I45)*(1+International_Fuel_Surcharge),2)))*(1+FedEx_Markup),2)</f>
        <v>184.39</v>
      </c>
      <c r="J48" s="295">
        <f>ROUND((IF('Intl Economy Base'!$J$105&gt;ROUND(((1-IntEconomyDiscount-IntEoncomyIncentive)*'Intl Economy Base'!J45),2),ROUND('Intl Economy Base'!$J$105*(1+International_Fuel_Surcharge),2),ROUND(((1-IntEconomyDiscount-IntEoncomyIncentive)*'Intl Economy Base'!J45)*(1+International_Fuel_Surcharge),2)))*(1+FedEx_Markup),2)</f>
        <v>106.39</v>
      </c>
      <c r="K48" s="295">
        <f>ROUND((IF('Intl Economy Base'!$K$105&gt;ROUND(((1-IntEconomyDiscount-IntEoncomyIncentive)*'Intl Economy Base'!K45),2),ROUND('Intl Economy Base'!$K$105*(1+International_Fuel_Surcharge),2),ROUND(((1-IntEconomyDiscount-IntEoncomyIncentive)*'Intl Economy Base'!K45)*(1+International_Fuel_Surcharge),2)))*(1+FedEx_Markup),2)</f>
        <v>247.35</v>
      </c>
      <c r="L48" s="295">
        <f>ROUND((IF('Intl Economy Base'!$L$105&gt;ROUND(((1-IntEconomyDiscount-IntEoncomyIncentive)*'Intl Economy Base'!L45),2),ROUND('Intl Economy Base'!$L$105*(1+International_Fuel_Surcharge),2),ROUND(((1-IntEconomyDiscount-IntEoncomyIncentive)*'Intl Economy Base'!L45)*(1+International_Fuel_Surcharge),2)))*(1+FedEx_Markup),2)</f>
        <v>196.85</v>
      </c>
      <c r="M48" s="295">
        <f>ROUND((IF('Intl Economy Base'!$M$105&gt;ROUND(((1-IntEconomyDiscount-IntEoncomyIncentive)*'Intl Economy Base'!M45),2),ROUND('Intl Economy Base'!$M$105*(1+International_Fuel_Surcharge),2),ROUND(((1-IntEconomyDiscount-IntEoncomyIncentive)*'Intl Economy Base'!M45)*(1+International_Fuel_Surcharge),2)))*(1+FedEx_Markup),2)</f>
        <v>257.23</v>
      </c>
      <c r="N48" s="295">
        <f>ROUND((IF('Intl Economy Base'!$N$105&gt;ROUND(((1-IntEconomyDiscount-IntEoncomyIncentive)*'Intl Economy Base'!N45),2),ROUND('Intl Economy Base'!$N$105*(1+International_Fuel_Surcharge),2),ROUND(((1-IntEconomyDiscount-IntEoncomyIncentive)*'Intl Economy Base'!N45)*(1+International_Fuel_Surcharge),2)))*(1+FedEx_Markup),2)</f>
        <v>273.23</v>
      </c>
      <c r="O48" s="295">
        <f>ROUND((IF('Intl Economy Base'!$O$105&gt;ROUND(((1-IntEconomyDiscount-IntEoncomyIncentive)*'Intl Economy Base'!O45),2),ROUND('Intl Economy Base'!$O$105*(1+International_Fuel_Surcharge),2),ROUND(((1-IntEconomyDiscount-IntEoncomyIncentive)*'Intl Economy Base'!O45)*(1+International_Fuel_Surcharge),2)))*(1+FedEx_Markup),2)</f>
        <v>209.52</v>
      </c>
      <c r="P48" s="295">
        <f>ROUND((IF('Intl Economy Base'!$P$105&gt;ROUND(((1-IntEconomyDiscount-IntEoncomyIncentive)*'Intl Economy Base'!P45),2),ROUND('Intl Economy Base'!$P$105*(1+International_Fuel_Surcharge),2),ROUND(((1-IntEconomyDiscount-IntEoncomyIncentive)*'Intl Economy Base'!P45)*(1+International_Fuel_Surcharge),2)))*(1+FedEx_Markup),2)</f>
        <v>195.22</v>
      </c>
      <c r="Q48" s="295">
        <f>ROUND((IF('Intl Economy Base'!$Q$105&gt;ROUND(((1-PuertoRicoDiscount)*'Intl Economy Base'!Q45),2),ROUND('Intl Economy Base'!$Q$105*(1+International_Fuel_Surcharge),2),ROUND(((1-PuertoRicoDiscount)*'Intl Economy Base'!Q45)*(1+International_Fuel_Surcharge),2)))*(1+FedEx_Markup),2)</f>
        <v>245.16</v>
      </c>
      <c r="R48" s="138"/>
      <c r="S48" s="138"/>
      <c r="T48" s="138"/>
      <c r="U48" s="138"/>
      <c r="V48" s="138"/>
      <c r="W48" s="138"/>
      <c r="X48" s="138"/>
      <c r="Y48" s="138"/>
      <c r="Z48" s="138"/>
    </row>
    <row r="49" ht="12.75" customHeight="1">
      <c r="A49" s="294">
        <v>44.0</v>
      </c>
      <c r="B49" s="295">
        <f>ROUND((IF('Intl Economy Base'!$B$105&gt;ROUND(((1-IntEconomyDiscount-IntEoncomyIncentive)*'Intl Economy Base'!B46),2),ROUND('Intl Economy Base'!$B$105*(1+International_Fuel_Surcharge),2),ROUND(((1-IntEconomyDiscount-IntEoncomyIncentive)*'Intl Economy Base'!B46)*(1+International_Fuel_Surcharge),2)))*(1+FedEx_Markup),2)</f>
        <v>98.03</v>
      </c>
      <c r="C49" s="295">
        <f>ROUND((IF('Intl Economy Base'!$C$105&gt;ROUND(((1-IntEconomyDiscount-IntEoncomyIncentive)*'Intl Economy Base'!C46),2),ROUND('Intl Economy Base'!$C$105*(1+International_Fuel_Surcharge),2),ROUND(((1-IntEconomyDiscount-IntEoncomyIncentive)*'Intl Economy Base'!C46)*(1+International_Fuel_Surcharge),2)))*(1+FedEx_Markup),2)</f>
        <v>111.12</v>
      </c>
      <c r="D49" s="295">
        <f>ROUND((IF('Intl Economy Base'!$D$105&gt;ROUND(((1-IntEconomyDiscount-IntEoncomyIncentive)*'Intl Economy Base'!D46),2),ROUND('Intl Economy Base'!$D$105*(1+International_Fuel_Surcharge),2),ROUND(((1-IntEconomyDiscount-IntEoncomyIncentive)*'Intl Economy Base'!D46)*(1+International_Fuel_Surcharge),2)))*(1+FedEx_Markup),2)</f>
        <v>82.17</v>
      </c>
      <c r="E49" s="295">
        <f>ROUND((IF('Intl Economy Base'!$E$105&gt;ROUND(((1-IntEconomyDiscount-IntEoncomyIncentive)*'Intl Economy Base'!E46),2),ROUND('Intl Economy Base'!$E$105*(1+International_Fuel_Surcharge),2),ROUND(((1-IntEconomyDiscount-IntEoncomyIncentive)*'Intl Economy Base'!E46)*(1+International_Fuel_Surcharge),2)))*(1+FedEx_Markup),2)</f>
        <v>147.96</v>
      </c>
      <c r="F49" s="295">
        <f>ROUND((IF('Intl Economy Base'!$F$105&gt;ROUND(((1-IntEconomyDiscount-IntEoncomyIncentive)*'Intl Economy Base'!F46),2),ROUND('Intl Economy Base'!$F$105*(1+International_Fuel_Surcharge),2),ROUND(((1-IntEconomyDiscount-IntEoncomyIncentive)*'Intl Economy Base'!F46)*(1+International_Fuel_Surcharge),2)))*(1+FedEx_Markup),2)</f>
        <v>277.66</v>
      </c>
      <c r="G49" s="295">
        <f>ROUND((IF('Intl Economy Base'!$G$105&gt;ROUND(((1-IntEconomyDiscount-IntEoncomyIncentive)*'Intl Economy Base'!G46),2),ROUND('Intl Economy Base'!$G$105*(1+International_Fuel_Surcharge),2),ROUND(((1-IntEconomyDiscount-IntEoncomyIncentive)*'Intl Economy Base'!G46)*(1+International_Fuel_Surcharge),2)))*(1+FedEx_Markup),2)</f>
        <v>154.05</v>
      </c>
      <c r="H49" s="295">
        <f>ROUND((IF('Intl Economy Base'!$H$105&gt;ROUND(((1-IntEconomyDiscount-IntEoncomyIncentive)*'Intl Economy Base'!H46),2),ROUND('Intl Economy Base'!$H$105*(1+International_Fuel_Surcharge),2),ROUND(((1-IntEconomyDiscount-IntEoncomyIncentive)*'Intl Economy Base'!H46)*(1+International_Fuel_Surcharge),2)))*(1+FedEx_Markup),2)</f>
        <v>152.12</v>
      </c>
      <c r="I49" s="295">
        <f>ROUND((IF('Intl Economy Base'!$I$105&gt;ROUND(((1-IntEconomyDiscount-IntEoncomyIncentive)*'Intl Economy Base'!I46),2),ROUND('Intl Economy Base'!$I$105*(1+International_Fuel_Surcharge),2),ROUND(((1-IntEconomyDiscount-IntEoncomyIncentive)*'Intl Economy Base'!I46)*(1+International_Fuel_Surcharge),2)))*(1+FedEx_Markup),2)</f>
        <v>188.26</v>
      </c>
      <c r="J49" s="295">
        <f>ROUND((IF('Intl Economy Base'!$J$105&gt;ROUND(((1-IntEconomyDiscount-IntEoncomyIncentive)*'Intl Economy Base'!J46),2),ROUND('Intl Economy Base'!$J$105*(1+International_Fuel_Surcharge),2),ROUND(((1-IntEconomyDiscount-IntEoncomyIncentive)*'Intl Economy Base'!J46)*(1+International_Fuel_Surcharge),2)))*(1+FedEx_Markup),2)</f>
        <v>107.73</v>
      </c>
      <c r="K49" s="295">
        <f>ROUND((IF('Intl Economy Base'!$K$105&gt;ROUND(((1-IntEconomyDiscount-IntEoncomyIncentive)*'Intl Economy Base'!K46),2),ROUND('Intl Economy Base'!$K$105*(1+International_Fuel_Surcharge),2),ROUND(((1-IntEconomyDiscount-IntEoncomyIncentive)*'Intl Economy Base'!K46)*(1+International_Fuel_Surcharge),2)))*(1+FedEx_Markup),2)</f>
        <v>250.73</v>
      </c>
      <c r="L49" s="295">
        <f>ROUND((IF('Intl Economy Base'!$L$105&gt;ROUND(((1-IntEconomyDiscount-IntEoncomyIncentive)*'Intl Economy Base'!L46),2),ROUND('Intl Economy Base'!$L$105*(1+International_Fuel_Surcharge),2),ROUND(((1-IntEconomyDiscount-IntEoncomyIncentive)*'Intl Economy Base'!L46)*(1+International_Fuel_Surcharge),2)))*(1+FedEx_Markup),2)</f>
        <v>198.08</v>
      </c>
      <c r="M49" s="295">
        <f>ROUND((IF('Intl Economy Base'!$M$105&gt;ROUND(((1-IntEconomyDiscount-IntEoncomyIncentive)*'Intl Economy Base'!M46),2),ROUND('Intl Economy Base'!$M$105*(1+International_Fuel_Surcharge),2),ROUND(((1-IntEconomyDiscount-IntEoncomyIncentive)*'Intl Economy Base'!M46)*(1+International_Fuel_Surcharge),2)))*(1+FedEx_Markup),2)</f>
        <v>257.3</v>
      </c>
      <c r="N49" s="295">
        <f>ROUND((IF('Intl Economy Base'!$N$105&gt;ROUND(((1-IntEconomyDiscount-IntEoncomyIncentive)*'Intl Economy Base'!N46),2),ROUND('Intl Economy Base'!$N$105*(1+International_Fuel_Surcharge),2),ROUND(((1-IntEconomyDiscount-IntEoncomyIncentive)*'Intl Economy Base'!N46)*(1+International_Fuel_Surcharge),2)))*(1+FedEx_Markup),2)</f>
        <v>282.73</v>
      </c>
      <c r="O49" s="295">
        <f>ROUND((IF('Intl Economy Base'!$O$105&gt;ROUND(((1-IntEconomyDiscount-IntEoncomyIncentive)*'Intl Economy Base'!O46),2),ROUND('Intl Economy Base'!$O$105*(1+International_Fuel_Surcharge),2),ROUND(((1-IntEconomyDiscount-IntEoncomyIncentive)*'Intl Economy Base'!O46)*(1+International_Fuel_Surcharge),2)))*(1+FedEx_Markup),2)</f>
        <v>210.23</v>
      </c>
      <c r="P49" s="295">
        <f>ROUND((IF('Intl Economy Base'!$P$105&gt;ROUND(((1-IntEconomyDiscount-IntEoncomyIncentive)*'Intl Economy Base'!P46),2),ROUND('Intl Economy Base'!$P$105*(1+International_Fuel_Surcharge),2),ROUND(((1-IntEconomyDiscount-IntEoncomyIncentive)*'Intl Economy Base'!P46)*(1+International_Fuel_Surcharge),2)))*(1+FedEx_Markup),2)</f>
        <v>195.27</v>
      </c>
      <c r="Q49" s="295">
        <f>ROUND((IF('Intl Economy Base'!$Q$105&gt;ROUND(((1-PuertoRicoDiscount)*'Intl Economy Base'!Q46),2),ROUND('Intl Economy Base'!$Q$105*(1+International_Fuel_Surcharge),2),ROUND(((1-PuertoRicoDiscount)*'Intl Economy Base'!Q46)*(1+International_Fuel_Surcharge),2)))*(1+FedEx_Markup),2)</f>
        <v>249.75</v>
      </c>
      <c r="R49" s="138"/>
      <c r="S49" s="138"/>
      <c r="T49" s="138"/>
      <c r="U49" s="138"/>
      <c r="V49" s="138"/>
      <c r="W49" s="138"/>
      <c r="X49" s="138"/>
      <c r="Y49" s="138"/>
      <c r="Z49" s="138"/>
    </row>
    <row r="50" ht="12.75" customHeight="1">
      <c r="A50" s="294">
        <v>45.0</v>
      </c>
      <c r="B50" s="295">
        <f>ROUND((IF('Intl Economy Base'!$B$105&gt;ROUND(((1-IntEconomyDiscount-IntEoncomyIncentive)*'Intl Economy Base'!B47),2),ROUND('Intl Economy Base'!$B$105*(1+International_Fuel_Surcharge),2),ROUND(((1-IntEconomyDiscount-IntEoncomyIncentive)*'Intl Economy Base'!B47)*(1+International_Fuel_Surcharge),2)))*(1+FedEx_Markup),2)</f>
        <v>99.71</v>
      </c>
      <c r="C50" s="295">
        <f>ROUND((IF('Intl Economy Base'!$C$105&gt;ROUND(((1-IntEconomyDiscount-IntEoncomyIncentive)*'Intl Economy Base'!C47),2),ROUND('Intl Economy Base'!$C$105*(1+International_Fuel_Surcharge),2),ROUND(((1-IntEconomyDiscount-IntEoncomyIncentive)*'Intl Economy Base'!C47)*(1+International_Fuel_Surcharge),2)))*(1+FedEx_Markup),2)</f>
        <v>112.67</v>
      </c>
      <c r="D50" s="295">
        <f>ROUND((IF('Intl Economy Base'!$D$105&gt;ROUND(((1-IntEconomyDiscount-IntEoncomyIncentive)*'Intl Economy Base'!D47),2),ROUND('Intl Economy Base'!$D$105*(1+International_Fuel_Surcharge),2),ROUND(((1-IntEconomyDiscount-IntEoncomyIncentive)*'Intl Economy Base'!D47)*(1+International_Fuel_Surcharge),2)))*(1+FedEx_Markup),2)</f>
        <v>82.63</v>
      </c>
      <c r="E50" s="295">
        <f>ROUND((IF('Intl Economy Base'!$E$105&gt;ROUND(((1-IntEconomyDiscount-IntEoncomyIncentive)*'Intl Economy Base'!E47),2),ROUND('Intl Economy Base'!$E$105*(1+International_Fuel_Surcharge),2),ROUND(((1-IntEconomyDiscount-IntEoncomyIncentive)*'Intl Economy Base'!E47)*(1+International_Fuel_Surcharge),2)))*(1+FedEx_Markup),2)</f>
        <v>148.55</v>
      </c>
      <c r="F50" s="295">
        <f>ROUND((IF('Intl Economy Base'!$F$105&gt;ROUND(((1-IntEconomyDiscount-IntEoncomyIncentive)*'Intl Economy Base'!F47),2),ROUND('Intl Economy Base'!$F$105*(1+International_Fuel_Surcharge),2),ROUND(((1-IntEconomyDiscount-IntEoncomyIncentive)*'Intl Economy Base'!F47)*(1+International_Fuel_Surcharge),2)))*(1+FedEx_Markup),2)</f>
        <v>277.74</v>
      </c>
      <c r="G50" s="295">
        <f>ROUND((IF('Intl Economy Base'!$G$105&gt;ROUND(((1-IntEconomyDiscount-IntEoncomyIncentive)*'Intl Economy Base'!G47),2),ROUND('Intl Economy Base'!$G$105*(1+International_Fuel_Surcharge),2),ROUND(((1-IntEconomyDiscount-IntEoncomyIncentive)*'Intl Economy Base'!G47)*(1+International_Fuel_Surcharge),2)))*(1+FedEx_Markup),2)</f>
        <v>154.16</v>
      </c>
      <c r="H50" s="295">
        <f>ROUND((IF('Intl Economy Base'!$H$105&gt;ROUND(((1-IntEconomyDiscount-IntEoncomyIncentive)*'Intl Economy Base'!H47),2),ROUND('Intl Economy Base'!$H$105*(1+International_Fuel_Surcharge),2),ROUND(((1-IntEconomyDiscount-IntEoncomyIncentive)*'Intl Economy Base'!H47)*(1+International_Fuel_Surcharge),2)))*(1+FedEx_Markup),2)</f>
        <v>161.53</v>
      </c>
      <c r="I50" s="295">
        <f>ROUND((IF('Intl Economy Base'!$I$105&gt;ROUND(((1-IntEconomyDiscount-IntEoncomyIncentive)*'Intl Economy Base'!I47),2),ROUND('Intl Economy Base'!$I$105*(1+International_Fuel_Surcharge),2),ROUND(((1-IntEconomyDiscount-IntEoncomyIncentive)*'Intl Economy Base'!I47)*(1+International_Fuel_Surcharge),2)))*(1+FedEx_Markup),2)</f>
        <v>196.22</v>
      </c>
      <c r="J50" s="295">
        <f>ROUND((IF('Intl Economy Base'!$J$105&gt;ROUND(((1-IntEconomyDiscount-IntEoncomyIncentive)*'Intl Economy Base'!J47),2),ROUND('Intl Economy Base'!$J$105*(1+International_Fuel_Surcharge),2),ROUND(((1-IntEconomyDiscount-IntEoncomyIncentive)*'Intl Economy Base'!J47)*(1+International_Fuel_Surcharge),2)))*(1+FedEx_Markup),2)</f>
        <v>109.07</v>
      </c>
      <c r="K50" s="295">
        <f>ROUND((IF('Intl Economy Base'!$K$105&gt;ROUND(((1-IntEconomyDiscount-IntEoncomyIncentive)*'Intl Economy Base'!K47),2),ROUND('Intl Economy Base'!$K$105*(1+International_Fuel_Surcharge),2),ROUND(((1-IntEconomyDiscount-IntEoncomyIncentive)*'Intl Economy Base'!K47)*(1+International_Fuel_Surcharge),2)))*(1+FedEx_Markup),2)</f>
        <v>255.61</v>
      </c>
      <c r="L50" s="295">
        <f>ROUND((IF('Intl Economy Base'!$L$105&gt;ROUND(((1-IntEconomyDiscount-IntEoncomyIncentive)*'Intl Economy Base'!L47),2),ROUND('Intl Economy Base'!$L$105*(1+International_Fuel_Surcharge),2),ROUND(((1-IntEconomyDiscount-IntEoncomyIncentive)*'Intl Economy Base'!L47)*(1+International_Fuel_Surcharge),2)))*(1+FedEx_Markup),2)</f>
        <v>198.19</v>
      </c>
      <c r="M50" s="295">
        <f>ROUND((IF('Intl Economy Base'!$M$105&gt;ROUND(((1-IntEconomyDiscount-IntEoncomyIncentive)*'Intl Economy Base'!M47),2),ROUND('Intl Economy Base'!$M$105*(1+International_Fuel_Surcharge),2),ROUND(((1-IntEconomyDiscount-IntEoncomyIncentive)*'Intl Economy Base'!M47)*(1+International_Fuel_Surcharge),2)))*(1+FedEx_Markup),2)</f>
        <v>258.06</v>
      </c>
      <c r="N50" s="295">
        <f>ROUND((IF('Intl Economy Base'!$N$105&gt;ROUND(((1-IntEconomyDiscount-IntEoncomyIncentive)*'Intl Economy Base'!N47),2),ROUND('Intl Economy Base'!$N$105*(1+International_Fuel_Surcharge),2),ROUND(((1-IntEconomyDiscount-IntEoncomyIncentive)*'Intl Economy Base'!N47)*(1+International_Fuel_Surcharge),2)))*(1+FedEx_Markup),2)</f>
        <v>283.68</v>
      </c>
      <c r="O50" s="295">
        <f>ROUND((IF('Intl Economy Base'!$O$105&gt;ROUND(((1-IntEconomyDiscount-IntEoncomyIncentive)*'Intl Economy Base'!O47),2),ROUND('Intl Economy Base'!$O$105*(1+International_Fuel_Surcharge),2),ROUND(((1-IntEconomyDiscount-IntEoncomyIncentive)*'Intl Economy Base'!O47)*(1+International_Fuel_Surcharge),2)))*(1+FedEx_Markup),2)</f>
        <v>224.33</v>
      </c>
      <c r="P50" s="295">
        <f>ROUND((IF('Intl Economy Base'!$P$105&gt;ROUND(((1-IntEconomyDiscount-IntEoncomyIncentive)*'Intl Economy Base'!P47),2),ROUND('Intl Economy Base'!$P$105*(1+International_Fuel_Surcharge),2),ROUND(((1-IntEconomyDiscount-IntEoncomyIncentive)*'Intl Economy Base'!P47)*(1+International_Fuel_Surcharge),2)))*(1+FedEx_Markup),2)</f>
        <v>195.34</v>
      </c>
      <c r="Q50" s="295">
        <f>ROUND((IF('Intl Economy Base'!$Q$105&gt;ROUND(((1-PuertoRicoDiscount)*'Intl Economy Base'!Q47),2),ROUND('Intl Economy Base'!$Q$105*(1+International_Fuel_Surcharge),2),ROUND(((1-PuertoRicoDiscount)*'Intl Economy Base'!Q47)*(1+International_Fuel_Surcharge),2)))*(1+FedEx_Markup),2)</f>
        <v>253.54</v>
      </c>
      <c r="R50" s="138"/>
      <c r="S50" s="138"/>
      <c r="T50" s="138"/>
      <c r="U50" s="138"/>
      <c r="V50" s="138"/>
      <c r="W50" s="138"/>
      <c r="X50" s="138"/>
      <c r="Y50" s="138"/>
      <c r="Z50" s="138"/>
    </row>
    <row r="51" ht="12.75" customHeight="1">
      <c r="A51" s="294">
        <v>46.0</v>
      </c>
      <c r="B51" s="295">
        <f>ROUND((IF('Intl Economy Base'!$B$105&gt;ROUND(((1-IntEconomyDiscount-IntEoncomyIncentive)*'Intl Economy Base'!B48),2),ROUND('Intl Economy Base'!$B$105*(1+International_Fuel_Surcharge),2),ROUND(((1-IntEconomyDiscount-IntEoncomyIncentive)*'Intl Economy Base'!B48)*(1+International_Fuel_Surcharge),2)))*(1+FedEx_Markup),2)</f>
        <v>101.36</v>
      </c>
      <c r="C51" s="295">
        <f>ROUND((IF('Intl Economy Base'!$C$105&gt;ROUND(((1-IntEconomyDiscount-IntEoncomyIncentive)*'Intl Economy Base'!C48),2),ROUND('Intl Economy Base'!$C$105*(1+International_Fuel_Surcharge),2),ROUND(((1-IntEconomyDiscount-IntEoncomyIncentive)*'Intl Economy Base'!C48)*(1+International_Fuel_Surcharge),2)))*(1+FedEx_Markup),2)</f>
        <v>114.06</v>
      </c>
      <c r="D51" s="295">
        <f>ROUND((IF('Intl Economy Base'!$D$105&gt;ROUND(((1-IntEconomyDiscount-IntEoncomyIncentive)*'Intl Economy Base'!D48),2),ROUND('Intl Economy Base'!$D$105*(1+International_Fuel_Surcharge),2),ROUND(((1-IntEconomyDiscount-IntEoncomyIncentive)*'Intl Economy Base'!D48)*(1+International_Fuel_Surcharge),2)))*(1+FedEx_Markup),2)</f>
        <v>82.69</v>
      </c>
      <c r="E51" s="295">
        <f>ROUND((IF('Intl Economy Base'!$E$105&gt;ROUND(((1-IntEconomyDiscount-IntEoncomyIncentive)*'Intl Economy Base'!E48),2),ROUND('Intl Economy Base'!$E$105*(1+International_Fuel_Surcharge),2),ROUND(((1-IntEconomyDiscount-IntEoncomyIncentive)*'Intl Economy Base'!E48)*(1+International_Fuel_Surcharge),2)))*(1+FedEx_Markup),2)</f>
        <v>149.26</v>
      </c>
      <c r="F51" s="295">
        <f>ROUND((IF('Intl Economy Base'!$F$105&gt;ROUND(((1-IntEconomyDiscount-IntEoncomyIncentive)*'Intl Economy Base'!F48),2),ROUND('Intl Economy Base'!$F$105*(1+International_Fuel_Surcharge),2),ROUND(((1-IntEconomyDiscount-IntEoncomyIncentive)*'Intl Economy Base'!F48)*(1+International_Fuel_Surcharge),2)))*(1+FedEx_Markup),2)</f>
        <v>278.82</v>
      </c>
      <c r="G51" s="295">
        <f>ROUND((IF('Intl Economy Base'!$G$105&gt;ROUND(((1-IntEconomyDiscount-IntEoncomyIncentive)*'Intl Economy Base'!G48),2),ROUND('Intl Economy Base'!$G$105*(1+International_Fuel_Surcharge),2),ROUND(((1-IntEconomyDiscount-IntEoncomyIncentive)*'Intl Economy Base'!G48)*(1+International_Fuel_Surcharge),2)))*(1+FedEx_Markup),2)</f>
        <v>156.06</v>
      </c>
      <c r="H51" s="295">
        <f>ROUND((IF('Intl Economy Base'!$H$105&gt;ROUND(((1-IntEconomyDiscount-IntEoncomyIncentive)*'Intl Economy Base'!H48),2),ROUND('Intl Economy Base'!$H$105*(1+International_Fuel_Surcharge),2),ROUND(((1-IntEconomyDiscount-IntEoncomyIncentive)*'Intl Economy Base'!H48)*(1+International_Fuel_Surcharge),2)))*(1+FedEx_Markup),2)</f>
        <v>163.78</v>
      </c>
      <c r="I51" s="295">
        <f>ROUND((IF('Intl Economy Base'!$I$105&gt;ROUND(((1-IntEconomyDiscount-IntEoncomyIncentive)*'Intl Economy Base'!I48),2),ROUND('Intl Economy Base'!$I$105*(1+International_Fuel_Surcharge),2),ROUND(((1-IntEconomyDiscount-IntEoncomyIncentive)*'Intl Economy Base'!I48)*(1+International_Fuel_Surcharge),2)))*(1+FedEx_Markup),2)</f>
        <v>197.02</v>
      </c>
      <c r="J51" s="295">
        <f>ROUND((IF('Intl Economy Base'!$J$105&gt;ROUND(((1-IntEconomyDiscount-IntEoncomyIncentive)*'Intl Economy Base'!J48),2),ROUND('Intl Economy Base'!$J$105*(1+International_Fuel_Surcharge),2),ROUND(((1-IntEconomyDiscount-IntEoncomyIncentive)*'Intl Economy Base'!J48)*(1+International_Fuel_Surcharge),2)))*(1+FedEx_Markup),2)</f>
        <v>110.63</v>
      </c>
      <c r="K51" s="295">
        <f>ROUND((IF('Intl Economy Base'!$K$105&gt;ROUND(((1-IntEconomyDiscount-IntEoncomyIncentive)*'Intl Economy Base'!K48),2),ROUND('Intl Economy Base'!$K$105*(1+International_Fuel_Surcharge),2),ROUND(((1-IntEconomyDiscount-IntEoncomyIncentive)*'Intl Economy Base'!K48)*(1+International_Fuel_Surcharge),2)))*(1+FedEx_Markup),2)</f>
        <v>256.11</v>
      </c>
      <c r="L51" s="295">
        <f>ROUND((IF('Intl Economy Base'!$L$105&gt;ROUND(((1-IntEconomyDiscount-IntEoncomyIncentive)*'Intl Economy Base'!L48),2),ROUND('Intl Economy Base'!$L$105*(1+International_Fuel_Surcharge),2),ROUND(((1-IntEconomyDiscount-IntEoncomyIncentive)*'Intl Economy Base'!L48)*(1+International_Fuel_Surcharge),2)))*(1+FedEx_Markup),2)</f>
        <v>198.26</v>
      </c>
      <c r="M51" s="295">
        <f>ROUND((IF('Intl Economy Base'!$M$105&gt;ROUND(((1-IntEconomyDiscount-IntEoncomyIncentive)*'Intl Economy Base'!M48),2),ROUND('Intl Economy Base'!$M$105*(1+International_Fuel_Surcharge),2),ROUND(((1-IntEconomyDiscount-IntEoncomyIncentive)*'Intl Economy Base'!M48)*(1+International_Fuel_Surcharge),2)))*(1+FedEx_Markup),2)</f>
        <v>258.14</v>
      </c>
      <c r="N51" s="295">
        <f>ROUND((IF('Intl Economy Base'!$N$105&gt;ROUND(((1-IntEconomyDiscount-IntEoncomyIncentive)*'Intl Economy Base'!N48),2),ROUND('Intl Economy Base'!$N$105*(1+International_Fuel_Surcharge),2),ROUND(((1-IntEconomyDiscount-IntEoncomyIncentive)*'Intl Economy Base'!N48)*(1+International_Fuel_Surcharge),2)))*(1+FedEx_Markup),2)</f>
        <v>283.79</v>
      </c>
      <c r="O51" s="295">
        <f>ROUND((IF('Intl Economy Base'!$O$105&gt;ROUND(((1-IntEconomyDiscount-IntEoncomyIncentive)*'Intl Economy Base'!O48),2),ROUND('Intl Economy Base'!$O$105*(1+International_Fuel_Surcharge),2),ROUND(((1-IntEconomyDiscount-IntEoncomyIncentive)*'Intl Economy Base'!O48)*(1+International_Fuel_Surcharge),2)))*(1+FedEx_Markup),2)</f>
        <v>225.76</v>
      </c>
      <c r="P51" s="295">
        <f>ROUND((IF('Intl Economy Base'!$P$105&gt;ROUND(((1-IntEconomyDiscount-IntEoncomyIncentive)*'Intl Economy Base'!P48),2),ROUND('Intl Economy Base'!$P$105*(1+International_Fuel_Surcharge),2),ROUND(((1-IntEconomyDiscount-IntEoncomyIncentive)*'Intl Economy Base'!P48)*(1+International_Fuel_Surcharge),2)))*(1+FedEx_Markup),2)</f>
        <v>196.03</v>
      </c>
      <c r="Q51" s="295">
        <f>ROUND((IF('Intl Economy Base'!$Q$105&gt;ROUND(((1-PuertoRicoDiscount)*'Intl Economy Base'!Q48),2),ROUND('Intl Economy Base'!$Q$105*(1+International_Fuel_Surcharge),2),ROUND(((1-PuertoRicoDiscount)*'Intl Economy Base'!Q48)*(1+International_Fuel_Surcharge),2)))*(1+FedEx_Markup),2)</f>
        <v>259.66</v>
      </c>
      <c r="R51" s="138"/>
      <c r="S51" s="138"/>
      <c r="T51" s="138"/>
      <c r="U51" s="138"/>
      <c r="V51" s="138"/>
      <c r="W51" s="138"/>
      <c r="X51" s="138"/>
      <c r="Y51" s="138"/>
      <c r="Z51" s="138"/>
    </row>
    <row r="52" ht="12.75" customHeight="1">
      <c r="A52" s="294">
        <v>47.0</v>
      </c>
      <c r="B52" s="295">
        <f>ROUND((IF('Intl Economy Base'!$B$105&gt;ROUND(((1-IntEconomyDiscount-IntEoncomyIncentive)*'Intl Economy Base'!B49),2),ROUND('Intl Economy Base'!$B$105*(1+International_Fuel_Surcharge),2),ROUND(((1-IntEconomyDiscount-IntEoncomyIncentive)*'Intl Economy Base'!B49)*(1+International_Fuel_Surcharge),2)))*(1+FedEx_Markup),2)</f>
        <v>104.13</v>
      </c>
      <c r="C52" s="295">
        <f>ROUND((IF('Intl Economy Base'!$C$105&gt;ROUND(((1-IntEconomyDiscount-IntEoncomyIncentive)*'Intl Economy Base'!C49),2),ROUND('Intl Economy Base'!$C$105*(1+International_Fuel_Surcharge),2),ROUND(((1-IntEconomyDiscount-IntEoncomyIncentive)*'Intl Economy Base'!C49)*(1+International_Fuel_Surcharge),2)))*(1+FedEx_Markup),2)</f>
        <v>115.74</v>
      </c>
      <c r="D52" s="295">
        <f>ROUND((IF('Intl Economy Base'!$D$105&gt;ROUND(((1-IntEconomyDiscount-IntEoncomyIncentive)*'Intl Economy Base'!D49),2),ROUND('Intl Economy Base'!$D$105*(1+International_Fuel_Surcharge),2),ROUND(((1-IntEconomyDiscount-IntEoncomyIncentive)*'Intl Economy Base'!D49)*(1+International_Fuel_Surcharge),2)))*(1+FedEx_Markup),2)</f>
        <v>82.73</v>
      </c>
      <c r="E52" s="295">
        <f>ROUND((IF('Intl Economy Base'!$E$105&gt;ROUND(((1-IntEconomyDiscount-IntEoncomyIncentive)*'Intl Economy Base'!E49),2),ROUND('Intl Economy Base'!$E$105*(1+International_Fuel_Surcharge),2),ROUND(((1-IntEconomyDiscount-IntEoncomyIncentive)*'Intl Economy Base'!E49)*(1+International_Fuel_Surcharge),2)))*(1+FedEx_Markup),2)</f>
        <v>149.33</v>
      </c>
      <c r="F52" s="295">
        <f>ROUND((IF('Intl Economy Base'!$F$105&gt;ROUND(((1-IntEconomyDiscount-IntEoncomyIncentive)*'Intl Economy Base'!F49),2),ROUND('Intl Economy Base'!$F$105*(1+International_Fuel_Surcharge),2),ROUND(((1-IntEconomyDiscount-IntEoncomyIncentive)*'Intl Economy Base'!F49)*(1+International_Fuel_Surcharge),2)))*(1+FedEx_Markup),2)</f>
        <v>295.08</v>
      </c>
      <c r="G52" s="295">
        <f>ROUND((IF('Intl Economy Base'!$G$105&gt;ROUND(((1-IntEconomyDiscount-IntEoncomyIncentive)*'Intl Economy Base'!G49),2),ROUND('Intl Economy Base'!$G$105*(1+International_Fuel_Surcharge),2),ROUND(((1-IntEconomyDiscount-IntEoncomyIncentive)*'Intl Economy Base'!G49)*(1+International_Fuel_Surcharge),2)))*(1+FedEx_Markup),2)</f>
        <v>156.25</v>
      </c>
      <c r="H52" s="295">
        <f>ROUND((IF('Intl Economy Base'!$H$105&gt;ROUND(((1-IntEconomyDiscount-IntEoncomyIncentive)*'Intl Economy Base'!H49),2),ROUND('Intl Economy Base'!$H$105*(1+International_Fuel_Surcharge),2),ROUND(((1-IntEconomyDiscount-IntEoncomyIncentive)*'Intl Economy Base'!H49)*(1+International_Fuel_Surcharge),2)))*(1+FedEx_Markup),2)</f>
        <v>164.01</v>
      </c>
      <c r="I52" s="295">
        <f>ROUND((IF('Intl Economy Base'!$I$105&gt;ROUND(((1-IntEconomyDiscount-IntEoncomyIncentive)*'Intl Economy Base'!I49),2),ROUND('Intl Economy Base'!$I$105*(1+International_Fuel_Surcharge),2),ROUND(((1-IntEconomyDiscount-IntEoncomyIncentive)*'Intl Economy Base'!I49)*(1+International_Fuel_Surcharge),2)))*(1+FedEx_Markup),2)</f>
        <v>197.14</v>
      </c>
      <c r="J52" s="295">
        <f>ROUND((IF('Intl Economy Base'!$J$105&gt;ROUND(((1-IntEconomyDiscount-IntEoncomyIncentive)*'Intl Economy Base'!J49),2),ROUND('Intl Economy Base'!$J$105*(1+International_Fuel_Surcharge),2),ROUND(((1-IntEconomyDiscount-IntEoncomyIncentive)*'Intl Economy Base'!J49)*(1+International_Fuel_Surcharge),2)))*(1+FedEx_Markup),2)</f>
        <v>114.68</v>
      </c>
      <c r="K52" s="295">
        <f>ROUND((IF('Intl Economy Base'!$K$105&gt;ROUND(((1-IntEconomyDiscount-IntEoncomyIncentive)*'Intl Economy Base'!K49),2),ROUND('Intl Economy Base'!$K$105*(1+International_Fuel_Surcharge),2),ROUND(((1-IntEconomyDiscount-IntEoncomyIncentive)*'Intl Economy Base'!K49)*(1+International_Fuel_Surcharge),2)))*(1+FedEx_Markup),2)</f>
        <v>256.28</v>
      </c>
      <c r="L52" s="295">
        <f>ROUND((IF('Intl Economy Base'!$L$105&gt;ROUND(((1-IntEconomyDiscount-IntEoncomyIncentive)*'Intl Economy Base'!L49),2),ROUND('Intl Economy Base'!$L$105*(1+International_Fuel_Surcharge),2),ROUND(((1-IntEconomyDiscount-IntEoncomyIncentive)*'Intl Economy Base'!L49)*(1+International_Fuel_Surcharge),2)))*(1+FedEx_Markup),2)</f>
        <v>198.78</v>
      </c>
      <c r="M52" s="295">
        <f>ROUND((IF('Intl Economy Base'!$M$105&gt;ROUND(((1-IntEconomyDiscount-IntEoncomyIncentive)*'Intl Economy Base'!M49),2),ROUND('Intl Economy Base'!$M$105*(1+International_Fuel_Surcharge),2),ROUND(((1-IntEconomyDiscount-IntEoncomyIncentive)*'Intl Economy Base'!M49)*(1+International_Fuel_Surcharge),2)))*(1+FedEx_Markup),2)</f>
        <v>259.51</v>
      </c>
      <c r="N52" s="295">
        <f>ROUND((IF('Intl Economy Base'!$N$105&gt;ROUND(((1-IntEconomyDiscount-IntEoncomyIncentive)*'Intl Economy Base'!N49),2),ROUND('Intl Economy Base'!$N$105*(1+International_Fuel_Surcharge),2),ROUND(((1-IntEconomyDiscount-IntEoncomyIncentive)*'Intl Economy Base'!N49)*(1+International_Fuel_Surcharge),2)))*(1+FedEx_Markup),2)</f>
        <v>283.87</v>
      </c>
      <c r="O52" s="295">
        <f>ROUND((IF('Intl Economy Base'!$O$105&gt;ROUND(((1-IntEconomyDiscount-IntEoncomyIncentive)*'Intl Economy Base'!O49),2),ROUND('Intl Economy Base'!$O$105*(1+International_Fuel_Surcharge),2),ROUND(((1-IntEconomyDiscount-IntEoncomyIncentive)*'Intl Economy Base'!O49)*(1+International_Fuel_Surcharge),2)))*(1+FedEx_Markup),2)</f>
        <v>226.04</v>
      </c>
      <c r="P52" s="295">
        <f>ROUND((IF('Intl Economy Base'!$P$105&gt;ROUND(((1-IntEconomyDiscount-IntEoncomyIncentive)*'Intl Economy Base'!P49),2),ROUND('Intl Economy Base'!$P$105*(1+International_Fuel_Surcharge),2),ROUND(((1-IntEconomyDiscount-IntEoncomyIncentive)*'Intl Economy Base'!P49)*(1+International_Fuel_Surcharge),2)))*(1+FedEx_Markup),2)</f>
        <v>209.81</v>
      </c>
      <c r="Q52" s="295">
        <f>ROUND((IF('Intl Economy Base'!$Q$105&gt;ROUND(((1-PuertoRicoDiscount)*'Intl Economy Base'!Q49),2),ROUND('Intl Economy Base'!$Q$105*(1+International_Fuel_Surcharge),2),ROUND(((1-PuertoRicoDiscount)*'Intl Economy Base'!Q49)*(1+International_Fuel_Surcharge),2)))*(1+FedEx_Markup),2)</f>
        <v>264.57</v>
      </c>
      <c r="R52" s="138"/>
      <c r="S52" s="138"/>
      <c r="T52" s="138"/>
      <c r="U52" s="138"/>
      <c r="V52" s="138"/>
      <c r="W52" s="138"/>
      <c r="X52" s="138"/>
      <c r="Y52" s="138"/>
      <c r="Z52" s="138"/>
    </row>
    <row r="53" ht="12.75" customHeight="1">
      <c r="A53" s="294">
        <v>48.0</v>
      </c>
      <c r="B53" s="295">
        <f>ROUND((IF('Intl Economy Base'!$B$105&gt;ROUND(((1-IntEconomyDiscount-IntEoncomyIncentive)*'Intl Economy Base'!B50),2),ROUND('Intl Economy Base'!$B$105*(1+International_Fuel_Surcharge),2),ROUND(((1-IntEconomyDiscount-IntEoncomyIncentive)*'Intl Economy Base'!B50)*(1+International_Fuel_Surcharge),2)))*(1+FedEx_Markup),2)</f>
        <v>104.41</v>
      </c>
      <c r="C53" s="295">
        <f>ROUND((IF('Intl Economy Base'!$C$105&gt;ROUND(((1-IntEconomyDiscount-IntEoncomyIncentive)*'Intl Economy Base'!C50),2),ROUND('Intl Economy Base'!$C$105*(1+International_Fuel_Surcharge),2),ROUND(((1-IntEconomyDiscount-IntEoncomyIncentive)*'Intl Economy Base'!C50)*(1+International_Fuel_Surcharge),2)))*(1+FedEx_Markup),2)</f>
        <v>118.4</v>
      </c>
      <c r="D53" s="295">
        <f>ROUND((IF('Intl Economy Base'!$D$105&gt;ROUND(((1-IntEconomyDiscount-IntEoncomyIncentive)*'Intl Economy Base'!D50),2),ROUND('Intl Economy Base'!$D$105*(1+International_Fuel_Surcharge),2),ROUND(((1-IntEconomyDiscount-IntEoncomyIncentive)*'Intl Economy Base'!D50)*(1+International_Fuel_Surcharge),2)))*(1+FedEx_Markup),2)</f>
        <v>82.83</v>
      </c>
      <c r="E53" s="295">
        <f>ROUND((IF('Intl Economy Base'!$E$105&gt;ROUND(((1-IntEconomyDiscount-IntEoncomyIncentive)*'Intl Economy Base'!E50),2),ROUND('Intl Economy Base'!$E$105*(1+International_Fuel_Surcharge),2),ROUND(((1-IntEconomyDiscount-IntEoncomyIncentive)*'Intl Economy Base'!E50)*(1+International_Fuel_Surcharge),2)))*(1+FedEx_Markup),2)</f>
        <v>149.4</v>
      </c>
      <c r="F53" s="295">
        <f>ROUND((IF('Intl Economy Base'!$F$105&gt;ROUND(((1-IntEconomyDiscount-IntEoncomyIncentive)*'Intl Economy Base'!F50),2),ROUND('Intl Economy Base'!$F$105*(1+International_Fuel_Surcharge),2),ROUND(((1-IntEconomyDiscount-IntEoncomyIncentive)*'Intl Economy Base'!F50)*(1+International_Fuel_Surcharge),2)))*(1+FedEx_Markup),2)</f>
        <v>296.7</v>
      </c>
      <c r="G53" s="295">
        <f>ROUND((IF('Intl Economy Base'!$G$105&gt;ROUND(((1-IntEconomyDiscount-IntEoncomyIncentive)*'Intl Economy Base'!G50),2),ROUND('Intl Economy Base'!$G$105*(1+International_Fuel_Surcharge),2),ROUND(((1-IntEconomyDiscount-IntEoncomyIncentive)*'Intl Economy Base'!G50)*(1+International_Fuel_Surcharge),2)))*(1+FedEx_Markup),2)</f>
        <v>156.64</v>
      </c>
      <c r="H53" s="295">
        <f>ROUND((IF('Intl Economy Base'!$H$105&gt;ROUND(((1-IntEconomyDiscount-IntEoncomyIncentive)*'Intl Economy Base'!H50),2),ROUND('Intl Economy Base'!$H$105*(1+International_Fuel_Surcharge),2),ROUND(((1-IntEconomyDiscount-IntEoncomyIncentive)*'Intl Economy Base'!H50)*(1+International_Fuel_Surcharge),2)))*(1+FedEx_Markup),2)</f>
        <v>164.06</v>
      </c>
      <c r="I53" s="295">
        <f>ROUND((IF('Intl Economy Base'!$I$105&gt;ROUND(((1-IntEconomyDiscount-IntEoncomyIncentive)*'Intl Economy Base'!I50),2),ROUND('Intl Economy Base'!$I$105*(1+International_Fuel_Surcharge),2),ROUND(((1-IntEconomyDiscount-IntEoncomyIncentive)*'Intl Economy Base'!I50)*(1+International_Fuel_Surcharge),2)))*(1+FedEx_Markup),2)</f>
        <v>199.65</v>
      </c>
      <c r="J53" s="295">
        <f>ROUND((IF('Intl Economy Base'!$J$105&gt;ROUND(((1-IntEconomyDiscount-IntEoncomyIncentive)*'Intl Economy Base'!J50),2),ROUND('Intl Economy Base'!$J$105*(1+International_Fuel_Surcharge),2),ROUND(((1-IntEconomyDiscount-IntEoncomyIncentive)*'Intl Economy Base'!J50)*(1+International_Fuel_Surcharge),2)))*(1+FedEx_Markup),2)</f>
        <v>123.53</v>
      </c>
      <c r="K53" s="295">
        <f>ROUND((IF('Intl Economy Base'!$K$105&gt;ROUND(((1-IntEconomyDiscount-IntEoncomyIncentive)*'Intl Economy Base'!K50),2),ROUND('Intl Economy Base'!$K$105*(1+International_Fuel_Surcharge),2),ROUND(((1-IntEconomyDiscount-IntEoncomyIncentive)*'Intl Economy Base'!K50)*(1+International_Fuel_Surcharge),2)))*(1+FedEx_Markup),2)</f>
        <v>259.59</v>
      </c>
      <c r="L53" s="295">
        <f>ROUND((IF('Intl Economy Base'!$L$105&gt;ROUND(((1-IntEconomyDiscount-IntEoncomyIncentive)*'Intl Economy Base'!L50),2),ROUND('Intl Economy Base'!$L$105*(1+International_Fuel_Surcharge),2),ROUND(((1-IntEconomyDiscount-IntEoncomyIncentive)*'Intl Economy Base'!L50)*(1+International_Fuel_Surcharge),2)))*(1+FedEx_Markup),2)</f>
        <v>202.73</v>
      </c>
      <c r="M53" s="295">
        <f>ROUND((IF('Intl Economy Base'!$M$105&gt;ROUND(((1-IntEconomyDiscount-IntEoncomyIncentive)*'Intl Economy Base'!M50),2),ROUND('Intl Economy Base'!$M$105*(1+International_Fuel_Surcharge),2),ROUND(((1-IntEconomyDiscount-IntEoncomyIncentive)*'Intl Economy Base'!M50)*(1+International_Fuel_Surcharge),2)))*(1+FedEx_Markup),2)</f>
        <v>263.32</v>
      </c>
      <c r="N53" s="295">
        <f>ROUND((IF('Intl Economy Base'!$N$105&gt;ROUND(((1-IntEconomyDiscount-IntEoncomyIncentive)*'Intl Economy Base'!N50),2),ROUND('Intl Economy Base'!$N$105*(1+International_Fuel_Surcharge),2),ROUND(((1-IntEconomyDiscount-IntEoncomyIncentive)*'Intl Economy Base'!N50)*(1+International_Fuel_Surcharge),2)))*(1+FedEx_Markup),2)</f>
        <v>285.53</v>
      </c>
      <c r="O53" s="295">
        <f>ROUND((IF('Intl Economy Base'!$O$105&gt;ROUND(((1-IntEconomyDiscount-IntEoncomyIncentive)*'Intl Economy Base'!O50),2),ROUND('Intl Economy Base'!$O$105*(1+International_Fuel_Surcharge),2),ROUND(((1-IntEconomyDiscount-IntEoncomyIncentive)*'Intl Economy Base'!O50)*(1+International_Fuel_Surcharge),2)))*(1+FedEx_Markup),2)</f>
        <v>226.16</v>
      </c>
      <c r="P53" s="295">
        <f>ROUND((IF('Intl Economy Base'!$P$105&gt;ROUND(((1-IntEconomyDiscount-IntEoncomyIncentive)*'Intl Economy Base'!P50),2),ROUND('Intl Economy Base'!$P$105*(1+International_Fuel_Surcharge),2),ROUND(((1-IntEconomyDiscount-IntEoncomyIncentive)*'Intl Economy Base'!P50)*(1+International_Fuel_Surcharge),2)))*(1+FedEx_Markup),2)</f>
        <v>211.19</v>
      </c>
      <c r="Q53" s="295">
        <f>ROUND((IF('Intl Economy Base'!$Q$105&gt;ROUND(((1-PuertoRicoDiscount)*'Intl Economy Base'!Q50),2),ROUND('Intl Economy Base'!$Q$105*(1+International_Fuel_Surcharge),2),ROUND(((1-PuertoRicoDiscount)*'Intl Economy Base'!Q50)*(1+International_Fuel_Surcharge),2)))*(1+FedEx_Markup),2)</f>
        <v>269.15</v>
      </c>
      <c r="R53" s="138"/>
      <c r="S53" s="138"/>
      <c r="T53" s="138"/>
      <c r="U53" s="138"/>
      <c r="V53" s="138"/>
      <c r="W53" s="138"/>
      <c r="X53" s="138"/>
      <c r="Y53" s="138"/>
      <c r="Z53" s="138"/>
    </row>
    <row r="54" ht="12.75" customHeight="1">
      <c r="A54" s="294">
        <v>49.0</v>
      </c>
      <c r="B54" s="295">
        <f>ROUND((IF('Intl Economy Base'!$B$105&gt;ROUND(((1-IntEconomyDiscount-IntEoncomyIncentive)*'Intl Economy Base'!B51),2),ROUND('Intl Economy Base'!$B$105*(1+International_Fuel_Surcharge),2),ROUND(((1-IntEconomyDiscount-IntEoncomyIncentive)*'Intl Economy Base'!B51)*(1+International_Fuel_Surcharge),2)))*(1+FedEx_Markup),2)</f>
        <v>105.63</v>
      </c>
      <c r="C54" s="295">
        <f>ROUND((IF('Intl Economy Base'!$C$105&gt;ROUND(((1-IntEconomyDiscount-IntEoncomyIncentive)*'Intl Economy Base'!C51),2),ROUND('Intl Economy Base'!$C$105*(1+International_Fuel_Surcharge),2),ROUND(((1-IntEconomyDiscount-IntEoncomyIncentive)*'Intl Economy Base'!C51)*(1+International_Fuel_Surcharge),2)))*(1+FedEx_Markup),2)</f>
        <v>118.67</v>
      </c>
      <c r="D54" s="295">
        <f>ROUND((IF('Intl Economy Base'!$D$105&gt;ROUND(((1-IntEconomyDiscount-IntEoncomyIncentive)*'Intl Economy Base'!D51),2),ROUND('Intl Economy Base'!$D$105*(1+International_Fuel_Surcharge),2),ROUND(((1-IntEconomyDiscount-IntEoncomyIncentive)*'Intl Economy Base'!D51)*(1+International_Fuel_Surcharge),2)))*(1+FedEx_Markup),2)</f>
        <v>82.88</v>
      </c>
      <c r="E54" s="295">
        <f>ROUND((IF('Intl Economy Base'!$E$105&gt;ROUND(((1-IntEconomyDiscount-IntEoncomyIncentive)*'Intl Economy Base'!E51),2),ROUND('Intl Economy Base'!$E$105*(1+International_Fuel_Surcharge),2),ROUND(((1-IntEconomyDiscount-IntEoncomyIncentive)*'Intl Economy Base'!E51)*(1+International_Fuel_Surcharge),2)))*(1+FedEx_Markup),2)</f>
        <v>149.45</v>
      </c>
      <c r="F54" s="295">
        <f>ROUND((IF('Intl Economy Base'!$F$105&gt;ROUND(((1-IntEconomyDiscount-IntEoncomyIncentive)*'Intl Economy Base'!F51),2),ROUND('Intl Economy Base'!$F$105*(1+International_Fuel_Surcharge),2),ROUND(((1-IntEconomyDiscount-IntEoncomyIncentive)*'Intl Economy Base'!F51)*(1+International_Fuel_Surcharge),2)))*(1+FedEx_Markup),2)</f>
        <v>297.83</v>
      </c>
      <c r="G54" s="295">
        <f>ROUND((IF('Intl Economy Base'!$G$105&gt;ROUND(((1-IntEconomyDiscount-IntEoncomyIncentive)*'Intl Economy Base'!G51),2),ROUND('Intl Economy Base'!$G$105*(1+International_Fuel_Surcharge),2),ROUND(((1-IntEconomyDiscount-IntEoncomyIncentive)*'Intl Economy Base'!G51)*(1+International_Fuel_Surcharge),2)))*(1+FedEx_Markup),2)</f>
        <v>164.31</v>
      </c>
      <c r="H54" s="295">
        <f>ROUND((IF('Intl Economy Base'!$H$105&gt;ROUND(((1-IntEconomyDiscount-IntEoncomyIncentive)*'Intl Economy Base'!H51),2),ROUND('Intl Economy Base'!$H$105*(1+International_Fuel_Surcharge),2),ROUND(((1-IntEconomyDiscount-IntEoncomyIncentive)*'Intl Economy Base'!H51)*(1+International_Fuel_Surcharge),2)))*(1+FedEx_Markup),2)</f>
        <v>164.22</v>
      </c>
      <c r="I54" s="295">
        <f>ROUND((IF('Intl Economy Base'!$I$105&gt;ROUND(((1-IntEconomyDiscount-IntEoncomyIncentive)*'Intl Economy Base'!I51),2),ROUND('Intl Economy Base'!$I$105*(1+International_Fuel_Surcharge),2),ROUND(((1-IntEconomyDiscount-IntEoncomyIncentive)*'Intl Economy Base'!I51)*(1+International_Fuel_Surcharge),2)))*(1+FedEx_Markup),2)</f>
        <v>205.7</v>
      </c>
      <c r="J54" s="295">
        <f>ROUND((IF('Intl Economy Base'!$J$105&gt;ROUND(((1-IntEconomyDiscount-IntEoncomyIncentive)*'Intl Economy Base'!J51),2),ROUND('Intl Economy Base'!$J$105*(1+International_Fuel_Surcharge),2),ROUND(((1-IntEconomyDiscount-IntEoncomyIncentive)*'Intl Economy Base'!J51)*(1+International_Fuel_Surcharge),2)))*(1+FedEx_Markup),2)</f>
        <v>124.42</v>
      </c>
      <c r="K54" s="295">
        <f>ROUND((IF('Intl Economy Base'!$K$105&gt;ROUND(((1-IntEconomyDiscount-IntEoncomyIncentive)*'Intl Economy Base'!K51),2),ROUND('Intl Economy Base'!$K$105*(1+International_Fuel_Surcharge),2),ROUND(((1-IntEconomyDiscount-IntEoncomyIncentive)*'Intl Economy Base'!K51)*(1+International_Fuel_Surcharge),2)))*(1+FedEx_Markup),2)</f>
        <v>267.49</v>
      </c>
      <c r="L54" s="295">
        <f>ROUND((IF('Intl Economy Base'!$L$105&gt;ROUND(((1-IntEconomyDiscount-IntEoncomyIncentive)*'Intl Economy Base'!L51),2),ROUND('Intl Economy Base'!$L$105*(1+International_Fuel_Surcharge),2),ROUND(((1-IntEconomyDiscount-IntEoncomyIncentive)*'Intl Economy Base'!L51)*(1+International_Fuel_Surcharge),2)))*(1+FedEx_Markup),2)</f>
        <v>209.08</v>
      </c>
      <c r="M54" s="295">
        <f>ROUND((IF('Intl Economy Base'!$M$105&gt;ROUND(((1-IntEconomyDiscount-IntEoncomyIncentive)*'Intl Economy Base'!M51),2),ROUND('Intl Economy Base'!$M$105*(1+International_Fuel_Surcharge),2),ROUND(((1-IntEconomyDiscount-IntEoncomyIncentive)*'Intl Economy Base'!M51)*(1+International_Fuel_Surcharge),2)))*(1+FedEx_Markup),2)</f>
        <v>287.33</v>
      </c>
      <c r="N54" s="295">
        <f>ROUND((IF('Intl Economy Base'!$N$105&gt;ROUND(((1-IntEconomyDiscount-IntEoncomyIncentive)*'Intl Economy Base'!N51),2),ROUND('Intl Economy Base'!$N$105*(1+International_Fuel_Surcharge),2),ROUND(((1-IntEconomyDiscount-IntEoncomyIncentive)*'Intl Economy Base'!N51)*(1+International_Fuel_Surcharge),2)))*(1+FedEx_Markup),2)</f>
        <v>295.75</v>
      </c>
      <c r="O54" s="295">
        <f>ROUND((IF('Intl Economy Base'!$O$105&gt;ROUND(((1-IntEconomyDiscount-IntEoncomyIncentive)*'Intl Economy Base'!O51),2),ROUND('Intl Economy Base'!$O$105*(1+International_Fuel_Surcharge),2),ROUND(((1-IntEconomyDiscount-IntEoncomyIncentive)*'Intl Economy Base'!O51)*(1+International_Fuel_Surcharge),2)))*(1+FedEx_Markup),2)</f>
        <v>228.22</v>
      </c>
      <c r="P54" s="295">
        <f>ROUND((IF('Intl Economy Base'!$P$105&gt;ROUND(((1-IntEconomyDiscount-IntEoncomyIncentive)*'Intl Economy Base'!P51),2),ROUND('Intl Economy Base'!$P$105*(1+International_Fuel_Surcharge),2),ROUND(((1-IntEconomyDiscount-IntEoncomyIncentive)*'Intl Economy Base'!P51)*(1+International_Fuel_Surcharge),2)))*(1+FedEx_Markup),2)</f>
        <v>211.51</v>
      </c>
      <c r="Q54" s="295">
        <f>ROUND((IF('Intl Economy Base'!$Q$105&gt;ROUND(((1-PuertoRicoDiscount)*'Intl Economy Base'!Q51),2),ROUND('Intl Economy Base'!$Q$105*(1+International_Fuel_Surcharge),2),ROUND(((1-PuertoRicoDiscount)*'Intl Economy Base'!Q51)*(1+International_Fuel_Surcharge),2)))*(1+FedEx_Markup),2)</f>
        <v>274.23</v>
      </c>
      <c r="R54" s="138"/>
      <c r="S54" s="138"/>
      <c r="T54" s="138"/>
      <c r="U54" s="138"/>
      <c r="V54" s="138"/>
      <c r="W54" s="138"/>
      <c r="X54" s="138"/>
      <c r="Y54" s="138"/>
      <c r="Z54" s="138"/>
    </row>
    <row r="55" ht="12.75" customHeight="1">
      <c r="A55" s="294">
        <v>50.0</v>
      </c>
      <c r="B55" s="295">
        <f>ROUND((IF('Intl Economy Base'!$B$105&gt;ROUND(((1-IntEconomyDiscount-IntEoncomyIncentive)*'Intl Economy Base'!B52),2),ROUND('Intl Economy Base'!$B$105*(1+International_Fuel_Surcharge),2),ROUND(((1-IntEconomyDiscount-IntEoncomyIncentive)*'Intl Economy Base'!B52)*(1+International_Fuel_Surcharge),2)))*(1+FedEx_Markup),2)</f>
        <v>107.51</v>
      </c>
      <c r="C55" s="295">
        <f>ROUND((IF('Intl Economy Base'!$C$105&gt;ROUND(((1-IntEconomyDiscount-IntEoncomyIncentive)*'Intl Economy Base'!C52),2),ROUND('Intl Economy Base'!$C$105*(1+International_Fuel_Surcharge),2),ROUND(((1-IntEconomyDiscount-IntEoncomyIncentive)*'Intl Economy Base'!C52)*(1+International_Fuel_Surcharge),2)))*(1+FedEx_Markup),2)</f>
        <v>120.77</v>
      </c>
      <c r="D55" s="295">
        <f>ROUND((IF('Intl Economy Base'!$D$105&gt;ROUND(((1-IntEconomyDiscount-IntEoncomyIncentive)*'Intl Economy Base'!D52),2),ROUND('Intl Economy Base'!$D$105*(1+International_Fuel_Surcharge),2),ROUND(((1-IntEconomyDiscount-IntEoncomyIncentive)*'Intl Economy Base'!D52)*(1+International_Fuel_Surcharge),2)))*(1+FedEx_Markup),2)</f>
        <v>83.25</v>
      </c>
      <c r="E55" s="295">
        <f>ROUND((IF('Intl Economy Base'!$E$105&gt;ROUND(((1-IntEconomyDiscount-IntEoncomyIncentive)*'Intl Economy Base'!E52),2),ROUND('Intl Economy Base'!$E$105*(1+International_Fuel_Surcharge),2),ROUND(((1-IntEconomyDiscount-IntEoncomyIncentive)*'Intl Economy Base'!E52)*(1+International_Fuel_Surcharge),2)))*(1+FedEx_Markup),2)</f>
        <v>150.09</v>
      </c>
      <c r="F55" s="295">
        <f>ROUND((IF('Intl Economy Base'!$F$105&gt;ROUND(((1-IntEconomyDiscount-IntEoncomyIncentive)*'Intl Economy Base'!F52),2),ROUND('Intl Economy Base'!$F$105*(1+International_Fuel_Surcharge),2),ROUND(((1-IntEconomyDiscount-IntEoncomyIncentive)*'Intl Economy Base'!F52)*(1+International_Fuel_Surcharge),2)))*(1+FedEx_Markup),2)</f>
        <v>320.3</v>
      </c>
      <c r="G55" s="295">
        <f>ROUND((IF('Intl Economy Base'!$G$105&gt;ROUND(((1-IntEconomyDiscount-IntEoncomyIncentive)*'Intl Economy Base'!G52),2),ROUND('Intl Economy Base'!$G$105*(1+International_Fuel_Surcharge),2),ROUND(((1-IntEconomyDiscount-IntEoncomyIncentive)*'Intl Economy Base'!G52)*(1+International_Fuel_Surcharge),2)))*(1+FedEx_Markup),2)</f>
        <v>165.63</v>
      </c>
      <c r="H55" s="295">
        <f>ROUND((IF('Intl Economy Base'!$H$105&gt;ROUND(((1-IntEconomyDiscount-IntEoncomyIncentive)*'Intl Economy Base'!H52),2),ROUND('Intl Economy Base'!$H$105*(1+International_Fuel_Surcharge),2),ROUND(((1-IntEconomyDiscount-IntEoncomyIncentive)*'Intl Economy Base'!H52)*(1+International_Fuel_Surcharge),2)))*(1+FedEx_Markup),2)</f>
        <v>165.17</v>
      </c>
      <c r="I55" s="295">
        <f>ROUND((IF('Intl Economy Base'!$I$105&gt;ROUND(((1-IntEconomyDiscount-IntEoncomyIncentive)*'Intl Economy Base'!I52),2),ROUND('Intl Economy Base'!$I$105*(1+International_Fuel_Surcharge),2),ROUND(((1-IntEconomyDiscount-IntEoncomyIncentive)*'Intl Economy Base'!I52)*(1+International_Fuel_Surcharge),2)))*(1+FedEx_Markup),2)</f>
        <v>207.2</v>
      </c>
      <c r="J55" s="295">
        <f>ROUND((IF('Intl Economy Base'!$J$105&gt;ROUND(((1-IntEconomyDiscount-IntEoncomyIncentive)*'Intl Economy Base'!J52),2),ROUND('Intl Economy Base'!$J$105*(1+International_Fuel_Surcharge),2),ROUND(((1-IntEconomyDiscount-IntEoncomyIncentive)*'Intl Economy Base'!J52)*(1+International_Fuel_Surcharge),2)))*(1+FedEx_Markup),2)</f>
        <v>124.97</v>
      </c>
      <c r="K55" s="295">
        <f>ROUND((IF('Intl Economy Base'!$K$105&gt;ROUND(((1-IntEconomyDiscount-IntEoncomyIncentive)*'Intl Economy Base'!K52),2),ROUND('Intl Economy Base'!$K$105*(1+International_Fuel_Surcharge),2),ROUND(((1-IntEconomyDiscount-IntEoncomyIncentive)*'Intl Economy Base'!K52)*(1+International_Fuel_Surcharge),2)))*(1+FedEx_Markup),2)</f>
        <v>269.3</v>
      </c>
      <c r="L55" s="295">
        <f>ROUND((IF('Intl Economy Base'!$L$105&gt;ROUND(((1-IntEconomyDiscount-IntEoncomyIncentive)*'Intl Economy Base'!L52),2),ROUND('Intl Economy Base'!$L$105*(1+International_Fuel_Surcharge),2),ROUND(((1-IntEconomyDiscount-IntEoncomyIncentive)*'Intl Economy Base'!L52)*(1+International_Fuel_Surcharge),2)))*(1+FedEx_Markup),2)</f>
        <v>210.51</v>
      </c>
      <c r="M55" s="295">
        <f>ROUND((IF('Intl Economy Base'!$M$105&gt;ROUND(((1-IntEconomyDiscount-IntEoncomyIncentive)*'Intl Economy Base'!M52),2),ROUND('Intl Economy Base'!$M$105*(1+International_Fuel_Surcharge),2),ROUND(((1-IntEconomyDiscount-IntEoncomyIncentive)*'Intl Economy Base'!M52)*(1+International_Fuel_Surcharge),2)))*(1+FedEx_Markup),2)</f>
        <v>291.1</v>
      </c>
      <c r="N55" s="295">
        <f>ROUND((IF('Intl Economy Base'!$N$105&gt;ROUND(((1-IntEconomyDiscount-IntEoncomyIncentive)*'Intl Economy Base'!N52),2),ROUND('Intl Economy Base'!$N$105*(1+International_Fuel_Surcharge),2),ROUND(((1-IntEconomyDiscount-IntEoncomyIncentive)*'Intl Economy Base'!N52)*(1+International_Fuel_Surcharge),2)))*(1+FedEx_Markup),2)</f>
        <v>299.9</v>
      </c>
      <c r="O55" s="295">
        <f>ROUND((IF('Intl Economy Base'!$O$105&gt;ROUND(((1-IntEconomyDiscount-IntEoncomyIncentive)*'Intl Economy Base'!O52),2),ROUND('Intl Economy Base'!$O$105*(1+International_Fuel_Surcharge),2),ROUND(((1-IntEconomyDiscount-IntEoncomyIncentive)*'Intl Economy Base'!O52)*(1+International_Fuel_Surcharge),2)))*(1+FedEx_Markup),2)</f>
        <v>229.05</v>
      </c>
      <c r="P55" s="295">
        <f>ROUND((IF('Intl Economy Base'!$P$105&gt;ROUND(((1-IntEconomyDiscount-IntEoncomyIncentive)*'Intl Economy Base'!P52),2),ROUND('Intl Economy Base'!$P$105*(1+International_Fuel_Surcharge),2),ROUND(((1-IntEconomyDiscount-IntEoncomyIncentive)*'Intl Economy Base'!P52)*(1+International_Fuel_Surcharge),2)))*(1+FedEx_Markup),2)</f>
        <v>217.98</v>
      </c>
      <c r="Q55" s="295">
        <f>ROUND((IF('Intl Economy Base'!$Q$105&gt;ROUND(((1-PuertoRicoDiscount)*'Intl Economy Base'!Q52),2),ROUND('Intl Economy Base'!$Q$105*(1+International_Fuel_Surcharge),2),ROUND(((1-PuertoRicoDiscount)*'Intl Economy Base'!Q52)*(1+International_Fuel_Surcharge),2)))*(1+FedEx_Markup),2)</f>
        <v>274.31</v>
      </c>
      <c r="R55" s="138"/>
      <c r="S55" s="138"/>
      <c r="T55" s="138"/>
      <c r="U55" s="138"/>
      <c r="V55" s="138"/>
      <c r="W55" s="138"/>
      <c r="X55" s="138"/>
      <c r="Y55" s="138"/>
      <c r="Z55" s="138"/>
    </row>
    <row r="56" ht="12.75" customHeight="1">
      <c r="A56" s="294">
        <v>52.0</v>
      </c>
      <c r="B56" s="295">
        <f>ROUND((IF('Intl Economy Base'!$B$105&gt;ROUND(((1-IntEconomyDiscount-IntEoncomyIncentive)*'Intl Economy Base'!B53),2),ROUND('Intl Economy Base'!$B$105*(1+International_Fuel_Surcharge),2),ROUND(((1-IntEconomyDiscount-IntEoncomyIncentive)*'Intl Economy Base'!B53)*(1+International_Fuel_Surcharge),2)))*(1+FedEx_Markup),2)</f>
        <v>111.55</v>
      </c>
      <c r="C56" s="295">
        <f>ROUND((IF('Intl Economy Base'!$C$105&gt;ROUND(((1-IntEconomyDiscount-IntEoncomyIncentive)*'Intl Economy Base'!C53),2),ROUND('Intl Economy Base'!$C$105*(1+International_Fuel_Surcharge),2),ROUND(((1-IntEconomyDiscount-IntEoncomyIncentive)*'Intl Economy Base'!C53)*(1+International_Fuel_Surcharge),2)))*(1+FedEx_Markup),2)</f>
        <v>124.71</v>
      </c>
      <c r="D56" s="295">
        <f>ROUND((IF('Intl Economy Base'!$D$105&gt;ROUND(((1-IntEconomyDiscount-IntEoncomyIncentive)*'Intl Economy Base'!D53),2),ROUND('Intl Economy Base'!$D$105*(1+International_Fuel_Surcharge),2),ROUND(((1-IntEconomyDiscount-IntEoncomyIncentive)*'Intl Economy Base'!D53)*(1+International_Fuel_Surcharge),2)))*(1+FedEx_Markup),2)</f>
        <v>84.25</v>
      </c>
      <c r="E56" s="295">
        <f>ROUND((IF('Intl Economy Base'!$E$105&gt;ROUND(((1-IntEconomyDiscount-IntEoncomyIncentive)*'Intl Economy Base'!E53),2),ROUND('Intl Economy Base'!$E$105*(1+International_Fuel_Surcharge),2),ROUND(((1-IntEconomyDiscount-IntEoncomyIncentive)*'Intl Economy Base'!E53)*(1+International_Fuel_Surcharge),2)))*(1+FedEx_Markup),2)</f>
        <v>150.17</v>
      </c>
      <c r="F56" s="295">
        <f>ROUND((IF('Intl Economy Base'!$F$105&gt;ROUND(((1-IntEconomyDiscount-IntEoncomyIncentive)*'Intl Economy Base'!F53),2),ROUND('Intl Economy Base'!$F$105*(1+International_Fuel_Surcharge),2),ROUND(((1-IntEconomyDiscount-IntEoncomyIncentive)*'Intl Economy Base'!F53)*(1+International_Fuel_Surcharge),2)))*(1+FedEx_Markup),2)</f>
        <v>322.54</v>
      </c>
      <c r="G56" s="295">
        <f>ROUND((IF('Intl Economy Base'!$G$105&gt;ROUND(((1-IntEconomyDiscount-IntEoncomyIncentive)*'Intl Economy Base'!G53),2),ROUND('Intl Economy Base'!$G$105*(1+International_Fuel_Surcharge),2),ROUND(((1-IntEconomyDiscount-IntEoncomyIncentive)*'Intl Economy Base'!G53)*(1+International_Fuel_Surcharge),2)))*(1+FedEx_Markup),2)</f>
        <v>165.77</v>
      </c>
      <c r="H56" s="295">
        <f>ROUND((IF('Intl Economy Base'!$H$105&gt;ROUND(((1-IntEconomyDiscount-IntEoncomyIncentive)*'Intl Economy Base'!H53),2),ROUND('Intl Economy Base'!$H$105*(1+International_Fuel_Surcharge),2),ROUND(((1-IntEconomyDiscount-IntEoncomyIncentive)*'Intl Economy Base'!H53)*(1+International_Fuel_Surcharge),2)))*(1+FedEx_Markup),2)</f>
        <v>170.81</v>
      </c>
      <c r="I56" s="295">
        <f>ROUND((IF('Intl Economy Base'!$I$105&gt;ROUND(((1-IntEconomyDiscount-IntEoncomyIncentive)*'Intl Economy Base'!I53),2),ROUND('Intl Economy Base'!$I$105*(1+International_Fuel_Surcharge),2),ROUND(((1-IntEconomyDiscount-IntEoncomyIncentive)*'Intl Economy Base'!I53)*(1+International_Fuel_Surcharge),2)))*(1+FedEx_Markup),2)</f>
        <v>207.35</v>
      </c>
      <c r="J56" s="295">
        <f>ROUND((IF('Intl Economy Base'!$J$105&gt;ROUND(((1-IntEconomyDiscount-IntEoncomyIncentive)*'Intl Economy Base'!J53),2),ROUND('Intl Economy Base'!$J$105*(1+International_Fuel_Surcharge),2),ROUND(((1-IntEconomyDiscount-IntEoncomyIncentive)*'Intl Economy Base'!J53)*(1+International_Fuel_Surcharge),2)))*(1+FedEx_Markup),2)</f>
        <v>125.04</v>
      </c>
      <c r="K56" s="295">
        <f>ROUND((IF('Intl Economy Base'!$K$105&gt;ROUND(((1-IntEconomyDiscount-IntEoncomyIncentive)*'Intl Economy Base'!K53),2),ROUND('Intl Economy Base'!$K$105*(1+International_Fuel_Surcharge),2),ROUND(((1-IntEconomyDiscount-IntEoncomyIncentive)*'Intl Economy Base'!K53)*(1+International_Fuel_Surcharge),2)))*(1+FedEx_Markup),2)</f>
        <v>272.42</v>
      </c>
      <c r="L56" s="295">
        <f>ROUND((IF('Intl Economy Base'!$L$105&gt;ROUND(((1-IntEconomyDiscount-IntEoncomyIncentive)*'Intl Economy Base'!L53),2),ROUND('Intl Economy Base'!$L$105*(1+International_Fuel_Surcharge),2),ROUND(((1-IntEconomyDiscount-IntEoncomyIncentive)*'Intl Economy Base'!L53)*(1+International_Fuel_Surcharge),2)))*(1+FedEx_Markup),2)</f>
        <v>212.85</v>
      </c>
      <c r="M56" s="295">
        <f>ROUND((IF('Intl Economy Base'!$M$105&gt;ROUND(((1-IntEconomyDiscount-IntEoncomyIncentive)*'Intl Economy Base'!M53),2),ROUND('Intl Economy Base'!$M$105*(1+International_Fuel_Surcharge),2),ROUND(((1-IntEconomyDiscount-IntEoncomyIncentive)*'Intl Economy Base'!M53)*(1+International_Fuel_Surcharge),2)))*(1+FedEx_Markup),2)</f>
        <v>291.48</v>
      </c>
      <c r="N56" s="295">
        <f>ROUND((IF('Intl Economy Base'!$N$105&gt;ROUND(((1-IntEconomyDiscount-IntEoncomyIncentive)*'Intl Economy Base'!N53),2),ROUND('Intl Economy Base'!$N$105*(1+International_Fuel_Surcharge),2),ROUND(((1-IntEconomyDiscount-IntEoncomyIncentive)*'Intl Economy Base'!N53)*(1+International_Fuel_Surcharge),2)))*(1+FedEx_Markup),2)</f>
        <v>300.31</v>
      </c>
      <c r="O56" s="295">
        <f>ROUND((IF('Intl Economy Base'!$O$105&gt;ROUND(((1-IntEconomyDiscount-IntEoncomyIncentive)*'Intl Economy Base'!O53),2),ROUND('Intl Economy Base'!$O$105*(1+International_Fuel_Surcharge),2),ROUND(((1-IntEconomyDiscount-IntEoncomyIncentive)*'Intl Economy Base'!O53)*(1+International_Fuel_Surcharge),2)))*(1+FedEx_Markup),2)</f>
        <v>229.13</v>
      </c>
      <c r="P56" s="295">
        <f>ROUND((IF('Intl Economy Base'!$P$105&gt;ROUND(((1-IntEconomyDiscount-IntEoncomyIncentive)*'Intl Economy Base'!P53),2),ROUND('Intl Economy Base'!$P$105*(1+International_Fuel_Surcharge),2),ROUND(((1-IntEconomyDiscount-IntEoncomyIncentive)*'Intl Economy Base'!P53)*(1+International_Fuel_Surcharge),2)))*(1+FedEx_Markup),2)</f>
        <v>218.63</v>
      </c>
      <c r="Q56" s="295">
        <f>ROUND((IF('Intl Economy Base'!$Q$105&gt;ROUND(((1-PuertoRicoDiscount)*'Intl Economy Base'!Q53),2),ROUND('Intl Economy Base'!$Q$105*(1+International_Fuel_Surcharge),2),ROUND(((1-PuertoRicoDiscount)*'Intl Economy Base'!Q53)*(1+International_Fuel_Surcharge),2)))*(1+FedEx_Markup),2)</f>
        <v>283.54</v>
      </c>
      <c r="R56" s="138"/>
      <c r="S56" s="138"/>
      <c r="T56" s="138"/>
      <c r="U56" s="138"/>
      <c r="V56" s="138"/>
      <c r="W56" s="138"/>
      <c r="X56" s="138"/>
      <c r="Y56" s="138"/>
      <c r="Z56" s="138"/>
    </row>
    <row r="57" ht="12.75" customHeight="1">
      <c r="A57" s="294">
        <v>54.0</v>
      </c>
      <c r="B57" s="295">
        <f>ROUND((IF('Intl Economy Base'!$B$105&gt;ROUND(((1-IntEconomyDiscount-IntEoncomyIncentive)*'Intl Economy Base'!B54),2),ROUND('Intl Economy Base'!$B$105*(1+International_Fuel_Surcharge),2),ROUND(((1-IntEconomyDiscount-IntEoncomyIncentive)*'Intl Economy Base'!B54)*(1+International_Fuel_Surcharge),2)))*(1+FedEx_Markup),2)</f>
        <v>112.36</v>
      </c>
      <c r="C57" s="295">
        <f>ROUND((IF('Intl Economy Base'!$C$105&gt;ROUND(((1-IntEconomyDiscount-IntEoncomyIncentive)*'Intl Economy Base'!C54),2),ROUND('Intl Economy Base'!$C$105*(1+International_Fuel_Surcharge),2),ROUND(((1-IntEconomyDiscount-IntEoncomyIncentive)*'Intl Economy Base'!C54)*(1+International_Fuel_Surcharge),2)))*(1+FedEx_Markup),2)</f>
        <v>125.11</v>
      </c>
      <c r="D57" s="295">
        <f>ROUND((IF('Intl Economy Base'!$D$105&gt;ROUND(((1-IntEconomyDiscount-IntEoncomyIncentive)*'Intl Economy Base'!D54),2),ROUND('Intl Economy Base'!$D$105*(1+International_Fuel_Surcharge),2),ROUND(((1-IntEconomyDiscount-IntEoncomyIncentive)*'Intl Economy Base'!D54)*(1+International_Fuel_Surcharge),2)))*(1+FedEx_Markup),2)</f>
        <v>86.39</v>
      </c>
      <c r="E57" s="295">
        <f>ROUND((IF('Intl Economy Base'!$E$105&gt;ROUND(((1-IntEconomyDiscount-IntEoncomyIncentive)*'Intl Economy Base'!E54),2),ROUND('Intl Economy Base'!$E$105*(1+International_Fuel_Surcharge),2),ROUND(((1-IntEconomyDiscount-IntEoncomyIncentive)*'Intl Economy Base'!E54)*(1+International_Fuel_Surcharge),2)))*(1+FedEx_Markup),2)</f>
        <v>150.31</v>
      </c>
      <c r="F57" s="295">
        <f>ROUND((IF('Intl Economy Base'!$F$105&gt;ROUND(((1-IntEconomyDiscount-IntEoncomyIncentive)*'Intl Economy Base'!F54),2),ROUND('Intl Economy Base'!$F$105*(1+International_Fuel_Surcharge),2),ROUND(((1-IntEconomyDiscount-IntEoncomyIncentive)*'Intl Economy Base'!F54)*(1+International_Fuel_Surcharge),2)))*(1+FedEx_Markup),2)</f>
        <v>332.53</v>
      </c>
      <c r="G57" s="295">
        <f>ROUND((IF('Intl Economy Base'!$G$105&gt;ROUND(((1-IntEconomyDiscount-IntEoncomyIncentive)*'Intl Economy Base'!G54),2),ROUND('Intl Economy Base'!$G$105*(1+International_Fuel_Surcharge),2),ROUND(((1-IntEconomyDiscount-IntEoncomyIncentive)*'Intl Economy Base'!G54)*(1+International_Fuel_Surcharge),2)))*(1+FedEx_Markup),2)</f>
        <v>165.83</v>
      </c>
      <c r="H57" s="295">
        <f>ROUND((IF('Intl Economy Base'!$H$105&gt;ROUND(((1-IntEconomyDiscount-IntEoncomyIncentive)*'Intl Economy Base'!H54),2),ROUND('Intl Economy Base'!$H$105*(1+International_Fuel_Surcharge),2),ROUND(((1-IntEconomyDiscount-IntEoncomyIncentive)*'Intl Economy Base'!H54)*(1+International_Fuel_Surcharge),2)))*(1+FedEx_Markup),2)</f>
        <v>171.37</v>
      </c>
      <c r="I57" s="295">
        <f>ROUND((IF('Intl Economy Base'!$I$105&gt;ROUND(((1-IntEconomyDiscount-IntEoncomyIncentive)*'Intl Economy Base'!I54),2),ROUND('Intl Economy Base'!$I$105*(1+International_Fuel_Surcharge),2),ROUND(((1-IntEconomyDiscount-IntEoncomyIncentive)*'Intl Economy Base'!I54)*(1+International_Fuel_Surcharge),2)))*(1+FedEx_Markup),2)</f>
        <v>208.1</v>
      </c>
      <c r="J57" s="295">
        <f>ROUND((IF('Intl Economy Base'!$J$105&gt;ROUND(((1-IntEconomyDiscount-IntEoncomyIncentive)*'Intl Economy Base'!J54),2),ROUND('Intl Economy Base'!$J$105*(1+International_Fuel_Surcharge),2),ROUND(((1-IntEconomyDiscount-IntEoncomyIncentive)*'Intl Economy Base'!J54)*(1+International_Fuel_Surcharge),2)))*(1+FedEx_Markup),2)</f>
        <v>125.1</v>
      </c>
      <c r="K57" s="295">
        <f>ROUND((IF('Intl Economy Base'!$K$105&gt;ROUND(((1-IntEconomyDiscount-IntEoncomyIncentive)*'Intl Economy Base'!K54),2),ROUND('Intl Economy Base'!$K$105*(1+International_Fuel_Surcharge),2),ROUND(((1-IntEconomyDiscount-IntEoncomyIncentive)*'Intl Economy Base'!K54)*(1+International_Fuel_Surcharge),2)))*(1+FedEx_Markup),2)</f>
        <v>275.54</v>
      </c>
      <c r="L57" s="295">
        <f>ROUND((IF('Intl Economy Base'!$L$105&gt;ROUND(((1-IntEconomyDiscount-IntEoncomyIncentive)*'Intl Economy Base'!L54),2),ROUND('Intl Economy Base'!$L$105*(1+International_Fuel_Surcharge),2),ROUND(((1-IntEconomyDiscount-IntEoncomyIncentive)*'Intl Economy Base'!L54)*(1+International_Fuel_Surcharge),2)))*(1+FedEx_Markup),2)</f>
        <v>213.34</v>
      </c>
      <c r="M57" s="295">
        <f>ROUND((IF('Intl Economy Base'!$M$105&gt;ROUND(((1-IntEconomyDiscount-IntEoncomyIncentive)*'Intl Economy Base'!M54),2),ROUND('Intl Economy Base'!$M$105*(1+International_Fuel_Surcharge),2),ROUND(((1-IntEconomyDiscount-IntEoncomyIncentive)*'Intl Economy Base'!M54)*(1+International_Fuel_Surcharge),2)))*(1+FedEx_Markup),2)</f>
        <v>299.14</v>
      </c>
      <c r="N57" s="295">
        <f>ROUND((IF('Intl Economy Base'!$N$105&gt;ROUND(((1-IntEconomyDiscount-IntEoncomyIncentive)*'Intl Economy Base'!N54),2),ROUND('Intl Economy Base'!$N$105*(1+International_Fuel_Surcharge),2),ROUND(((1-IntEconomyDiscount-IntEoncomyIncentive)*'Intl Economy Base'!N54)*(1+International_Fuel_Surcharge),2)))*(1+FedEx_Markup),2)</f>
        <v>300.37</v>
      </c>
      <c r="O57" s="295">
        <f>ROUND((IF('Intl Economy Base'!$O$105&gt;ROUND(((1-IntEconomyDiscount-IntEoncomyIncentive)*'Intl Economy Base'!O54),2),ROUND('Intl Economy Base'!$O$105*(1+International_Fuel_Surcharge),2),ROUND(((1-IntEconomyDiscount-IntEoncomyIncentive)*'Intl Economy Base'!O54)*(1+International_Fuel_Surcharge),2)))*(1+FedEx_Markup),2)</f>
        <v>229.2</v>
      </c>
      <c r="P57" s="295">
        <f>ROUND((IF('Intl Economy Base'!$P$105&gt;ROUND(((1-IntEconomyDiscount-IntEoncomyIncentive)*'Intl Economy Base'!P54),2),ROUND('Intl Economy Base'!$P$105*(1+International_Fuel_Surcharge),2),ROUND(((1-IntEconomyDiscount-IntEoncomyIncentive)*'Intl Economy Base'!P54)*(1+International_Fuel_Surcharge),2)))*(1+FedEx_Markup),2)</f>
        <v>219.35</v>
      </c>
      <c r="Q57" s="295">
        <f>ROUND((IF('Intl Economy Base'!$Q$105&gt;ROUND(((1-PuertoRicoDiscount)*'Intl Economy Base'!Q54),2),ROUND('Intl Economy Base'!$Q$105*(1+International_Fuel_Surcharge),2),ROUND(((1-PuertoRicoDiscount)*'Intl Economy Base'!Q54)*(1+International_Fuel_Surcharge),2)))*(1+FedEx_Markup),2)</f>
        <v>284.15</v>
      </c>
      <c r="R57" s="138"/>
      <c r="S57" s="138"/>
      <c r="T57" s="138"/>
      <c r="U57" s="138"/>
      <c r="V57" s="138"/>
      <c r="W57" s="138"/>
      <c r="X57" s="138"/>
      <c r="Y57" s="138"/>
      <c r="Z57" s="138"/>
    </row>
    <row r="58" ht="12.75" customHeight="1">
      <c r="A58" s="294">
        <v>56.0</v>
      </c>
      <c r="B58" s="295">
        <f>ROUND((IF('Intl Economy Base'!$B$105&gt;ROUND(((1-IntEconomyDiscount-IntEoncomyIncentive)*'Intl Economy Base'!B55),2),ROUND('Intl Economy Base'!$B$105*(1+International_Fuel_Surcharge),2),ROUND(((1-IntEconomyDiscount-IntEoncomyIncentive)*'Intl Economy Base'!B55)*(1+International_Fuel_Surcharge),2)))*(1+FedEx_Markup),2)</f>
        <v>112.49</v>
      </c>
      <c r="C58" s="295">
        <f>ROUND((IF('Intl Economy Base'!$C$105&gt;ROUND(((1-IntEconomyDiscount-IntEoncomyIncentive)*'Intl Economy Base'!C55),2),ROUND('Intl Economy Base'!$C$105*(1+International_Fuel_Surcharge),2),ROUND(((1-IntEconomyDiscount-IntEoncomyIncentive)*'Intl Economy Base'!C55)*(1+International_Fuel_Surcharge),2)))*(1+FedEx_Markup),2)</f>
        <v>125.4</v>
      </c>
      <c r="D58" s="295">
        <f>ROUND((IF('Intl Economy Base'!$D$105&gt;ROUND(((1-IntEconomyDiscount-IntEoncomyIncentive)*'Intl Economy Base'!D55),2),ROUND('Intl Economy Base'!$D$105*(1+International_Fuel_Surcharge),2),ROUND(((1-IntEconomyDiscount-IntEoncomyIncentive)*'Intl Economy Base'!D55)*(1+International_Fuel_Surcharge),2)))*(1+FedEx_Markup),2)</f>
        <v>88.17</v>
      </c>
      <c r="E58" s="295">
        <f>ROUND((IF('Intl Economy Base'!$E$105&gt;ROUND(((1-IntEconomyDiscount-IntEoncomyIncentive)*'Intl Economy Base'!E55),2),ROUND('Intl Economy Base'!$E$105*(1+International_Fuel_Surcharge),2),ROUND(((1-IntEconomyDiscount-IntEoncomyIncentive)*'Intl Economy Base'!E55)*(1+International_Fuel_Surcharge),2)))*(1+FedEx_Markup),2)</f>
        <v>150.45</v>
      </c>
      <c r="F58" s="295">
        <f>ROUND((IF('Intl Economy Base'!$F$105&gt;ROUND(((1-IntEconomyDiscount-IntEoncomyIncentive)*'Intl Economy Base'!F55),2),ROUND('Intl Economy Base'!$F$105*(1+International_Fuel_Surcharge),2),ROUND(((1-IntEconomyDiscount-IntEoncomyIncentive)*'Intl Economy Base'!F55)*(1+International_Fuel_Surcharge),2)))*(1+FedEx_Markup),2)</f>
        <v>336.41</v>
      </c>
      <c r="G58" s="295">
        <f>ROUND((IF('Intl Economy Base'!$G$105&gt;ROUND(((1-IntEconomyDiscount-IntEoncomyIncentive)*'Intl Economy Base'!G55),2),ROUND('Intl Economy Base'!$G$105*(1+International_Fuel_Surcharge),2),ROUND(((1-IntEconomyDiscount-IntEoncomyIncentive)*'Intl Economy Base'!G55)*(1+International_Fuel_Surcharge),2)))*(1+FedEx_Markup),2)</f>
        <v>166.28</v>
      </c>
      <c r="H58" s="295">
        <f>ROUND((IF('Intl Economy Base'!$H$105&gt;ROUND(((1-IntEconomyDiscount-IntEoncomyIncentive)*'Intl Economy Base'!H55),2),ROUND('Intl Economy Base'!$H$105*(1+International_Fuel_Surcharge),2),ROUND(((1-IntEconomyDiscount-IntEoncomyIncentive)*'Intl Economy Base'!H55)*(1+International_Fuel_Surcharge),2)))*(1+FedEx_Markup),2)</f>
        <v>171.6</v>
      </c>
      <c r="I58" s="295">
        <f>ROUND((IF('Intl Economy Base'!$I$105&gt;ROUND(((1-IntEconomyDiscount-IntEoncomyIncentive)*'Intl Economy Base'!I55),2),ROUND('Intl Economy Base'!$I$105*(1+International_Fuel_Surcharge),2),ROUND(((1-IntEconomyDiscount-IntEoncomyIncentive)*'Intl Economy Base'!I55)*(1+International_Fuel_Surcharge),2)))*(1+FedEx_Markup),2)</f>
        <v>215.3</v>
      </c>
      <c r="J58" s="295">
        <f>ROUND((IF('Intl Economy Base'!$J$105&gt;ROUND(((1-IntEconomyDiscount-IntEoncomyIncentive)*'Intl Economy Base'!J55),2),ROUND('Intl Economy Base'!$J$105*(1+International_Fuel_Surcharge),2),ROUND(((1-IntEconomyDiscount-IntEoncomyIncentive)*'Intl Economy Base'!J55)*(1+International_Fuel_Surcharge),2)))*(1+FedEx_Markup),2)</f>
        <v>125.14</v>
      </c>
      <c r="K58" s="295">
        <f>ROUND((IF('Intl Economy Base'!$K$105&gt;ROUND(((1-IntEconomyDiscount-IntEoncomyIncentive)*'Intl Economy Base'!K55),2),ROUND('Intl Economy Base'!$K$105*(1+International_Fuel_Surcharge),2),ROUND(((1-IntEconomyDiscount-IntEoncomyIncentive)*'Intl Economy Base'!K55)*(1+International_Fuel_Surcharge),2)))*(1+FedEx_Markup),2)</f>
        <v>278.63</v>
      </c>
      <c r="L58" s="295">
        <f>ROUND((IF('Intl Economy Base'!$L$105&gt;ROUND(((1-IntEconomyDiscount-IntEoncomyIncentive)*'Intl Economy Base'!L55),2),ROUND('Intl Economy Base'!$L$105*(1+International_Fuel_Surcharge),2),ROUND(((1-IntEconomyDiscount-IntEoncomyIncentive)*'Intl Economy Base'!L55)*(1+International_Fuel_Surcharge),2)))*(1+FedEx_Markup),2)</f>
        <v>222.87</v>
      </c>
      <c r="M58" s="295">
        <f>ROUND((IF('Intl Economy Base'!$M$105&gt;ROUND(((1-IntEconomyDiscount-IntEoncomyIncentive)*'Intl Economy Base'!M55),2),ROUND('Intl Economy Base'!$M$105*(1+International_Fuel_Surcharge),2),ROUND(((1-IntEconomyDiscount-IntEoncomyIncentive)*'Intl Economy Base'!M55)*(1+International_Fuel_Surcharge),2)))*(1+FedEx_Markup),2)</f>
        <v>299.91</v>
      </c>
      <c r="N58" s="295">
        <f>ROUND((IF('Intl Economy Base'!$N$105&gt;ROUND(((1-IntEconomyDiscount-IntEoncomyIncentive)*'Intl Economy Base'!N55),2),ROUND('Intl Economy Base'!$N$105*(1+International_Fuel_Surcharge),2),ROUND(((1-IntEconomyDiscount-IntEoncomyIncentive)*'Intl Economy Base'!N55)*(1+International_Fuel_Surcharge),2)))*(1+FedEx_Markup),2)</f>
        <v>300.41</v>
      </c>
      <c r="O58" s="295">
        <f>ROUND((IF('Intl Economy Base'!$O$105&gt;ROUND(((1-IntEconomyDiscount-IntEoncomyIncentive)*'Intl Economy Base'!O55),2),ROUND('Intl Economy Base'!$O$105*(1+International_Fuel_Surcharge),2),ROUND(((1-IntEconomyDiscount-IntEoncomyIncentive)*'Intl Economy Base'!O55)*(1+International_Fuel_Surcharge),2)))*(1+FedEx_Markup),2)</f>
        <v>230.52</v>
      </c>
      <c r="P58" s="295">
        <f>ROUND((IF('Intl Economy Base'!$P$105&gt;ROUND(((1-IntEconomyDiscount-IntEoncomyIncentive)*'Intl Economy Base'!P55),2),ROUND('Intl Economy Base'!$P$105*(1+International_Fuel_Surcharge),2),ROUND(((1-IntEconomyDiscount-IntEoncomyIncentive)*'Intl Economy Base'!P55)*(1+International_Fuel_Surcharge),2)))*(1+FedEx_Markup),2)</f>
        <v>227.41</v>
      </c>
      <c r="Q58" s="295">
        <f>ROUND((IF('Intl Economy Base'!$Q$105&gt;ROUND(((1-PuertoRicoDiscount)*'Intl Economy Base'!Q55),2),ROUND('Intl Economy Base'!$Q$105*(1+International_Fuel_Surcharge),2),ROUND(((1-PuertoRicoDiscount)*'Intl Economy Base'!Q55)*(1+International_Fuel_Surcharge),2)))*(1+FedEx_Markup),2)</f>
        <v>288.37</v>
      </c>
      <c r="R58" s="138"/>
      <c r="S58" s="138"/>
      <c r="T58" s="138"/>
      <c r="U58" s="138"/>
      <c r="V58" s="138"/>
      <c r="W58" s="138"/>
      <c r="X58" s="138"/>
      <c r="Y58" s="138"/>
      <c r="Z58" s="138"/>
    </row>
    <row r="59" ht="12.75" customHeight="1">
      <c r="A59" s="294">
        <v>58.0</v>
      </c>
      <c r="B59" s="295">
        <f>ROUND((IF('Intl Economy Base'!$B$105&gt;ROUND(((1-IntEconomyDiscount-IntEoncomyIncentive)*'Intl Economy Base'!B56),2),ROUND('Intl Economy Base'!$B$105*(1+International_Fuel_Surcharge),2),ROUND(((1-IntEconomyDiscount-IntEoncomyIncentive)*'Intl Economy Base'!B56)*(1+International_Fuel_Surcharge),2)))*(1+FedEx_Markup),2)</f>
        <v>113.38</v>
      </c>
      <c r="C59" s="295">
        <f>ROUND((IF('Intl Economy Base'!$C$105&gt;ROUND(((1-IntEconomyDiscount-IntEoncomyIncentive)*'Intl Economy Base'!C56),2),ROUND('Intl Economy Base'!$C$105*(1+International_Fuel_Surcharge),2),ROUND(((1-IntEconomyDiscount-IntEoncomyIncentive)*'Intl Economy Base'!C56)*(1+International_Fuel_Surcharge),2)))*(1+FedEx_Markup),2)</f>
        <v>126.62</v>
      </c>
      <c r="D59" s="295">
        <f>ROUND((IF('Intl Economy Base'!$D$105&gt;ROUND(((1-IntEconomyDiscount-IntEoncomyIncentive)*'Intl Economy Base'!D56),2),ROUND('Intl Economy Base'!$D$105*(1+International_Fuel_Surcharge),2),ROUND(((1-IntEconomyDiscount-IntEoncomyIncentive)*'Intl Economy Base'!D56)*(1+International_Fuel_Surcharge),2)))*(1+FedEx_Markup),2)</f>
        <v>88.54</v>
      </c>
      <c r="E59" s="295">
        <f>ROUND((IF('Intl Economy Base'!$E$105&gt;ROUND(((1-IntEconomyDiscount-IntEoncomyIncentive)*'Intl Economy Base'!E56),2),ROUND('Intl Economy Base'!$E$105*(1+International_Fuel_Surcharge),2),ROUND(((1-IntEconomyDiscount-IntEoncomyIncentive)*'Intl Economy Base'!E56)*(1+International_Fuel_Surcharge),2)))*(1+FedEx_Markup),2)</f>
        <v>153.42</v>
      </c>
      <c r="F59" s="295">
        <f>ROUND((IF('Intl Economy Base'!$F$105&gt;ROUND(((1-IntEconomyDiscount-IntEoncomyIncentive)*'Intl Economy Base'!F56),2),ROUND('Intl Economy Base'!$F$105*(1+International_Fuel_Surcharge),2),ROUND(((1-IntEconomyDiscount-IntEoncomyIncentive)*'Intl Economy Base'!F56)*(1+International_Fuel_Surcharge),2)))*(1+FedEx_Markup),2)</f>
        <v>336.79</v>
      </c>
      <c r="G59" s="295">
        <f>ROUND((IF('Intl Economy Base'!$G$105&gt;ROUND(((1-IntEconomyDiscount-IntEoncomyIncentive)*'Intl Economy Base'!G56),2),ROUND('Intl Economy Base'!$G$105*(1+International_Fuel_Surcharge),2),ROUND(((1-IntEconomyDiscount-IntEoncomyIncentive)*'Intl Economy Base'!G56)*(1+International_Fuel_Surcharge),2)))*(1+FedEx_Markup),2)</f>
        <v>175.06</v>
      </c>
      <c r="H59" s="295">
        <f>ROUND((IF('Intl Economy Base'!$H$105&gt;ROUND(((1-IntEconomyDiscount-IntEoncomyIncentive)*'Intl Economy Base'!H56),2),ROUND('Intl Economy Base'!$H$105*(1+International_Fuel_Surcharge),2),ROUND(((1-IntEconomyDiscount-IntEoncomyIncentive)*'Intl Economy Base'!H56)*(1+International_Fuel_Surcharge),2)))*(1+FedEx_Markup),2)</f>
        <v>176.16</v>
      </c>
      <c r="I59" s="295">
        <f>ROUND((IF('Intl Economy Base'!$I$105&gt;ROUND(((1-IntEconomyDiscount-IntEoncomyIncentive)*'Intl Economy Base'!I56),2),ROUND('Intl Economy Base'!$I$105*(1+International_Fuel_Surcharge),2),ROUND(((1-IntEconomyDiscount-IntEoncomyIncentive)*'Intl Economy Base'!I56)*(1+International_Fuel_Surcharge),2)))*(1+FedEx_Markup),2)</f>
        <v>216.05</v>
      </c>
      <c r="J59" s="295">
        <f>ROUND((IF('Intl Economy Base'!$J$105&gt;ROUND(((1-IntEconomyDiscount-IntEoncomyIncentive)*'Intl Economy Base'!J56),2),ROUND('Intl Economy Base'!$J$105*(1+International_Fuel_Surcharge),2),ROUND(((1-IntEconomyDiscount-IntEoncomyIncentive)*'Intl Economy Base'!J56)*(1+International_Fuel_Surcharge),2)))*(1+FedEx_Markup),2)</f>
        <v>125.21</v>
      </c>
      <c r="K59" s="295">
        <f>ROUND((IF('Intl Economy Base'!$K$105&gt;ROUND(((1-IntEconomyDiscount-IntEoncomyIncentive)*'Intl Economy Base'!K56),2),ROUND('Intl Economy Base'!$K$105*(1+International_Fuel_Surcharge),2),ROUND(((1-IntEconomyDiscount-IntEoncomyIncentive)*'Intl Economy Base'!K56)*(1+International_Fuel_Surcharge),2)))*(1+FedEx_Markup),2)</f>
        <v>281.24</v>
      </c>
      <c r="L59" s="295">
        <f>ROUND((IF('Intl Economy Base'!$L$105&gt;ROUND(((1-IntEconomyDiscount-IntEoncomyIncentive)*'Intl Economy Base'!L56),2),ROUND('Intl Economy Base'!$L$105*(1+International_Fuel_Surcharge),2),ROUND(((1-IntEconomyDiscount-IntEoncomyIncentive)*'Intl Economy Base'!L56)*(1+International_Fuel_Surcharge),2)))*(1+FedEx_Markup),2)</f>
        <v>231.71</v>
      </c>
      <c r="M59" s="295">
        <f>ROUND((IF('Intl Economy Base'!$M$105&gt;ROUND(((1-IntEconomyDiscount-IntEoncomyIncentive)*'Intl Economy Base'!M56),2),ROUND('Intl Economy Base'!$M$105*(1+International_Fuel_Surcharge),2),ROUND(((1-IntEconomyDiscount-IntEoncomyIncentive)*'Intl Economy Base'!M56)*(1+International_Fuel_Surcharge),2)))*(1+FedEx_Markup),2)</f>
        <v>299.99</v>
      </c>
      <c r="N59" s="295">
        <f>ROUND((IF('Intl Economy Base'!$N$105&gt;ROUND(((1-IntEconomyDiscount-IntEoncomyIncentive)*'Intl Economy Base'!N56),2),ROUND('Intl Economy Base'!$N$105*(1+International_Fuel_Surcharge),2),ROUND(((1-IntEconomyDiscount-IntEoncomyIncentive)*'Intl Economy Base'!N56)*(1+International_Fuel_Surcharge),2)))*(1+FedEx_Markup),2)</f>
        <v>300.47</v>
      </c>
      <c r="O59" s="295">
        <f>ROUND((IF('Intl Economy Base'!$O$105&gt;ROUND(((1-IntEconomyDiscount-IntEoncomyIncentive)*'Intl Economy Base'!O56),2),ROUND('Intl Economy Base'!$O$105*(1+International_Fuel_Surcharge),2),ROUND(((1-IntEconomyDiscount-IntEoncomyIncentive)*'Intl Economy Base'!O56)*(1+International_Fuel_Surcharge),2)))*(1+FedEx_Markup),2)</f>
        <v>233.8</v>
      </c>
      <c r="P59" s="295">
        <f>ROUND((IF('Intl Economy Base'!$P$105&gt;ROUND(((1-IntEconomyDiscount-IntEoncomyIncentive)*'Intl Economy Base'!P56),2),ROUND('Intl Economy Base'!$P$105*(1+International_Fuel_Surcharge),2),ROUND(((1-IntEconomyDiscount-IntEoncomyIncentive)*'Intl Economy Base'!P56)*(1+International_Fuel_Surcharge),2)))*(1+FedEx_Markup),2)</f>
        <v>228.22</v>
      </c>
      <c r="Q59" s="295">
        <f>ROUND((IF('Intl Economy Base'!$Q$105&gt;ROUND(((1-PuertoRicoDiscount)*'Intl Economy Base'!Q56),2),ROUND('Intl Economy Base'!$Q$105*(1+International_Fuel_Surcharge),2),ROUND(((1-PuertoRicoDiscount)*'Intl Economy Base'!Q56)*(1+International_Fuel_Surcharge),2)))*(1+FedEx_Markup),2)</f>
        <v>291.95</v>
      </c>
      <c r="R59" s="138"/>
      <c r="S59" s="138"/>
      <c r="T59" s="138"/>
      <c r="U59" s="138"/>
      <c r="V59" s="138"/>
      <c r="W59" s="138"/>
      <c r="X59" s="138"/>
      <c r="Y59" s="138"/>
      <c r="Z59" s="138"/>
    </row>
    <row r="60" ht="12.75" customHeight="1">
      <c r="A60" s="294">
        <v>60.0</v>
      </c>
      <c r="B60" s="295">
        <f>ROUND((IF('Intl Economy Base'!$B$105&gt;ROUND(((1-IntEconomyDiscount-IntEoncomyIncentive)*'Intl Economy Base'!B57),2),ROUND('Intl Economy Base'!$B$105*(1+International_Fuel_Surcharge),2),ROUND(((1-IntEconomyDiscount-IntEoncomyIncentive)*'Intl Economy Base'!B57)*(1+International_Fuel_Surcharge),2)))*(1+FedEx_Markup),2)</f>
        <v>114.48</v>
      </c>
      <c r="C60" s="295">
        <f>ROUND((IF('Intl Economy Base'!$C$105&gt;ROUND(((1-IntEconomyDiscount-IntEoncomyIncentive)*'Intl Economy Base'!C57),2),ROUND('Intl Economy Base'!$C$105*(1+International_Fuel_Surcharge),2),ROUND(((1-IntEconomyDiscount-IntEoncomyIncentive)*'Intl Economy Base'!C57)*(1+International_Fuel_Surcharge),2)))*(1+FedEx_Markup),2)</f>
        <v>128.04</v>
      </c>
      <c r="D60" s="295">
        <f>ROUND((IF('Intl Economy Base'!$D$105&gt;ROUND(((1-IntEconomyDiscount-IntEoncomyIncentive)*'Intl Economy Base'!D57),2),ROUND('Intl Economy Base'!$D$105*(1+International_Fuel_Surcharge),2),ROUND(((1-IntEconomyDiscount-IntEoncomyIncentive)*'Intl Economy Base'!D57)*(1+International_Fuel_Surcharge),2)))*(1+FedEx_Markup),2)</f>
        <v>88.61</v>
      </c>
      <c r="E60" s="295">
        <f>ROUND((IF('Intl Economy Base'!$E$105&gt;ROUND(((1-IntEconomyDiscount-IntEoncomyIncentive)*'Intl Economy Base'!E57),2),ROUND('Intl Economy Base'!$E$105*(1+International_Fuel_Surcharge),2),ROUND(((1-IntEconomyDiscount-IntEoncomyIncentive)*'Intl Economy Base'!E57)*(1+International_Fuel_Surcharge),2)))*(1+FedEx_Markup),2)</f>
        <v>159.07</v>
      </c>
      <c r="F60" s="295">
        <f>ROUND((IF('Intl Economy Base'!$F$105&gt;ROUND(((1-IntEconomyDiscount-IntEoncomyIncentive)*'Intl Economy Base'!F57),2),ROUND('Intl Economy Base'!$F$105*(1+International_Fuel_Surcharge),2),ROUND(((1-IntEconomyDiscount-IntEoncomyIncentive)*'Intl Economy Base'!F57)*(1+International_Fuel_Surcharge),2)))*(1+FedEx_Markup),2)</f>
        <v>336.92</v>
      </c>
      <c r="G60" s="295">
        <f>ROUND((IF('Intl Economy Base'!$G$105&gt;ROUND(((1-IntEconomyDiscount-IntEoncomyIncentive)*'Intl Economy Base'!G57),2),ROUND('Intl Economy Base'!$G$105*(1+International_Fuel_Surcharge),2),ROUND(((1-IntEconomyDiscount-IntEoncomyIncentive)*'Intl Economy Base'!G57)*(1+International_Fuel_Surcharge),2)))*(1+FedEx_Markup),2)</f>
        <v>176.34</v>
      </c>
      <c r="H60" s="295">
        <f>ROUND((IF('Intl Economy Base'!$H$105&gt;ROUND(((1-IntEconomyDiscount-IntEoncomyIncentive)*'Intl Economy Base'!H57),2),ROUND('Intl Economy Base'!$H$105*(1+International_Fuel_Surcharge),2),ROUND(((1-IntEconomyDiscount-IntEoncomyIncentive)*'Intl Economy Base'!H57)*(1+International_Fuel_Surcharge),2)))*(1+FedEx_Markup),2)</f>
        <v>178.4</v>
      </c>
      <c r="I60" s="295">
        <f>ROUND((IF('Intl Economy Base'!$I$105&gt;ROUND(((1-IntEconomyDiscount-IntEoncomyIncentive)*'Intl Economy Base'!I57),2),ROUND('Intl Economy Base'!$I$105*(1+International_Fuel_Surcharge),2),ROUND(((1-IntEconomyDiscount-IntEoncomyIncentive)*'Intl Economy Base'!I57)*(1+International_Fuel_Surcharge),2)))*(1+FedEx_Markup),2)</f>
        <v>216.12</v>
      </c>
      <c r="J60" s="295">
        <f>ROUND((IF('Intl Economy Base'!$J$105&gt;ROUND(((1-IntEconomyDiscount-IntEoncomyIncentive)*'Intl Economy Base'!J57),2),ROUND('Intl Economy Base'!$J$105*(1+International_Fuel_Surcharge),2),ROUND(((1-IntEconomyDiscount-IntEoncomyIncentive)*'Intl Economy Base'!J57)*(1+International_Fuel_Surcharge),2)))*(1+FedEx_Markup),2)</f>
        <v>125.72</v>
      </c>
      <c r="K60" s="295">
        <f>ROUND((IF('Intl Economy Base'!$K$105&gt;ROUND(((1-IntEconomyDiscount-IntEoncomyIncentive)*'Intl Economy Base'!K57),2),ROUND('Intl Economy Base'!$K$105*(1+International_Fuel_Surcharge),2),ROUND(((1-IntEconomyDiscount-IntEoncomyIncentive)*'Intl Economy Base'!K57)*(1+International_Fuel_Surcharge),2)))*(1+FedEx_Markup),2)</f>
        <v>284.89</v>
      </c>
      <c r="L60" s="295">
        <f>ROUND((IF('Intl Economy Base'!$L$105&gt;ROUND(((1-IntEconomyDiscount-IntEoncomyIncentive)*'Intl Economy Base'!L57),2),ROUND('Intl Economy Base'!$L$105*(1+International_Fuel_Surcharge),2),ROUND(((1-IntEconomyDiscount-IntEoncomyIncentive)*'Intl Economy Base'!L57)*(1+International_Fuel_Surcharge),2)))*(1+FedEx_Markup),2)</f>
        <v>234.72</v>
      </c>
      <c r="M60" s="295">
        <f>ROUND((IF('Intl Economy Base'!$M$105&gt;ROUND(((1-IntEconomyDiscount-IntEoncomyIncentive)*'Intl Economy Base'!M57),2),ROUND('Intl Economy Base'!$M$105*(1+International_Fuel_Surcharge),2),ROUND(((1-IntEconomyDiscount-IntEoncomyIncentive)*'Intl Economy Base'!M57)*(1+International_Fuel_Surcharge),2)))*(1+FedEx_Markup),2)</f>
        <v>300.06</v>
      </c>
      <c r="N60" s="295">
        <f>ROUND((IF('Intl Economy Base'!$N$105&gt;ROUND(((1-IntEconomyDiscount-IntEoncomyIncentive)*'Intl Economy Base'!N57),2),ROUND('Intl Economy Base'!$N$105*(1+International_Fuel_Surcharge),2),ROUND(((1-IntEconomyDiscount-IntEoncomyIncentive)*'Intl Economy Base'!N57)*(1+International_Fuel_Surcharge),2)))*(1+FedEx_Markup),2)</f>
        <v>300.54</v>
      </c>
      <c r="O60" s="295">
        <f>ROUND((IF('Intl Economy Base'!$O$105&gt;ROUND(((1-IntEconomyDiscount-IntEoncomyIncentive)*'Intl Economy Base'!O57),2),ROUND('Intl Economy Base'!$O$105*(1+International_Fuel_Surcharge),2),ROUND(((1-IntEconomyDiscount-IntEoncomyIncentive)*'Intl Economy Base'!O57)*(1+International_Fuel_Surcharge),2)))*(1+FedEx_Markup),2)</f>
        <v>234.12</v>
      </c>
      <c r="P60" s="295">
        <f>ROUND((IF('Intl Economy Base'!$P$105&gt;ROUND(((1-IntEconomyDiscount-IntEoncomyIncentive)*'Intl Economy Base'!P57),2),ROUND('Intl Economy Base'!$P$105*(1+International_Fuel_Surcharge),2),ROUND(((1-IntEconomyDiscount-IntEoncomyIncentive)*'Intl Economy Base'!P57)*(1+International_Fuel_Surcharge),2)))*(1+FedEx_Markup),2)</f>
        <v>229.14</v>
      </c>
      <c r="Q60" s="295">
        <f>ROUND((IF('Intl Economy Base'!$Q$105&gt;ROUND(((1-PuertoRicoDiscount)*'Intl Economy Base'!Q57),2),ROUND('Intl Economy Base'!$Q$105*(1+International_Fuel_Surcharge),2),ROUND(((1-PuertoRicoDiscount)*'Intl Economy Base'!Q57)*(1+International_Fuel_Surcharge),2)))*(1+FedEx_Markup),2)</f>
        <v>300.81</v>
      </c>
      <c r="R60" s="138"/>
      <c r="S60" s="138"/>
      <c r="T60" s="138"/>
      <c r="U60" s="138"/>
      <c r="V60" s="138"/>
      <c r="W60" s="138"/>
      <c r="X60" s="138"/>
      <c r="Y60" s="138"/>
      <c r="Z60" s="138"/>
    </row>
    <row r="61" ht="12.75" customHeight="1">
      <c r="A61" s="294">
        <v>62.0</v>
      </c>
      <c r="B61" s="295">
        <f>ROUND((IF('Intl Economy Base'!$B$105&gt;ROUND(((1-IntEconomyDiscount-IntEoncomyIncentive)*'Intl Economy Base'!B58),2),ROUND('Intl Economy Base'!$B$105*(1+International_Fuel_Surcharge),2),ROUND(((1-IntEconomyDiscount-IntEoncomyIncentive)*'Intl Economy Base'!B58)*(1+International_Fuel_Surcharge),2)))*(1+FedEx_Markup),2)</f>
        <v>115.6</v>
      </c>
      <c r="C61" s="295">
        <f>ROUND((IF('Intl Economy Base'!$C$105&gt;ROUND(((1-IntEconomyDiscount-IntEoncomyIncentive)*'Intl Economy Base'!C58),2),ROUND('Intl Economy Base'!$C$105*(1+International_Fuel_Surcharge),2),ROUND(((1-IntEconomyDiscount-IntEoncomyIncentive)*'Intl Economy Base'!C58)*(1+International_Fuel_Surcharge),2)))*(1+FedEx_Markup),2)</f>
        <v>129.47</v>
      </c>
      <c r="D61" s="295">
        <f>ROUND((IF('Intl Economy Base'!$D$105&gt;ROUND(((1-IntEconomyDiscount-IntEoncomyIncentive)*'Intl Economy Base'!D58),2),ROUND('Intl Economy Base'!$D$105*(1+International_Fuel_Surcharge),2),ROUND(((1-IntEconomyDiscount-IntEoncomyIncentive)*'Intl Economy Base'!D58)*(1+International_Fuel_Surcharge),2)))*(1+FedEx_Markup),2)</f>
        <v>88.68</v>
      </c>
      <c r="E61" s="295">
        <f>ROUND((IF('Intl Economy Base'!$E$105&gt;ROUND(((1-IntEconomyDiscount-IntEoncomyIncentive)*'Intl Economy Base'!E58),2),ROUND('Intl Economy Base'!$E$105*(1+International_Fuel_Surcharge),2),ROUND(((1-IntEconomyDiscount-IntEoncomyIncentive)*'Intl Economy Base'!E58)*(1+International_Fuel_Surcharge),2)))*(1+FedEx_Markup),2)</f>
        <v>164.73</v>
      </c>
      <c r="F61" s="295">
        <f>ROUND((IF('Intl Economy Base'!$F$105&gt;ROUND(((1-IntEconomyDiscount-IntEoncomyIncentive)*'Intl Economy Base'!F58),2),ROUND('Intl Economy Base'!$F$105*(1+International_Fuel_Surcharge),2),ROUND(((1-IntEconomyDiscount-IntEoncomyIncentive)*'Intl Economy Base'!F58)*(1+International_Fuel_Surcharge),2)))*(1+FedEx_Markup),2)</f>
        <v>337.03</v>
      </c>
      <c r="G61" s="295">
        <f>ROUND((IF('Intl Economy Base'!$G$105&gt;ROUND(((1-IntEconomyDiscount-IntEoncomyIncentive)*'Intl Economy Base'!G58),2),ROUND('Intl Economy Base'!$G$105*(1+International_Fuel_Surcharge),2),ROUND(((1-IntEconomyDiscount-IntEoncomyIncentive)*'Intl Economy Base'!G58)*(1+International_Fuel_Surcharge),2)))*(1+FedEx_Markup),2)</f>
        <v>177.62</v>
      </c>
      <c r="H61" s="295">
        <f>ROUND((IF('Intl Economy Base'!$H$105&gt;ROUND(((1-IntEconomyDiscount-IntEoncomyIncentive)*'Intl Economy Base'!H58),2),ROUND('Intl Economy Base'!$H$105*(1+International_Fuel_Surcharge),2),ROUND(((1-IntEconomyDiscount-IntEoncomyIncentive)*'Intl Economy Base'!H58)*(1+International_Fuel_Surcharge),2)))*(1+FedEx_Markup),2)</f>
        <v>180.63</v>
      </c>
      <c r="I61" s="295">
        <f>ROUND((IF('Intl Economy Base'!$I$105&gt;ROUND(((1-IntEconomyDiscount-IntEoncomyIncentive)*'Intl Economy Base'!I58),2),ROUND('Intl Economy Base'!$I$105*(1+International_Fuel_Surcharge),2),ROUND(((1-IntEconomyDiscount-IntEoncomyIncentive)*'Intl Economy Base'!I58)*(1+International_Fuel_Surcharge),2)))*(1+FedEx_Markup),2)</f>
        <v>216.2</v>
      </c>
      <c r="J61" s="295">
        <f>ROUND((IF('Intl Economy Base'!$J$105&gt;ROUND(((1-IntEconomyDiscount-IntEoncomyIncentive)*'Intl Economy Base'!J58),2),ROUND('Intl Economy Base'!$J$105*(1+International_Fuel_Surcharge),2),ROUND(((1-IntEconomyDiscount-IntEoncomyIncentive)*'Intl Economy Base'!J58)*(1+International_Fuel_Surcharge),2)))*(1+FedEx_Markup),2)</f>
        <v>126.21</v>
      </c>
      <c r="K61" s="295">
        <f>ROUND((IF('Intl Economy Base'!$K$105&gt;ROUND(((1-IntEconomyDiscount-IntEoncomyIncentive)*'Intl Economy Base'!K58),2),ROUND('Intl Economy Base'!$K$105*(1+International_Fuel_Surcharge),2),ROUND(((1-IntEconomyDiscount-IntEoncomyIncentive)*'Intl Economy Base'!K58)*(1+International_Fuel_Surcharge),2)))*(1+FedEx_Markup),2)</f>
        <v>288.55</v>
      </c>
      <c r="L61" s="295">
        <f>ROUND((IF('Intl Economy Base'!$L$105&gt;ROUND(((1-IntEconomyDiscount-IntEoncomyIncentive)*'Intl Economy Base'!L58),2),ROUND('Intl Economy Base'!$L$105*(1+International_Fuel_Surcharge),2),ROUND(((1-IntEconomyDiscount-IntEoncomyIncentive)*'Intl Economy Base'!L58)*(1+International_Fuel_Surcharge),2)))*(1+FedEx_Markup),2)</f>
        <v>237.72</v>
      </c>
      <c r="M61" s="295">
        <f>ROUND((IF('Intl Economy Base'!$M$105&gt;ROUND(((1-IntEconomyDiscount-IntEoncomyIncentive)*'Intl Economy Base'!M58),2),ROUND('Intl Economy Base'!$M$105*(1+International_Fuel_Surcharge),2),ROUND(((1-IntEconomyDiscount-IntEoncomyIncentive)*'Intl Economy Base'!M58)*(1+International_Fuel_Surcharge),2)))*(1+FedEx_Markup),2)</f>
        <v>300.14</v>
      </c>
      <c r="N61" s="295">
        <f>ROUND((IF('Intl Economy Base'!$N$105&gt;ROUND(((1-IntEconomyDiscount-IntEoncomyIncentive)*'Intl Economy Base'!N58),2),ROUND('Intl Economy Base'!$N$105*(1+International_Fuel_Surcharge),2),ROUND(((1-IntEconomyDiscount-IntEoncomyIncentive)*'Intl Economy Base'!N58)*(1+International_Fuel_Surcharge),2)))*(1+FedEx_Markup),2)</f>
        <v>300.61</v>
      </c>
      <c r="O61" s="295">
        <f>ROUND((IF('Intl Economy Base'!$O$105&gt;ROUND(((1-IntEconomyDiscount-IntEoncomyIncentive)*'Intl Economy Base'!O58),2),ROUND('Intl Economy Base'!$O$105*(1+International_Fuel_Surcharge),2),ROUND(((1-IntEconomyDiscount-IntEoncomyIncentive)*'Intl Economy Base'!O58)*(1+International_Fuel_Surcharge),2)))*(1+FedEx_Markup),2)</f>
        <v>234.16</v>
      </c>
      <c r="P61" s="295">
        <f>ROUND((IF('Intl Economy Base'!$P$105&gt;ROUND(((1-IntEconomyDiscount-IntEoncomyIncentive)*'Intl Economy Base'!P58),2),ROUND('Intl Economy Base'!$P$105*(1+International_Fuel_Surcharge),2),ROUND(((1-IntEconomyDiscount-IntEoncomyIncentive)*'Intl Economy Base'!P58)*(1+International_Fuel_Surcharge),2)))*(1+FedEx_Markup),2)</f>
        <v>230.06</v>
      </c>
      <c r="Q61" s="295">
        <f>ROUND((IF('Intl Economy Base'!$Q$105&gt;ROUND(((1-PuertoRicoDiscount)*'Intl Economy Base'!Q58),2),ROUND('Intl Economy Base'!$Q$105*(1+International_Fuel_Surcharge),2),ROUND(((1-PuertoRicoDiscount)*'Intl Economy Base'!Q58)*(1+International_Fuel_Surcharge),2)))*(1+FedEx_Markup),2)</f>
        <v>301.62</v>
      </c>
      <c r="R61" s="138"/>
      <c r="S61" s="138"/>
      <c r="T61" s="138"/>
      <c r="U61" s="138"/>
      <c r="V61" s="138"/>
      <c r="W61" s="138"/>
      <c r="X61" s="138"/>
      <c r="Y61" s="138"/>
      <c r="Z61" s="138"/>
    </row>
    <row r="62" ht="12.75" customHeight="1">
      <c r="A62" s="294">
        <v>64.0</v>
      </c>
      <c r="B62" s="295">
        <f>ROUND((IF('Intl Economy Base'!$B$105&gt;ROUND(((1-IntEconomyDiscount-IntEoncomyIncentive)*'Intl Economy Base'!B59),2),ROUND('Intl Economy Base'!$B$105*(1+International_Fuel_Surcharge),2),ROUND(((1-IntEconomyDiscount-IntEoncomyIncentive)*'Intl Economy Base'!B59)*(1+International_Fuel_Surcharge),2)))*(1+FedEx_Markup),2)</f>
        <v>116.7</v>
      </c>
      <c r="C62" s="295">
        <f>ROUND((IF('Intl Economy Base'!$C$105&gt;ROUND(((1-IntEconomyDiscount-IntEoncomyIncentive)*'Intl Economy Base'!C59),2),ROUND('Intl Economy Base'!$C$105*(1+International_Fuel_Surcharge),2),ROUND(((1-IntEconomyDiscount-IntEoncomyIncentive)*'Intl Economy Base'!C59)*(1+International_Fuel_Surcharge),2)))*(1+FedEx_Markup),2)</f>
        <v>130.89</v>
      </c>
      <c r="D62" s="295">
        <f>ROUND((IF('Intl Economy Base'!$D$105&gt;ROUND(((1-IntEconomyDiscount-IntEoncomyIncentive)*'Intl Economy Base'!D59),2),ROUND('Intl Economy Base'!$D$105*(1+International_Fuel_Surcharge),2),ROUND(((1-IntEconomyDiscount-IntEoncomyIncentive)*'Intl Economy Base'!D59)*(1+International_Fuel_Surcharge),2)))*(1+FedEx_Markup),2)</f>
        <v>88.73</v>
      </c>
      <c r="E62" s="295">
        <f>ROUND((IF('Intl Economy Base'!$E$105&gt;ROUND(((1-IntEconomyDiscount-IntEoncomyIncentive)*'Intl Economy Base'!E59),2),ROUND('Intl Economy Base'!$E$105*(1+International_Fuel_Surcharge),2),ROUND(((1-IntEconomyDiscount-IntEoncomyIncentive)*'Intl Economy Base'!E59)*(1+International_Fuel_Surcharge),2)))*(1+FedEx_Markup),2)</f>
        <v>170.38</v>
      </c>
      <c r="F62" s="295">
        <f>ROUND((IF('Intl Economy Base'!$F$105&gt;ROUND(((1-IntEconomyDiscount-IntEoncomyIncentive)*'Intl Economy Base'!F59),2),ROUND('Intl Economy Base'!$F$105*(1+International_Fuel_Surcharge),2),ROUND(((1-IntEconomyDiscount-IntEoncomyIncentive)*'Intl Economy Base'!F59)*(1+International_Fuel_Surcharge),2)))*(1+FedEx_Markup),2)</f>
        <v>337.16</v>
      </c>
      <c r="G62" s="295">
        <f>ROUND((IF('Intl Economy Base'!$G$105&gt;ROUND(((1-IntEconomyDiscount-IntEoncomyIncentive)*'Intl Economy Base'!G59),2),ROUND('Intl Economy Base'!$G$105*(1+International_Fuel_Surcharge),2),ROUND(((1-IntEconomyDiscount-IntEoncomyIncentive)*'Intl Economy Base'!G59)*(1+International_Fuel_Surcharge),2)))*(1+FedEx_Markup),2)</f>
        <v>178.88</v>
      </c>
      <c r="H62" s="295">
        <f>ROUND((IF('Intl Economy Base'!$H$105&gt;ROUND(((1-IntEconomyDiscount-IntEoncomyIncentive)*'Intl Economy Base'!H59),2),ROUND('Intl Economy Base'!$H$105*(1+International_Fuel_Surcharge),2),ROUND(((1-IntEconomyDiscount-IntEoncomyIncentive)*'Intl Economy Base'!H59)*(1+International_Fuel_Surcharge),2)))*(1+FedEx_Markup),2)</f>
        <v>182.87</v>
      </c>
      <c r="I62" s="295">
        <f>ROUND((IF('Intl Economy Base'!$I$105&gt;ROUND(((1-IntEconomyDiscount-IntEoncomyIncentive)*'Intl Economy Base'!I59),2),ROUND('Intl Economy Base'!$I$105*(1+International_Fuel_Surcharge),2),ROUND(((1-IntEconomyDiscount-IntEoncomyIncentive)*'Intl Economy Base'!I59)*(1+International_Fuel_Surcharge),2)))*(1+FedEx_Markup),2)</f>
        <v>216.27</v>
      </c>
      <c r="J62" s="295">
        <f>ROUND((IF('Intl Economy Base'!$J$105&gt;ROUND(((1-IntEconomyDiscount-IntEoncomyIncentive)*'Intl Economy Base'!J59),2),ROUND('Intl Economy Base'!$J$105*(1+International_Fuel_Surcharge),2),ROUND(((1-IntEconomyDiscount-IntEoncomyIncentive)*'Intl Economy Base'!J59)*(1+International_Fuel_Surcharge),2)))*(1+FedEx_Markup),2)</f>
        <v>126.71</v>
      </c>
      <c r="K62" s="295">
        <f>ROUND((IF('Intl Economy Base'!$K$105&gt;ROUND(((1-IntEconomyDiscount-IntEoncomyIncentive)*'Intl Economy Base'!K59),2),ROUND('Intl Economy Base'!$K$105*(1+International_Fuel_Surcharge),2),ROUND(((1-IntEconomyDiscount-IntEoncomyIncentive)*'Intl Economy Base'!K59)*(1+International_Fuel_Surcharge),2)))*(1+FedEx_Markup),2)</f>
        <v>292.19</v>
      </c>
      <c r="L62" s="295">
        <f>ROUND((IF('Intl Economy Base'!$L$105&gt;ROUND(((1-IntEconomyDiscount-IntEoncomyIncentive)*'Intl Economy Base'!L59),2),ROUND('Intl Economy Base'!$L$105*(1+International_Fuel_Surcharge),2),ROUND(((1-IntEconomyDiscount-IntEoncomyIncentive)*'Intl Economy Base'!L59)*(1+International_Fuel_Surcharge),2)))*(1+FedEx_Markup),2)</f>
        <v>240.71</v>
      </c>
      <c r="M62" s="295">
        <f>ROUND((IF('Intl Economy Base'!$M$105&gt;ROUND(((1-IntEconomyDiscount-IntEoncomyIncentive)*'Intl Economy Base'!M59),2),ROUND('Intl Economy Base'!$M$105*(1+International_Fuel_Surcharge),2),ROUND(((1-IntEconomyDiscount-IntEoncomyIncentive)*'Intl Economy Base'!M59)*(1+International_Fuel_Surcharge),2)))*(1+FedEx_Markup),2)</f>
        <v>300.21</v>
      </c>
      <c r="N62" s="295">
        <f>ROUND((IF('Intl Economy Base'!$N$105&gt;ROUND(((1-IntEconomyDiscount-IntEoncomyIncentive)*'Intl Economy Base'!N59),2),ROUND('Intl Economy Base'!$N$105*(1+International_Fuel_Surcharge),2),ROUND(((1-IntEconomyDiscount-IntEoncomyIncentive)*'Intl Economy Base'!N59)*(1+International_Fuel_Surcharge),2)))*(1+FedEx_Markup),2)</f>
        <v>300.68</v>
      </c>
      <c r="O62" s="295">
        <f>ROUND((IF('Intl Economy Base'!$O$105&gt;ROUND(((1-IntEconomyDiscount-IntEoncomyIncentive)*'Intl Economy Base'!O59),2),ROUND('Intl Economy Base'!$O$105*(1+International_Fuel_Surcharge),2),ROUND(((1-IntEconomyDiscount-IntEoncomyIncentive)*'Intl Economy Base'!O59)*(1+International_Fuel_Surcharge),2)))*(1+FedEx_Markup),2)</f>
        <v>234.22</v>
      </c>
      <c r="P62" s="295">
        <f>ROUND((IF('Intl Economy Base'!$P$105&gt;ROUND(((1-IntEconomyDiscount-IntEoncomyIncentive)*'Intl Economy Base'!P59),2),ROUND('Intl Economy Base'!$P$105*(1+International_Fuel_Surcharge),2),ROUND(((1-IntEconomyDiscount-IntEoncomyIncentive)*'Intl Economy Base'!P59)*(1+International_Fuel_Surcharge),2)))*(1+FedEx_Markup),2)</f>
        <v>230.97</v>
      </c>
      <c r="Q62" s="295">
        <f>ROUND((IF('Intl Economy Base'!$Q$105&gt;ROUND(((1-PuertoRicoDiscount)*'Intl Economy Base'!Q59),2),ROUND('Intl Economy Base'!$Q$105*(1+International_Fuel_Surcharge),2),ROUND(((1-PuertoRicoDiscount)*'Intl Economy Base'!Q59)*(1+International_Fuel_Surcharge),2)))*(1+FedEx_Markup),2)</f>
        <v>307.1</v>
      </c>
      <c r="R62" s="138"/>
      <c r="S62" s="138"/>
      <c r="T62" s="138"/>
      <c r="U62" s="138"/>
      <c r="V62" s="138"/>
      <c r="W62" s="138"/>
      <c r="X62" s="138"/>
      <c r="Y62" s="138"/>
      <c r="Z62" s="138"/>
    </row>
    <row r="63" ht="12.75" customHeight="1">
      <c r="A63" s="294">
        <v>66.0</v>
      </c>
      <c r="B63" s="295">
        <f>ROUND((IF('Intl Economy Base'!$B$105&gt;ROUND(((1-IntEconomyDiscount-IntEoncomyIncentive)*'Intl Economy Base'!B60),2),ROUND('Intl Economy Base'!$B$105*(1+International_Fuel_Surcharge),2),ROUND(((1-IntEconomyDiscount-IntEoncomyIncentive)*'Intl Economy Base'!B60)*(1+International_Fuel_Surcharge),2)))*(1+FedEx_Markup),2)</f>
        <v>117.81</v>
      </c>
      <c r="C63" s="295">
        <f>ROUND((IF('Intl Economy Base'!$C$105&gt;ROUND(((1-IntEconomyDiscount-IntEoncomyIncentive)*'Intl Economy Base'!C60),2),ROUND('Intl Economy Base'!$C$105*(1+International_Fuel_Surcharge),2),ROUND(((1-IntEconomyDiscount-IntEoncomyIncentive)*'Intl Economy Base'!C60)*(1+International_Fuel_Surcharge),2)))*(1+FedEx_Markup),2)</f>
        <v>132.31</v>
      </c>
      <c r="D63" s="295">
        <f>ROUND((IF('Intl Economy Base'!$D$105&gt;ROUND(((1-IntEconomyDiscount-IntEoncomyIncentive)*'Intl Economy Base'!D60),2),ROUND('Intl Economy Base'!$D$105*(1+International_Fuel_Surcharge),2),ROUND(((1-IntEconomyDiscount-IntEoncomyIncentive)*'Intl Economy Base'!D60)*(1+International_Fuel_Surcharge),2)))*(1+FedEx_Markup),2)</f>
        <v>88.8</v>
      </c>
      <c r="E63" s="295">
        <f>ROUND((IF('Intl Economy Base'!$E$105&gt;ROUND(((1-IntEconomyDiscount-IntEoncomyIncentive)*'Intl Economy Base'!E60),2),ROUND('Intl Economy Base'!$E$105*(1+International_Fuel_Surcharge),2),ROUND(((1-IntEconomyDiscount-IntEoncomyIncentive)*'Intl Economy Base'!E60)*(1+International_Fuel_Surcharge),2)))*(1+FedEx_Markup),2)</f>
        <v>176.03</v>
      </c>
      <c r="F63" s="295">
        <f>ROUND((IF('Intl Economy Base'!$F$105&gt;ROUND(((1-IntEconomyDiscount-IntEoncomyIncentive)*'Intl Economy Base'!F60),2),ROUND('Intl Economy Base'!$F$105*(1+International_Fuel_Surcharge),2),ROUND(((1-IntEconomyDiscount-IntEoncomyIncentive)*'Intl Economy Base'!F60)*(1+International_Fuel_Surcharge),2)))*(1+FedEx_Markup),2)</f>
        <v>337.28</v>
      </c>
      <c r="G63" s="295">
        <f>ROUND((IF('Intl Economy Base'!$G$105&gt;ROUND(((1-IntEconomyDiscount-IntEoncomyIncentive)*'Intl Economy Base'!G60),2),ROUND('Intl Economy Base'!$G$105*(1+International_Fuel_Surcharge),2),ROUND(((1-IntEconomyDiscount-IntEoncomyIncentive)*'Intl Economy Base'!G60)*(1+International_Fuel_Surcharge),2)))*(1+FedEx_Markup),2)</f>
        <v>180.16</v>
      </c>
      <c r="H63" s="295">
        <f>ROUND((IF('Intl Economy Base'!$H$105&gt;ROUND(((1-IntEconomyDiscount-IntEoncomyIncentive)*'Intl Economy Base'!H60),2),ROUND('Intl Economy Base'!$H$105*(1+International_Fuel_Surcharge),2),ROUND(((1-IntEconomyDiscount-IntEoncomyIncentive)*'Intl Economy Base'!H60)*(1+International_Fuel_Surcharge),2)))*(1+FedEx_Markup),2)</f>
        <v>185.12</v>
      </c>
      <c r="I63" s="295">
        <f>ROUND((IF('Intl Economy Base'!$I$105&gt;ROUND(((1-IntEconomyDiscount-IntEoncomyIncentive)*'Intl Economy Base'!I60),2),ROUND('Intl Economy Base'!$I$105*(1+International_Fuel_Surcharge),2),ROUND(((1-IntEconomyDiscount-IntEoncomyIncentive)*'Intl Economy Base'!I60)*(1+International_Fuel_Surcharge),2)))*(1+FedEx_Markup),2)</f>
        <v>216.35</v>
      </c>
      <c r="J63" s="295">
        <f>ROUND((IF('Intl Economy Base'!$J$105&gt;ROUND(((1-IntEconomyDiscount-IntEoncomyIncentive)*'Intl Economy Base'!J60),2),ROUND('Intl Economy Base'!$J$105*(1+International_Fuel_Surcharge),2),ROUND(((1-IntEconomyDiscount-IntEoncomyIncentive)*'Intl Economy Base'!J60)*(1+International_Fuel_Surcharge),2)))*(1+FedEx_Markup),2)</f>
        <v>127.2</v>
      </c>
      <c r="K63" s="295">
        <f>ROUND((IF('Intl Economy Base'!$K$105&gt;ROUND(((1-IntEconomyDiscount-IntEoncomyIncentive)*'Intl Economy Base'!K60),2),ROUND('Intl Economy Base'!$K$105*(1+International_Fuel_Surcharge),2),ROUND(((1-IntEconomyDiscount-IntEoncomyIncentive)*'Intl Economy Base'!K60)*(1+International_Fuel_Surcharge),2)))*(1+FedEx_Markup),2)</f>
        <v>295.84</v>
      </c>
      <c r="L63" s="295">
        <f>ROUND((IF('Intl Economy Base'!$L$105&gt;ROUND(((1-IntEconomyDiscount-IntEoncomyIncentive)*'Intl Economy Base'!L60),2),ROUND('Intl Economy Base'!$L$105*(1+International_Fuel_Surcharge),2),ROUND(((1-IntEconomyDiscount-IntEoncomyIncentive)*'Intl Economy Base'!L60)*(1+International_Fuel_Surcharge),2)))*(1+FedEx_Markup),2)</f>
        <v>243.7</v>
      </c>
      <c r="M63" s="295">
        <f>ROUND((IF('Intl Economy Base'!$M$105&gt;ROUND(((1-IntEconomyDiscount-IntEoncomyIncentive)*'Intl Economy Base'!M60),2),ROUND('Intl Economy Base'!$M$105*(1+International_Fuel_Surcharge),2),ROUND(((1-IntEconomyDiscount-IntEoncomyIncentive)*'Intl Economy Base'!M60)*(1+International_Fuel_Surcharge),2)))*(1+FedEx_Markup),2)</f>
        <v>300.28</v>
      </c>
      <c r="N63" s="295">
        <f>ROUND((IF('Intl Economy Base'!$N$105&gt;ROUND(((1-IntEconomyDiscount-IntEoncomyIncentive)*'Intl Economy Base'!N60),2),ROUND('Intl Economy Base'!$N$105*(1+International_Fuel_Surcharge),2),ROUND(((1-IntEconomyDiscount-IntEoncomyIncentive)*'Intl Economy Base'!N60)*(1+International_Fuel_Surcharge),2)))*(1+FedEx_Markup),2)</f>
        <v>300.76</v>
      </c>
      <c r="O63" s="295">
        <f>ROUND((IF('Intl Economy Base'!$O$105&gt;ROUND(((1-IntEconomyDiscount-IntEoncomyIncentive)*'Intl Economy Base'!O60),2),ROUND('Intl Economy Base'!$O$105*(1+International_Fuel_Surcharge),2),ROUND(((1-IntEconomyDiscount-IntEoncomyIncentive)*'Intl Economy Base'!O60)*(1+International_Fuel_Surcharge),2)))*(1+FedEx_Markup),2)</f>
        <v>234.27</v>
      </c>
      <c r="P63" s="295">
        <f>ROUND((IF('Intl Economy Base'!$P$105&gt;ROUND(((1-IntEconomyDiscount-IntEoncomyIncentive)*'Intl Economy Base'!P60),2),ROUND('Intl Economy Base'!$P$105*(1+International_Fuel_Surcharge),2),ROUND(((1-IntEconomyDiscount-IntEoncomyIncentive)*'Intl Economy Base'!P60)*(1+International_Fuel_Surcharge),2)))*(1+FedEx_Markup),2)</f>
        <v>231.89</v>
      </c>
      <c r="Q63" s="295">
        <f>ROUND((IF('Intl Economy Base'!$Q$105&gt;ROUND(((1-PuertoRicoDiscount)*'Intl Economy Base'!Q60),2),ROUND('Intl Economy Base'!$Q$105*(1+International_Fuel_Surcharge),2),ROUND(((1-PuertoRicoDiscount)*'Intl Economy Base'!Q60)*(1+International_Fuel_Surcharge),2)))*(1+FedEx_Markup),2)</f>
        <v>312.26</v>
      </c>
      <c r="R63" s="138"/>
      <c r="S63" s="138"/>
      <c r="T63" s="138"/>
      <c r="U63" s="138"/>
      <c r="V63" s="138"/>
      <c r="W63" s="138"/>
      <c r="X63" s="138"/>
      <c r="Y63" s="138"/>
      <c r="Z63" s="138"/>
    </row>
    <row r="64" ht="12.75" customHeight="1">
      <c r="A64" s="294">
        <v>68.0</v>
      </c>
      <c r="B64" s="295">
        <f>ROUND((IF('Intl Economy Base'!$B$105&gt;ROUND(((1-IntEconomyDiscount-IntEoncomyIncentive)*'Intl Economy Base'!B61),2),ROUND('Intl Economy Base'!$B$105*(1+International_Fuel_Surcharge),2),ROUND(((1-IntEconomyDiscount-IntEoncomyIncentive)*'Intl Economy Base'!B61)*(1+International_Fuel_Surcharge),2)))*(1+FedEx_Markup),2)</f>
        <v>118.47</v>
      </c>
      <c r="C64" s="295">
        <f>ROUND((IF('Intl Economy Base'!$C$105&gt;ROUND(((1-IntEconomyDiscount-IntEoncomyIncentive)*'Intl Economy Base'!C61),2),ROUND('Intl Economy Base'!$C$105*(1+International_Fuel_Surcharge),2),ROUND(((1-IntEconomyDiscount-IntEoncomyIncentive)*'Intl Economy Base'!C61)*(1+International_Fuel_Surcharge),2)))*(1+FedEx_Markup),2)</f>
        <v>132.47</v>
      </c>
      <c r="D64" s="295">
        <f>ROUND((IF('Intl Economy Base'!$D$105&gt;ROUND(((1-IntEconomyDiscount-IntEoncomyIncentive)*'Intl Economy Base'!D61),2),ROUND('Intl Economy Base'!$D$105*(1+International_Fuel_Surcharge),2),ROUND(((1-IntEconomyDiscount-IntEoncomyIncentive)*'Intl Economy Base'!D61)*(1+International_Fuel_Surcharge),2)))*(1+FedEx_Markup),2)</f>
        <v>88.86</v>
      </c>
      <c r="E64" s="295">
        <f>ROUND((IF('Intl Economy Base'!$E$105&gt;ROUND(((1-IntEconomyDiscount-IntEoncomyIncentive)*'Intl Economy Base'!E61),2),ROUND('Intl Economy Base'!$E$105*(1+International_Fuel_Surcharge),2),ROUND(((1-IntEconomyDiscount-IntEoncomyIncentive)*'Intl Economy Base'!E61)*(1+International_Fuel_Surcharge),2)))*(1+FedEx_Markup),2)</f>
        <v>176.61</v>
      </c>
      <c r="F64" s="295">
        <f>ROUND((IF('Intl Economy Base'!$F$105&gt;ROUND(((1-IntEconomyDiscount-IntEoncomyIncentive)*'Intl Economy Base'!F61),2),ROUND('Intl Economy Base'!$F$105*(1+International_Fuel_Surcharge),2),ROUND(((1-IntEconomyDiscount-IntEoncomyIncentive)*'Intl Economy Base'!F61)*(1+International_Fuel_Surcharge),2)))*(1+FedEx_Markup),2)</f>
        <v>337.78</v>
      </c>
      <c r="G64" s="295">
        <f>ROUND((IF('Intl Economy Base'!$G$105&gt;ROUND(((1-IntEconomyDiscount-IntEoncomyIncentive)*'Intl Economy Base'!G61),2),ROUND('Intl Economy Base'!$G$105*(1+International_Fuel_Surcharge),2),ROUND(((1-IntEconomyDiscount-IntEoncomyIncentive)*'Intl Economy Base'!G61)*(1+International_Fuel_Surcharge),2)))*(1+FedEx_Markup),2)</f>
        <v>180.29</v>
      </c>
      <c r="H64" s="295">
        <f>ROUND((IF('Intl Economy Base'!$H$105&gt;ROUND(((1-IntEconomyDiscount-IntEoncomyIncentive)*'Intl Economy Base'!H61),2),ROUND('Intl Economy Base'!$H$105*(1+International_Fuel_Surcharge),2),ROUND(((1-IntEconomyDiscount-IntEoncomyIncentive)*'Intl Economy Base'!H61)*(1+International_Fuel_Surcharge),2)))*(1+FedEx_Markup),2)</f>
        <v>189.22</v>
      </c>
      <c r="I64" s="295">
        <f>ROUND((IF('Intl Economy Base'!$I$105&gt;ROUND(((1-IntEconomyDiscount-IntEoncomyIncentive)*'Intl Economy Base'!I61),2),ROUND('Intl Economy Base'!$I$105*(1+International_Fuel_Surcharge),2),ROUND(((1-IntEconomyDiscount-IntEoncomyIncentive)*'Intl Economy Base'!I61)*(1+International_Fuel_Surcharge),2)))*(1+FedEx_Markup),2)</f>
        <v>216.4</v>
      </c>
      <c r="J64" s="295">
        <f>ROUND((IF('Intl Economy Base'!$J$105&gt;ROUND(((1-IntEconomyDiscount-IntEoncomyIncentive)*'Intl Economy Base'!J61),2),ROUND('Intl Economy Base'!$J$105*(1+International_Fuel_Surcharge),2),ROUND(((1-IntEconomyDiscount-IntEoncomyIncentive)*'Intl Economy Base'!J61)*(1+International_Fuel_Surcharge),2)))*(1+FedEx_Markup),2)</f>
        <v>128.36</v>
      </c>
      <c r="K64" s="295">
        <f>ROUND((IF('Intl Economy Base'!$K$105&gt;ROUND(((1-IntEconomyDiscount-IntEoncomyIncentive)*'Intl Economy Base'!K61),2),ROUND('Intl Economy Base'!$K$105*(1+International_Fuel_Surcharge),2),ROUND(((1-IntEconomyDiscount-IntEoncomyIncentive)*'Intl Economy Base'!K61)*(1+International_Fuel_Surcharge),2)))*(1+FedEx_Markup),2)</f>
        <v>296.22</v>
      </c>
      <c r="L64" s="295">
        <f>ROUND((IF('Intl Economy Base'!$L$105&gt;ROUND(((1-IntEconomyDiscount-IntEoncomyIncentive)*'Intl Economy Base'!L61),2),ROUND('Intl Economy Base'!$L$105*(1+International_Fuel_Surcharge),2),ROUND(((1-IntEconomyDiscount-IntEoncomyIncentive)*'Intl Economy Base'!L61)*(1+International_Fuel_Surcharge),2)))*(1+FedEx_Markup),2)</f>
        <v>244.01</v>
      </c>
      <c r="M64" s="295">
        <f>ROUND((IF('Intl Economy Base'!$M$105&gt;ROUND(((1-IntEconomyDiscount-IntEoncomyIncentive)*'Intl Economy Base'!M61),2),ROUND('Intl Economy Base'!$M$105*(1+International_Fuel_Surcharge),2),ROUND(((1-IntEconomyDiscount-IntEoncomyIncentive)*'Intl Economy Base'!M61)*(1+International_Fuel_Surcharge),2)))*(1+FedEx_Markup),2)</f>
        <v>300.37</v>
      </c>
      <c r="N64" s="295">
        <f>ROUND((IF('Intl Economy Base'!$N$105&gt;ROUND(((1-IntEconomyDiscount-IntEoncomyIncentive)*'Intl Economy Base'!N61),2),ROUND('Intl Economy Base'!$N$105*(1+International_Fuel_Surcharge),2),ROUND(((1-IntEconomyDiscount-IntEoncomyIncentive)*'Intl Economy Base'!N61)*(1+International_Fuel_Surcharge),2)))*(1+FedEx_Markup),2)</f>
        <v>300.81</v>
      </c>
      <c r="O64" s="295">
        <f>ROUND((IF('Intl Economy Base'!$O$105&gt;ROUND(((1-IntEconomyDiscount-IntEoncomyIncentive)*'Intl Economy Base'!O61),2),ROUND('Intl Economy Base'!$O$105*(1+International_Fuel_Surcharge),2),ROUND(((1-IntEconomyDiscount-IntEoncomyIncentive)*'Intl Economy Base'!O61)*(1+International_Fuel_Surcharge),2)))*(1+FedEx_Markup),2)</f>
        <v>234.31</v>
      </c>
      <c r="P64" s="295">
        <f>ROUND((IF('Intl Economy Base'!$P$105&gt;ROUND(((1-IntEconomyDiscount-IntEoncomyIncentive)*'Intl Economy Base'!P61),2),ROUND('Intl Economy Base'!$P$105*(1+International_Fuel_Surcharge),2),ROUND(((1-IntEconomyDiscount-IntEoncomyIncentive)*'Intl Economy Base'!P61)*(1+International_Fuel_Surcharge),2)))*(1+FedEx_Markup),2)</f>
        <v>232.23</v>
      </c>
      <c r="Q64" s="295">
        <f>ROUND((IF('Intl Economy Base'!$Q$105&gt;ROUND(((1-PuertoRicoDiscount)*'Intl Economy Base'!Q61),2),ROUND('Intl Economy Base'!$Q$105*(1+International_Fuel_Surcharge),2),ROUND(((1-PuertoRicoDiscount)*'Intl Economy Base'!Q61)*(1+International_Fuel_Surcharge),2)))*(1+FedEx_Markup),2)</f>
        <v>316.48</v>
      </c>
      <c r="R64" s="138"/>
      <c r="S64" s="138"/>
      <c r="T64" s="138"/>
      <c r="U64" s="138"/>
      <c r="V64" s="138"/>
      <c r="W64" s="138"/>
      <c r="X64" s="138"/>
      <c r="Y64" s="138"/>
      <c r="Z64" s="138"/>
    </row>
    <row r="65" ht="12.75" customHeight="1">
      <c r="A65" s="294">
        <v>70.0</v>
      </c>
      <c r="B65" s="295">
        <f>ROUND((IF('Intl Economy Base'!$B$105&gt;ROUND(((1-IntEconomyDiscount-IntEoncomyIncentive)*'Intl Economy Base'!B62),2),ROUND('Intl Economy Base'!$B$105*(1+International_Fuel_Surcharge),2),ROUND(((1-IntEconomyDiscount-IntEoncomyIncentive)*'Intl Economy Base'!B62)*(1+International_Fuel_Surcharge),2)))*(1+FedEx_Markup),2)</f>
        <v>118.68</v>
      </c>
      <c r="C65" s="295">
        <f>ROUND((IF('Intl Economy Base'!$C$105&gt;ROUND(((1-IntEconomyDiscount-IntEoncomyIncentive)*'Intl Economy Base'!C62),2),ROUND('Intl Economy Base'!$C$105*(1+International_Fuel_Surcharge),2),ROUND(((1-IntEconomyDiscount-IntEoncomyIncentive)*'Intl Economy Base'!C62)*(1+International_Fuel_Surcharge),2)))*(1+FedEx_Markup),2)</f>
        <v>132.78</v>
      </c>
      <c r="D65" s="295">
        <f>ROUND((IF('Intl Economy Base'!$D$105&gt;ROUND(((1-IntEconomyDiscount-IntEoncomyIncentive)*'Intl Economy Base'!D62),2),ROUND('Intl Economy Base'!$D$105*(1+International_Fuel_Surcharge),2),ROUND(((1-IntEconomyDiscount-IntEoncomyIncentive)*'Intl Economy Base'!D62)*(1+International_Fuel_Surcharge),2)))*(1+FedEx_Markup),2)</f>
        <v>88.92</v>
      </c>
      <c r="E65" s="295">
        <f>ROUND((IF('Intl Economy Base'!$E$105&gt;ROUND(((1-IntEconomyDiscount-IntEoncomyIncentive)*'Intl Economy Base'!E62),2),ROUND('Intl Economy Base'!$E$105*(1+International_Fuel_Surcharge),2),ROUND(((1-IntEconomyDiscount-IntEoncomyIncentive)*'Intl Economy Base'!E62)*(1+International_Fuel_Surcharge),2)))*(1+FedEx_Markup),2)</f>
        <v>176.67</v>
      </c>
      <c r="F65" s="295">
        <f>ROUND((IF('Intl Economy Base'!$F$105&gt;ROUND(((1-IntEconomyDiscount-IntEoncomyIncentive)*'Intl Economy Base'!F62),2),ROUND('Intl Economy Base'!$F$105*(1+International_Fuel_Surcharge),2),ROUND(((1-IntEconomyDiscount-IntEoncomyIncentive)*'Intl Economy Base'!F62)*(1+International_Fuel_Surcharge),2)))*(1+FedEx_Markup),2)</f>
        <v>347.82</v>
      </c>
      <c r="G65" s="295">
        <f>ROUND((IF('Intl Economy Base'!$G$105&gt;ROUND(((1-IntEconomyDiscount-IntEoncomyIncentive)*'Intl Economy Base'!G62),2),ROUND('Intl Economy Base'!$G$105*(1+International_Fuel_Surcharge),2),ROUND(((1-IntEconomyDiscount-IntEoncomyIncentive)*'Intl Economy Base'!G62)*(1+International_Fuel_Surcharge),2)))*(1+FedEx_Markup),2)</f>
        <v>180.34</v>
      </c>
      <c r="H65" s="295">
        <f>ROUND((IF('Intl Economy Base'!$H$105&gt;ROUND(((1-IntEconomyDiscount-IntEoncomyIncentive)*'Intl Economy Base'!H62),2),ROUND('Intl Economy Base'!$H$105*(1+International_Fuel_Surcharge),2),ROUND(((1-IntEconomyDiscount-IntEoncomyIncentive)*'Intl Economy Base'!H62)*(1+International_Fuel_Surcharge),2)))*(1+FedEx_Markup),2)</f>
        <v>190.6</v>
      </c>
      <c r="I65" s="295">
        <f>ROUND((IF('Intl Economy Base'!$I$105&gt;ROUND(((1-IntEconomyDiscount-IntEoncomyIncentive)*'Intl Economy Base'!I62),2),ROUND('Intl Economy Base'!$I$105*(1+International_Fuel_Surcharge),2),ROUND(((1-IntEconomyDiscount-IntEoncomyIncentive)*'Intl Economy Base'!I62)*(1+International_Fuel_Surcharge),2)))*(1+FedEx_Markup),2)</f>
        <v>216.45</v>
      </c>
      <c r="J65" s="295">
        <f>ROUND((IF('Intl Economy Base'!$J$105&gt;ROUND(((1-IntEconomyDiscount-IntEoncomyIncentive)*'Intl Economy Base'!J62),2),ROUND('Intl Economy Base'!$J$105*(1+International_Fuel_Surcharge),2),ROUND(((1-IntEconomyDiscount-IntEoncomyIncentive)*'Intl Economy Base'!J62)*(1+International_Fuel_Surcharge),2)))*(1+FedEx_Markup),2)</f>
        <v>129.56</v>
      </c>
      <c r="K65" s="295">
        <f>ROUND((IF('Intl Economy Base'!$K$105&gt;ROUND(((1-IntEconomyDiscount-IntEoncomyIncentive)*'Intl Economy Base'!K62),2),ROUND('Intl Economy Base'!$K$105*(1+International_Fuel_Surcharge),2),ROUND(((1-IntEconomyDiscount-IntEoncomyIncentive)*'Intl Economy Base'!K62)*(1+International_Fuel_Surcharge),2)))*(1+FedEx_Markup),2)</f>
        <v>296.45</v>
      </c>
      <c r="L65" s="295">
        <f>ROUND((IF('Intl Economy Base'!$L$105&gt;ROUND(((1-IntEconomyDiscount-IntEoncomyIncentive)*'Intl Economy Base'!L62),2),ROUND('Intl Economy Base'!$L$105*(1+International_Fuel_Surcharge),2),ROUND(((1-IntEconomyDiscount-IntEoncomyIncentive)*'Intl Economy Base'!L62)*(1+International_Fuel_Surcharge),2)))*(1+FedEx_Markup),2)</f>
        <v>244.06</v>
      </c>
      <c r="M65" s="295">
        <f>ROUND((IF('Intl Economy Base'!$M$105&gt;ROUND(((1-IntEconomyDiscount-IntEoncomyIncentive)*'Intl Economy Base'!M62),2),ROUND('Intl Economy Base'!$M$105*(1+International_Fuel_Surcharge),2),ROUND(((1-IntEconomyDiscount-IntEoncomyIncentive)*'Intl Economy Base'!M62)*(1+International_Fuel_Surcharge),2)))*(1+FedEx_Markup),2)</f>
        <v>300.5</v>
      </c>
      <c r="N65" s="295">
        <f>ROUND((IF('Intl Economy Base'!$N$105&gt;ROUND(((1-IntEconomyDiscount-IntEoncomyIncentive)*'Intl Economy Base'!N62),2),ROUND('Intl Economy Base'!$N$105*(1+International_Fuel_Surcharge),2),ROUND(((1-IntEconomyDiscount-IntEoncomyIncentive)*'Intl Economy Base'!N62)*(1+International_Fuel_Surcharge),2)))*(1+FedEx_Markup),2)</f>
        <v>300.86</v>
      </c>
      <c r="O65" s="295">
        <f>ROUND((IF('Intl Economy Base'!$O$105&gt;ROUND(((1-IntEconomyDiscount-IntEoncomyIncentive)*'Intl Economy Base'!O62),2),ROUND('Intl Economy Base'!$O$105*(1+International_Fuel_Surcharge),2),ROUND(((1-IntEconomyDiscount-IntEoncomyIncentive)*'Intl Economy Base'!O62)*(1+International_Fuel_Surcharge),2)))*(1+FedEx_Markup),2)</f>
        <v>234.36</v>
      </c>
      <c r="P65" s="295">
        <f>ROUND((IF('Intl Economy Base'!$P$105&gt;ROUND(((1-IntEconomyDiscount-IntEoncomyIncentive)*'Intl Economy Base'!P62),2),ROUND('Intl Economy Base'!$P$105*(1+International_Fuel_Surcharge),2),ROUND(((1-IntEconomyDiscount-IntEoncomyIncentive)*'Intl Economy Base'!P62)*(1+International_Fuel_Surcharge),2)))*(1+FedEx_Markup),2)</f>
        <v>232.29</v>
      </c>
      <c r="Q65" s="295">
        <f>ROUND((IF('Intl Economy Base'!$Q$105&gt;ROUND(((1-PuertoRicoDiscount)*'Intl Economy Base'!Q62),2),ROUND('Intl Economy Base'!$Q$105*(1+International_Fuel_Surcharge),2),ROUND(((1-PuertoRicoDiscount)*'Intl Economy Base'!Q62)*(1+International_Fuel_Surcharge),2)))*(1+FedEx_Markup),2)</f>
        <v>320.31</v>
      </c>
      <c r="R65" s="138"/>
      <c r="S65" s="138"/>
      <c r="T65" s="138"/>
      <c r="U65" s="138"/>
      <c r="V65" s="138"/>
      <c r="W65" s="138"/>
      <c r="X65" s="138"/>
      <c r="Y65" s="138"/>
      <c r="Z65" s="138"/>
    </row>
    <row r="66" ht="12.75" customHeight="1">
      <c r="A66" s="294">
        <v>72.0</v>
      </c>
      <c r="B66" s="295">
        <f>ROUND((IF('Intl Economy Base'!$B$105&gt;ROUND(((1-IntEconomyDiscount-IntEoncomyIncentive)*'Intl Economy Base'!B63),2),ROUND('Intl Economy Base'!$B$105*(1+International_Fuel_Surcharge),2),ROUND(((1-IntEconomyDiscount-IntEoncomyIncentive)*'Intl Economy Base'!B63)*(1+International_Fuel_Surcharge),2)))*(1+FedEx_Markup),2)</f>
        <v>122.68</v>
      </c>
      <c r="C66" s="295">
        <f>ROUND((IF('Intl Economy Base'!$C$105&gt;ROUND(((1-IntEconomyDiscount-IntEoncomyIncentive)*'Intl Economy Base'!C63),2),ROUND('Intl Economy Base'!$C$105*(1+International_Fuel_Surcharge),2),ROUND(((1-IntEconomyDiscount-IntEoncomyIncentive)*'Intl Economy Base'!C63)*(1+International_Fuel_Surcharge),2)))*(1+FedEx_Markup),2)</f>
        <v>139.09</v>
      </c>
      <c r="D66" s="295">
        <f>ROUND((IF('Intl Economy Base'!$D$105&gt;ROUND(((1-IntEconomyDiscount-IntEoncomyIncentive)*'Intl Economy Base'!D63),2),ROUND('Intl Economy Base'!$D$105*(1+International_Fuel_Surcharge),2),ROUND(((1-IntEconomyDiscount-IntEoncomyIncentive)*'Intl Economy Base'!D63)*(1+International_Fuel_Surcharge),2)))*(1+FedEx_Markup),2)</f>
        <v>89.98</v>
      </c>
      <c r="E66" s="295">
        <f>ROUND((IF('Intl Economy Base'!$E$105&gt;ROUND(((1-IntEconomyDiscount-IntEoncomyIncentive)*'Intl Economy Base'!E63),2),ROUND('Intl Economy Base'!$E$105*(1+International_Fuel_Surcharge),2),ROUND(((1-IntEconomyDiscount-IntEoncomyIncentive)*'Intl Economy Base'!E63)*(1+International_Fuel_Surcharge),2)))*(1+FedEx_Markup),2)</f>
        <v>176.76</v>
      </c>
      <c r="F66" s="295">
        <f>ROUND((IF('Intl Economy Base'!$F$105&gt;ROUND(((1-IntEconomyDiscount-IntEoncomyIncentive)*'Intl Economy Base'!F63),2),ROUND('Intl Economy Base'!$F$105*(1+International_Fuel_Surcharge),2),ROUND(((1-IntEconomyDiscount-IntEoncomyIncentive)*'Intl Economy Base'!F63)*(1+International_Fuel_Surcharge),2)))*(1+FedEx_Markup),2)</f>
        <v>351.73</v>
      </c>
      <c r="G66" s="295">
        <f>ROUND((IF('Intl Economy Base'!$G$105&gt;ROUND(((1-IntEconomyDiscount-IntEoncomyIncentive)*'Intl Economy Base'!G63),2),ROUND('Intl Economy Base'!$G$105*(1+International_Fuel_Surcharge),2),ROUND(((1-IntEconomyDiscount-IntEoncomyIncentive)*'Intl Economy Base'!G63)*(1+International_Fuel_Surcharge),2)))*(1+FedEx_Markup),2)</f>
        <v>180.39</v>
      </c>
      <c r="H66" s="295">
        <f>ROUND((IF('Intl Economy Base'!$H$105&gt;ROUND(((1-IntEconomyDiscount-IntEoncomyIncentive)*'Intl Economy Base'!H63),2),ROUND('Intl Economy Base'!$H$105*(1+International_Fuel_Surcharge),2),ROUND(((1-IntEconomyDiscount-IntEoncomyIncentive)*'Intl Economy Base'!H63)*(1+International_Fuel_Surcharge),2)))*(1+FedEx_Markup),2)</f>
        <v>192.06</v>
      </c>
      <c r="I66" s="295">
        <f>ROUND((IF('Intl Economy Base'!$I$105&gt;ROUND(((1-IntEconomyDiscount-IntEoncomyIncentive)*'Intl Economy Base'!I63),2),ROUND('Intl Economy Base'!$I$105*(1+International_Fuel_Surcharge),2),ROUND(((1-IntEconomyDiscount-IntEoncomyIncentive)*'Intl Economy Base'!I63)*(1+International_Fuel_Surcharge),2)))*(1+FedEx_Markup),2)</f>
        <v>217.04</v>
      </c>
      <c r="J66" s="295">
        <f>ROUND((IF('Intl Economy Base'!$J$105&gt;ROUND(((1-IntEconomyDiscount-IntEoncomyIncentive)*'Intl Economy Base'!J63),2),ROUND('Intl Economy Base'!$J$105*(1+International_Fuel_Surcharge),2),ROUND(((1-IntEconomyDiscount-IntEoncomyIncentive)*'Intl Economy Base'!J63)*(1+International_Fuel_Surcharge),2)))*(1+FedEx_Markup),2)</f>
        <v>130.95</v>
      </c>
      <c r="K66" s="295">
        <f>ROUND((IF('Intl Economy Base'!$K$105&gt;ROUND(((1-IntEconomyDiscount-IntEoncomyIncentive)*'Intl Economy Base'!K63),2),ROUND('Intl Economy Base'!$K$105*(1+International_Fuel_Surcharge),2),ROUND(((1-IntEconomyDiscount-IntEoncomyIncentive)*'Intl Economy Base'!K63)*(1+International_Fuel_Surcharge),2)))*(1+FedEx_Markup),2)</f>
        <v>301.16</v>
      </c>
      <c r="L66" s="295">
        <f>ROUND((IF('Intl Economy Base'!$L$105&gt;ROUND(((1-IntEconomyDiscount-IntEoncomyIncentive)*'Intl Economy Base'!L63),2),ROUND('Intl Economy Base'!$L$105*(1+International_Fuel_Surcharge),2),ROUND(((1-IntEconomyDiscount-IntEoncomyIncentive)*'Intl Economy Base'!L63)*(1+International_Fuel_Surcharge),2)))*(1+FedEx_Markup),2)</f>
        <v>244.11</v>
      </c>
      <c r="M66" s="295">
        <f>ROUND((IF('Intl Economy Base'!$M$105&gt;ROUND(((1-IntEconomyDiscount-IntEoncomyIncentive)*'Intl Economy Base'!M63),2),ROUND('Intl Economy Base'!$M$105*(1+International_Fuel_Surcharge),2),ROUND(((1-IntEconomyDiscount-IntEoncomyIncentive)*'Intl Economy Base'!M63)*(1+International_Fuel_Surcharge),2)))*(1+FedEx_Markup),2)</f>
        <v>302.98</v>
      </c>
      <c r="N66" s="295">
        <f>ROUND((IF('Intl Economy Base'!$N$105&gt;ROUND(((1-IntEconomyDiscount-IntEoncomyIncentive)*'Intl Economy Base'!N63),2),ROUND('Intl Economy Base'!$N$105*(1+International_Fuel_Surcharge),2),ROUND(((1-IntEconomyDiscount-IntEoncomyIncentive)*'Intl Economy Base'!N63)*(1+International_Fuel_Surcharge),2)))*(1+FedEx_Markup),2)</f>
        <v>301.39</v>
      </c>
      <c r="O66" s="295">
        <f>ROUND((IF('Intl Economy Base'!$O$105&gt;ROUND(((1-IntEconomyDiscount-IntEoncomyIncentive)*'Intl Economy Base'!O63),2),ROUND('Intl Economy Base'!$O$105*(1+International_Fuel_Surcharge),2),ROUND(((1-IntEconomyDiscount-IntEoncomyIncentive)*'Intl Economy Base'!O63)*(1+International_Fuel_Surcharge),2)))*(1+FedEx_Markup),2)</f>
        <v>234.42</v>
      </c>
      <c r="P66" s="295">
        <f>ROUND((IF('Intl Economy Base'!$P$105&gt;ROUND(((1-IntEconomyDiscount-IntEoncomyIncentive)*'Intl Economy Base'!P63),2),ROUND('Intl Economy Base'!$P$105*(1+International_Fuel_Surcharge),2),ROUND(((1-IntEconomyDiscount-IntEoncomyIncentive)*'Intl Economy Base'!P63)*(1+International_Fuel_Surcharge),2)))*(1+FedEx_Markup),2)</f>
        <v>232.9</v>
      </c>
      <c r="Q66" s="295">
        <f>ROUND((IF('Intl Economy Base'!$Q$105&gt;ROUND(((1-PuertoRicoDiscount)*'Intl Economy Base'!Q63),2),ROUND('Intl Economy Base'!$Q$105*(1+International_Fuel_Surcharge),2),ROUND(((1-PuertoRicoDiscount)*'Intl Economy Base'!Q63)*(1+International_Fuel_Surcharge),2)))*(1+FedEx_Markup),2)</f>
        <v>326.05</v>
      </c>
      <c r="R66" s="138"/>
      <c r="S66" s="138"/>
      <c r="T66" s="138"/>
      <c r="U66" s="138"/>
      <c r="V66" s="138"/>
      <c r="W66" s="138"/>
      <c r="X66" s="138"/>
      <c r="Y66" s="138"/>
      <c r="Z66" s="138"/>
    </row>
    <row r="67" ht="12.75" customHeight="1">
      <c r="A67" s="294">
        <v>74.0</v>
      </c>
      <c r="B67" s="295">
        <f>ROUND((IF('Intl Economy Base'!$B$105&gt;ROUND(((1-IntEconomyDiscount-IntEoncomyIncentive)*'Intl Economy Base'!B64),2),ROUND('Intl Economy Base'!$B$105*(1+International_Fuel_Surcharge),2),ROUND(((1-IntEconomyDiscount-IntEoncomyIncentive)*'Intl Economy Base'!B64)*(1+International_Fuel_Surcharge),2)))*(1+FedEx_Markup),2)</f>
        <v>124.06</v>
      </c>
      <c r="C67" s="295">
        <f>ROUND((IF('Intl Economy Base'!$C$105&gt;ROUND(((1-IntEconomyDiscount-IntEoncomyIncentive)*'Intl Economy Base'!C64),2),ROUND('Intl Economy Base'!$C$105*(1+International_Fuel_Surcharge),2),ROUND(((1-IntEconomyDiscount-IntEoncomyIncentive)*'Intl Economy Base'!C64)*(1+International_Fuel_Surcharge),2)))*(1+FedEx_Markup),2)</f>
        <v>141.24</v>
      </c>
      <c r="D67" s="295">
        <f>ROUND((IF('Intl Economy Base'!$D$105&gt;ROUND(((1-IntEconomyDiscount-IntEoncomyIncentive)*'Intl Economy Base'!D64),2),ROUND('Intl Economy Base'!$D$105*(1+International_Fuel_Surcharge),2),ROUND(((1-IntEconomyDiscount-IntEoncomyIncentive)*'Intl Economy Base'!D64)*(1+International_Fuel_Surcharge),2)))*(1+FedEx_Markup),2)</f>
        <v>92.43</v>
      </c>
      <c r="E67" s="295">
        <f>ROUND((IF('Intl Economy Base'!$E$105&gt;ROUND(((1-IntEconomyDiscount-IntEoncomyIncentive)*'Intl Economy Base'!E64),2),ROUND('Intl Economy Base'!$E$105*(1+International_Fuel_Surcharge),2),ROUND(((1-IntEconomyDiscount-IntEoncomyIncentive)*'Intl Economy Base'!E64)*(1+International_Fuel_Surcharge),2)))*(1+FedEx_Markup),2)</f>
        <v>176.81</v>
      </c>
      <c r="F67" s="295">
        <f>ROUND((IF('Intl Economy Base'!$F$105&gt;ROUND(((1-IntEconomyDiscount-IntEoncomyIncentive)*'Intl Economy Base'!F64),2),ROUND('Intl Economy Base'!$F$105*(1+International_Fuel_Surcharge),2),ROUND(((1-IntEconomyDiscount-IntEoncomyIncentive)*'Intl Economy Base'!F64)*(1+International_Fuel_Surcharge),2)))*(1+FedEx_Markup),2)</f>
        <v>359.5</v>
      </c>
      <c r="G67" s="295">
        <f>ROUND((IF('Intl Economy Base'!$G$105&gt;ROUND(((1-IntEconomyDiscount-IntEoncomyIncentive)*'Intl Economy Base'!G64),2),ROUND('Intl Economy Base'!$G$105*(1+International_Fuel_Surcharge),2),ROUND(((1-IntEconomyDiscount-IntEoncomyIncentive)*'Intl Economy Base'!G64)*(1+International_Fuel_Surcharge),2)))*(1+FedEx_Markup),2)</f>
        <v>180.46</v>
      </c>
      <c r="H67" s="295">
        <f>ROUND((IF('Intl Economy Base'!$H$105&gt;ROUND(((1-IntEconomyDiscount-IntEoncomyIncentive)*'Intl Economy Base'!H64),2),ROUND('Intl Economy Base'!$H$105*(1+International_Fuel_Surcharge),2),ROUND(((1-IntEconomyDiscount-IntEoncomyIncentive)*'Intl Economy Base'!H64)*(1+International_Fuel_Surcharge),2)))*(1+FedEx_Markup),2)</f>
        <v>192.21</v>
      </c>
      <c r="I67" s="295">
        <f>ROUND((IF('Intl Economy Base'!$I$105&gt;ROUND(((1-IntEconomyDiscount-IntEoncomyIncentive)*'Intl Economy Base'!I64),2),ROUND('Intl Economy Base'!$I$105*(1+International_Fuel_Surcharge),2),ROUND(((1-IntEconomyDiscount-IntEoncomyIncentive)*'Intl Economy Base'!I64)*(1+International_Fuel_Surcharge),2)))*(1+FedEx_Markup),2)</f>
        <v>217.58</v>
      </c>
      <c r="J67" s="295">
        <f>ROUND((IF('Intl Economy Base'!$J$105&gt;ROUND(((1-IntEconomyDiscount-IntEoncomyIncentive)*'Intl Economy Base'!J64),2),ROUND('Intl Economy Base'!$J$105*(1+International_Fuel_Surcharge),2),ROUND(((1-IntEconomyDiscount-IntEoncomyIncentive)*'Intl Economy Base'!J64)*(1+International_Fuel_Surcharge),2)))*(1+FedEx_Markup),2)</f>
        <v>132.35</v>
      </c>
      <c r="K67" s="295">
        <f>ROUND((IF('Intl Economy Base'!$K$105&gt;ROUND(((1-IntEconomyDiscount-IntEoncomyIncentive)*'Intl Economy Base'!K64),2),ROUND('Intl Economy Base'!$K$105*(1+International_Fuel_Surcharge),2),ROUND(((1-IntEconomyDiscount-IntEoncomyIncentive)*'Intl Economy Base'!K64)*(1+International_Fuel_Surcharge),2)))*(1+FedEx_Markup),2)</f>
        <v>301.63</v>
      </c>
      <c r="L67" s="295">
        <f>ROUND((IF('Intl Economy Base'!$L$105&gt;ROUND(((1-IntEconomyDiscount-IntEoncomyIncentive)*'Intl Economy Base'!L64),2),ROUND('Intl Economy Base'!$L$105*(1+International_Fuel_Surcharge),2),ROUND(((1-IntEconomyDiscount-IntEoncomyIncentive)*'Intl Economy Base'!L64)*(1+International_Fuel_Surcharge),2)))*(1+FedEx_Markup),2)</f>
        <v>244.21</v>
      </c>
      <c r="M67" s="295">
        <f>ROUND((IF('Intl Economy Base'!$M$105&gt;ROUND(((1-IntEconomyDiscount-IntEoncomyIncentive)*'Intl Economy Base'!M64),2),ROUND('Intl Economy Base'!$M$105*(1+International_Fuel_Surcharge),2),ROUND(((1-IntEconomyDiscount-IntEoncomyIncentive)*'Intl Economy Base'!M64)*(1+International_Fuel_Surcharge),2)))*(1+FedEx_Markup),2)</f>
        <v>303.23</v>
      </c>
      <c r="N67" s="295">
        <f>ROUND((IF('Intl Economy Base'!$N$105&gt;ROUND(((1-IntEconomyDiscount-IntEoncomyIncentive)*'Intl Economy Base'!N64),2),ROUND('Intl Economy Base'!$N$105*(1+International_Fuel_Surcharge),2),ROUND(((1-IntEconomyDiscount-IntEoncomyIncentive)*'Intl Economy Base'!N64)*(1+International_Fuel_Surcharge),2)))*(1+FedEx_Markup),2)</f>
        <v>311.94</v>
      </c>
      <c r="O67" s="295">
        <f>ROUND((IF('Intl Economy Base'!$O$105&gt;ROUND(((1-IntEconomyDiscount-IntEoncomyIncentive)*'Intl Economy Base'!O64),2),ROUND('Intl Economy Base'!$O$105*(1+International_Fuel_Surcharge),2),ROUND(((1-IntEconomyDiscount-IntEoncomyIncentive)*'Intl Economy Base'!O64)*(1+International_Fuel_Surcharge),2)))*(1+FedEx_Markup),2)</f>
        <v>234.46</v>
      </c>
      <c r="P67" s="295">
        <f>ROUND((IF('Intl Economy Base'!$P$105&gt;ROUND(((1-IntEconomyDiscount-IntEoncomyIncentive)*'Intl Economy Base'!P64),2),ROUND('Intl Economy Base'!$P$105*(1+International_Fuel_Surcharge),2),ROUND(((1-IntEconomyDiscount-IntEoncomyIncentive)*'Intl Economy Base'!P64)*(1+International_Fuel_Surcharge),2)))*(1+FedEx_Markup),2)</f>
        <v>244.89</v>
      </c>
      <c r="Q67" s="295">
        <f>ROUND((IF('Intl Economy Base'!$Q$105&gt;ROUND(((1-PuertoRicoDiscount)*'Intl Economy Base'!Q64),2),ROUND('Intl Economy Base'!$Q$105*(1+International_Fuel_Surcharge),2),ROUND(((1-PuertoRicoDiscount)*'Intl Economy Base'!Q64)*(1+International_Fuel_Surcharge),2)))*(1+FedEx_Markup),2)</f>
        <v>336.67</v>
      </c>
      <c r="R67" s="138"/>
      <c r="S67" s="138"/>
      <c r="T67" s="138"/>
      <c r="U67" s="138"/>
      <c r="V67" s="138"/>
      <c r="W67" s="138"/>
      <c r="X67" s="138"/>
      <c r="Y67" s="138"/>
      <c r="Z67" s="138"/>
    </row>
    <row r="68" ht="12.75" customHeight="1">
      <c r="A68" s="294">
        <v>76.0</v>
      </c>
      <c r="B68" s="295">
        <f>ROUND((IF('Intl Economy Base'!$B$105&gt;ROUND(((1-IntEconomyDiscount-IntEoncomyIncentive)*'Intl Economy Base'!B65),2),ROUND('Intl Economy Base'!$B$105*(1+International_Fuel_Surcharge),2),ROUND(((1-IntEconomyDiscount-IntEoncomyIncentive)*'Intl Economy Base'!B65)*(1+International_Fuel_Surcharge),2)))*(1+FedEx_Markup),2)</f>
        <v>127.8</v>
      </c>
      <c r="C68" s="295">
        <f>ROUND((IF('Intl Economy Base'!$C$105&gt;ROUND(((1-IntEconomyDiscount-IntEoncomyIncentive)*'Intl Economy Base'!C65),2),ROUND('Intl Economy Base'!$C$105*(1+International_Fuel_Surcharge),2),ROUND(((1-IntEconomyDiscount-IntEoncomyIncentive)*'Intl Economy Base'!C65)*(1+International_Fuel_Surcharge),2)))*(1+FedEx_Markup),2)</f>
        <v>142.57</v>
      </c>
      <c r="D68" s="295">
        <f>ROUND((IF('Intl Economy Base'!$D$105&gt;ROUND(((1-IntEconomyDiscount-IntEoncomyIncentive)*'Intl Economy Base'!D65),2),ROUND('Intl Economy Base'!$D$105*(1+International_Fuel_Surcharge),2),ROUND(((1-IntEconomyDiscount-IntEoncomyIncentive)*'Intl Economy Base'!D65)*(1+International_Fuel_Surcharge),2)))*(1+FedEx_Markup),2)</f>
        <v>94.07</v>
      </c>
      <c r="E68" s="295">
        <f>ROUND((IF('Intl Economy Base'!$E$105&gt;ROUND(((1-IntEconomyDiscount-IntEoncomyIncentive)*'Intl Economy Base'!E65),2),ROUND('Intl Economy Base'!$E$105*(1+International_Fuel_Surcharge),2),ROUND(((1-IntEconomyDiscount-IntEoncomyIncentive)*'Intl Economy Base'!E65)*(1+International_Fuel_Surcharge),2)))*(1+FedEx_Markup),2)</f>
        <v>176.88</v>
      </c>
      <c r="F68" s="295">
        <f>ROUND((IF('Intl Economy Base'!$F$105&gt;ROUND(((1-IntEconomyDiscount-IntEoncomyIncentive)*'Intl Economy Base'!F65),2),ROUND('Intl Economy Base'!$F$105*(1+International_Fuel_Surcharge),2),ROUND(((1-IntEconomyDiscount-IntEoncomyIncentive)*'Intl Economy Base'!F65)*(1+International_Fuel_Surcharge),2)))*(1+FedEx_Markup),2)</f>
        <v>360.28</v>
      </c>
      <c r="G68" s="295">
        <f>ROUND((IF('Intl Economy Base'!$G$105&gt;ROUND(((1-IntEconomyDiscount-IntEoncomyIncentive)*'Intl Economy Base'!G65),2),ROUND('Intl Economy Base'!$G$105*(1+International_Fuel_Surcharge),2),ROUND(((1-IntEconomyDiscount-IntEoncomyIncentive)*'Intl Economy Base'!G65)*(1+International_Fuel_Surcharge),2)))*(1+FedEx_Markup),2)</f>
        <v>180.52</v>
      </c>
      <c r="H68" s="295">
        <f>ROUND((IF('Intl Economy Base'!$H$105&gt;ROUND(((1-IntEconomyDiscount-IntEoncomyIncentive)*'Intl Economy Base'!H65),2),ROUND('Intl Economy Base'!$H$105*(1+International_Fuel_Surcharge),2),ROUND(((1-IntEconomyDiscount-IntEoncomyIncentive)*'Intl Economy Base'!H65)*(1+International_Fuel_Surcharge),2)))*(1+FedEx_Markup),2)</f>
        <v>192.27</v>
      </c>
      <c r="I68" s="295">
        <f>ROUND((IF('Intl Economy Base'!$I$105&gt;ROUND(((1-IntEconomyDiscount-IntEoncomyIncentive)*'Intl Economy Base'!I65),2),ROUND('Intl Economy Base'!$I$105*(1+International_Fuel_Surcharge),2),ROUND(((1-IntEconomyDiscount-IntEoncomyIncentive)*'Intl Economy Base'!I65)*(1+International_Fuel_Surcharge),2)))*(1+FedEx_Markup),2)</f>
        <v>228.22</v>
      </c>
      <c r="J68" s="295">
        <f>ROUND((IF('Intl Economy Base'!$J$105&gt;ROUND(((1-IntEconomyDiscount-IntEoncomyIncentive)*'Intl Economy Base'!J65),2),ROUND('Intl Economy Base'!$J$105*(1+International_Fuel_Surcharge),2),ROUND(((1-IntEconomyDiscount-IntEoncomyIncentive)*'Intl Economy Base'!J65)*(1+International_Fuel_Surcharge),2)))*(1+FedEx_Markup),2)</f>
        <v>134.71</v>
      </c>
      <c r="K68" s="295">
        <f>ROUND((IF('Intl Economy Base'!$K$105&gt;ROUND(((1-IntEconomyDiscount-IntEoncomyIncentive)*'Intl Economy Base'!K65),2),ROUND('Intl Economy Base'!$K$105*(1+International_Fuel_Surcharge),2),ROUND(((1-IntEconomyDiscount-IntEoncomyIncentive)*'Intl Economy Base'!K65)*(1+International_Fuel_Surcharge),2)))*(1+FedEx_Markup),2)</f>
        <v>302.65</v>
      </c>
      <c r="L68" s="295">
        <f>ROUND((IF('Intl Economy Base'!$L$105&gt;ROUND(((1-IntEconomyDiscount-IntEoncomyIncentive)*'Intl Economy Base'!L65),2),ROUND('Intl Economy Base'!$L$105*(1+International_Fuel_Surcharge),2),ROUND(((1-IntEconomyDiscount-IntEoncomyIncentive)*'Intl Economy Base'!L65)*(1+International_Fuel_Surcharge),2)))*(1+FedEx_Markup),2)</f>
        <v>244.27</v>
      </c>
      <c r="M68" s="295">
        <f>ROUND((IF('Intl Economy Base'!$M$105&gt;ROUND(((1-IntEconomyDiscount-IntEoncomyIncentive)*'Intl Economy Base'!M65),2),ROUND('Intl Economy Base'!$M$105*(1+International_Fuel_Surcharge),2),ROUND(((1-IntEconomyDiscount-IntEoncomyIncentive)*'Intl Economy Base'!M65)*(1+International_Fuel_Surcharge),2)))*(1+FedEx_Markup),2)</f>
        <v>303.29</v>
      </c>
      <c r="N68" s="295">
        <f>ROUND((IF('Intl Economy Base'!$N$105&gt;ROUND(((1-IntEconomyDiscount-IntEoncomyIncentive)*'Intl Economy Base'!N65),2),ROUND('Intl Economy Base'!$N$105*(1+International_Fuel_Surcharge),2),ROUND(((1-IntEconomyDiscount-IntEoncomyIncentive)*'Intl Economy Base'!N65)*(1+International_Fuel_Surcharge),2)))*(1+FedEx_Markup),2)</f>
        <v>313</v>
      </c>
      <c r="O68" s="295">
        <f>ROUND((IF('Intl Economy Base'!$O$105&gt;ROUND(((1-IntEconomyDiscount-IntEoncomyIncentive)*'Intl Economy Base'!O65),2),ROUND('Intl Economy Base'!$O$105*(1+International_Fuel_Surcharge),2),ROUND(((1-IntEconomyDiscount-IntEoncomyIncentive)*'Intl Economy Base'!O65)*(1+International_Fuel_Surcharge),2)))*(1+FedEx_Markup),2)</f>
        <v>234.51</v>
      </c>
      <c r="P68" s="295">
        <f>ROUND((IF('Intl Economy Base'!$P$105&gt;ROUND(((1-IntEconomyDiscount-IntEoncomyIncentive)*'Intl Economy Base'!P65),2),ROUND('Intl Economy Base'!$P$105*(1+International_Fuel_Surcharge),2),ROUND(((1-IntEconomyDiscount-IntEoncomyIncentive)*'Intl Economy Base'!P65)*(1+International_Fuel_Surcharge),2)))*(1+FedEx_Markup),2)</f>
        <v>246.09</v>
      </c>
      <c r="Q68" s="295">
        <f>ROUND((IF('Intl Economy Base'!$Q$105&gt;ROUND(((1-PuertoRicoDiscount)*'Intl Economy Base'!Q65),2),ROUND('Intl Economy Base'!$Q$105*(1+International_Fuel_Surcharge),2),ROUND(((1-PuertoRicoDiscount)*'Intl Economy Base'!Q65)*(1+International_Fuel_Surcharge),2)))*(1+FedEx_Markup),2)</f>
        <v>342.37</v>
      </c>
      <c r="R68" s="138"/>
      <c r="S68" s="138"/>
      <c r="T68" s="138"/>
      <c r="U68" s="138"/>
      <c r="V68" s="138"/>
      <c r="W68" s="138"/>
      <c r="X68" s="138"/>
      <c r="Y68" s="138"/>
      <c r="Z68" s="138"/>
    </row>
    <row r="69" ht="12.75" customHeight="1">
      <c r="A69" s="294">
        <v>78.0</v>
      </c>
      <c r="B69" s="295">
        <f>ROUND((IF('Intl Economy Base'!$B$105&gt;ROUND(((1-IntEconomyDiscount-IntEoncomyIncentive)*'Intl Economy Base'!B66),2),ROUND('Intl Economy Base'!$B$105*(1+International_Fuel_Surcharge),2),ROUND(((1-IntEconomyDiscount-IntEoncomyIncentive)*'Intl Economy Base'!B66)*(1+International_Fuel_Surcharge),2)))*(1+FedEx_Markup),2)</f>
        <v>129.21</v>
      </c>
      <c r="C69" s="295">
        <f>ROUND((IF('Intl Economy Base'!$C$105&gt;ROUND(((1-IntEconomyDiscount-IntEoncomyIncentive)*'Intl Economy Base'!C66),2),ROUND('Intl Economy Base'!$C$105*(1+International_Fuel_Surcharge),2),ROUND(((1-IntEconomyDiscount-IntEoncomyIncentive)*'Intl Economy Base'!C66)*(1+International_Fuel_Surcharge),2)))*(1+FedEx_Markup),2)</f>
        <v>142.7</v>
      </c>
      <c r="D69" s="295">
        <f>ROUND((IF('Intl Economy Base'!$D$105&gt;ROUND(((1-IntEconomyDiscount-IntEoncomyIncentive)*'Intl Economy Base'!D66),2),ROUND('Intl Economy Base'!$D$105*(1+International_Fuel_Surcharge),2),ROUND(((1-IntEconomyDiscount-IntEoncomyIncentive)*'Intl Economy Base'!D66)*(1+International_Fuel_Surcharge),2)))*(1+FedEx_Markup),2)</f>
        <v>94.23</v>
      </c>
      <c r="E69" s="295">
        <f>ROUND((IF('Intl Economy Base'!$E$105&gt;ROUND(((1-IntEconomyDiscount-IntEoncomyIncentive)*'Intl Economy Base'!E66),2),ROUND('Intl Economy Base'!$E$105*(1+International_Fuel_Surcharge),2),ROUND(((1-IntEconomyDiscount-IntEoncomyIncentive)*'Intl Economy Base'!E66)*(1+International_Fuel_Surcharge),2)))*(1+FedEx_Markup),2)</f>
        <v>176.95</v>
      </c>
      <c r="F69" s="295">
        <f>ROUND((IF('Intl Economy Base'!$F$105&gt;ROUND(((1-IntEconomyDiscount-IntEoncomyIncentive)*'Intl Economy Base'!F66),2),ROUND('Intl Economy Base'!$F$105*(1+International_Fuel_Surcharge),2),ROUND(((1-IntEconomyDiscount-IntEoncomyIncentive)*'Intl Economy Base'!F66)*(1+International_Fuel_Surcharge),2)))*(1+FedEx_Markup),2)</f>
        <v>360.36</v>
      </c>
      <c r="G69" s="295">
        <f>ROUND((IF('Intl Economy Base'!$G$105&gt;ROUND(((1-IntEconomyDiscount-IntEoncomyIncentive)*'Intl Economy Base'!G66),2),ROUND('Intl Economy Base'!$G$105*(1+International_Fuel_Surcharge),2),ROUND(((1-IntEconomyDiscount-IntEoncomyIncentive)*'Intl Economy Base'!G66)*(1+International_Fuel_Surcharge),2)))*(1+FedEx_Markup),2)</f>
        <v>181.19</v>
      </c>
      <c r="H69" s="295">
        <f>ROUND((IF('Intl Economy Base'!$H$105&gt;ROUND(((1-IntEconomyDiscount-IntEoncomyIncentive)*'Intl Economy Base'!H66),2),ROUND('Intl Economy Base'!$H$105*(1+International_Fuel_Surcharge),2),ROUND(((1-IntEconomyDiscount-IntEoncomyIncentive)*'Intl Economy Base'!H66)*(1+International_Fuel_Surcharge),2)))*(1+FedEx_Markup),2)</f>
        <v>192.54</v>
      </c>
      <c r="I69" s="295">
        <f>ROUND((IF('Intl Economy Base'!$I$105&gt;ROUND(((1-IntEconomyDiscount-IntEoncomyIncentive)*'Intl Economy Base'!I66),2),ROUND('Intl Economy Base'!$I$105*(1+International_Fuel_Surcharge),2),ROUND(((1-IntEconomyDiscount-IntEoncomyIncentive)*'Intl Economy Base'!I66)*(1+International_Fuel_Surcharge),2)))*(1+FedEx_Markup),2)</f>
        <v>229.29</v>
      </c>
      <c r="J69" s="295">
        <f>ROUND((IF('Intl Economy Base'!$J$105&gt;ROUND(((1-IntEconomyDiscount-IntEoncomyIncentive)*'Intl Economy Base'!J66),2),ROUND('Intl Economy Base'!$J$105*(1+International_Fuel_Surcharge),2),ROUND(((1-IntEconomyDiscount-IntEoncomyIncentive)*'Intl Economy Base'!J66)*(1+International_Fuel_Surcharge),2)))*(1+FedEx_Markup),2)</f>
        <v>136.6</v>
      </c>
      <c r="K69" s="295">
        <f>ROUND((IF('Intl Economy Base'!$K$105&gt;ROUND(((1-IntEconomyDiscount-IntEoncomyIncentive)*'Intl Economy Base'!K66),2),ROUND('Intl Economy Base'!$K$105*(1+International_Fuel_Surcharge),2),ROUND(((1-IntEconomyDiscount-IntEoncomyIncentive)*'Intl Economy Base'!K66)*(1+International_Fuel_Surcharge),2)))*(1+FedEx_Markup),2)</f>
        <v>303.69</v>
      </c>
      <c r="L69" s="295">
        <f>ROUND((IF('Intl Economy Base'!$L$105&gt;ROUND(((1-IntEconomyDiscount-IntEoncomyIncentive)*'Intl Economy Base'!L66),2),ROUND('Intl Economy Base'!$L$105*(1+International_Fuel_Surcharge),2),ROUND(((1-IntEconomyDiscount-IntEoncomyIncentive)*'Intl Economy Base'!L66)*(1+International_Fuel_Surcharge),2)))*(1+FedEx_Markup),2)</f>
        <v>244.33</v>
      </c>
      <c r="M69" s="295">
        <f>ROUND((IF('Intl Economy Base'!$M$105&gt;ROUND(((1-IntEconomyDiscount-IntEoncomyIncentive)*'Intl Economy Base'!M66),2),ROUND('Intl Economy Base'!$M$105*(1+International_Fuel_Surcharge),2),ROUND(((1-IntEconomyDiscount-IntEoncomyIncentive)*'Intl Economy Base'!M66)*(1+International_Fuel_Surcharge),2)))*(1+FedEx_Markup),2)</f>
        <v>303.53</v>
      </c>
      <c r="N69" s="295">
        <f>ROUND((IF('Intl Economy Base'!$N$105&gt;ROUND(((1-IntEconomyDiscount-IntEoncomyIncentive)*'Intl Economy Base'!N66),2),ROUND('Intl Economy Base'!$N$105*(1+International_Fuel_Surcharge),2),ROUND(((1-IntEconomyDiscount-IntEoncomyIncentive)*'Intl Economy Base'!N66)*(1+International_Fuel_Surcharge),2)))*(1+FedEx_Markup),2)</f>
        <v>313.11</v>
      </c>
      <c r="O69" s="295">
        <f>ROUND((IF('Intl Economy Base'!$O$105&gt;ROUND(((1-IntEconomyDiscount-IntEoncomyIncentive)*'Intl Economy Base'!O66),2),ROUND('Intl Economy Base'!$O$105*(1+International_Fuel_Surcharge),2),ROUND(((1-IntEconomyDiscount-IntEoncomyIncentive)*'Intl Economy Base'!O66)*(1+International_Fuel_Surcharge),2)))*(1+FedEx_Markup),2)</f>
        <v>234.55</v>
      </c>
      <c r="P69" s="295">
        <f>ROUND((IF('Intl Economy Base'!$P$105&gt;ROUND(((1-IntEconomyDiscount-IntEoncomyIncentive)*'Intl Economy Base'!P66),2),ROUND('Intl Economy Base'!$P$105*(1+International_Fuel_Surcharge),2),ROUND(((1-IntEconomyDiscount-IntEoncomyIncentive)*'Intl Economy Base'!P66)*(1+International_Fuel_Surcharge),2)))*(1+FedEx_Markup),2)</f>
        <v>248.89</v>
      </c>
      <c r="Q69" s="295">
        <f>ROUND((IF('Intl Economy Base'!$Q$105&gt;ROUND(((1-PuertoRicoDiscount)*'Intl Economy Base'!Q66),2),ROUND('Intl Economy Base'!$Q$105*(1+International_Fuel_Surcharge),2),ROUND(((1-PuertoRicoDiscount)*'Intl Economy Base'!Q66)*(1+International_Fuel_Surcharge),2)))*(1+FedEx_Markup),2)</f>
        <v>342.62</v>
      </c>
      <c r="R69" s="138"/>
      <c r="S69" s="138"/>
      <c r="T69" s="138"/>
      <c r="U69" s="138"/>
      <c r="V69" s="138"/>
      <c r="W69" s="138"/>
      <c r="X69" s="138"/>
      <c r="Y69" s="138"/>
      <c r="Z69" s="138"/>
    </row>
    <row r="70" ht="12.75" customHeight="1">
      <c r="A70" s="294">
        <v>80.0</v>
      </c>
      <c r="B70" s="295">
        <f>ROUND((IF('Intl Economy Base'!$B$105&gt;ROUND(((1-IntEconomyDiscount-IntEoncomyIncentive)*'Intl Economy Base'!B67),2),ROUND('Intl Economy Base'!$B$105*(1+International_Fuel_Surcharge),2),ROUND(((1-IntEconomyDiscount-IntEoncomyIncentive)*'Intl Economy Base'!B67)*(1+International_Fuel_Surcharge),2)))*(1+FedEx_Markup),2)</f>
        <v>130.61</v>
      </c>
      <c r="C70" s="295">
        <f>ROUND((IF('Intl Economy Base'!$C$105&gt;ROUND(((1-IntEconomyDiscount-IntEoncomyIncentive)*'Intl Economy Base'!C67),2),ROUND('Intl Economy Base'!$C$105*(1+International_Fuel_Surcharge),2),ROUND(((1-IntEconomyDiscount-IntEoncomyIncentive)*'Intl Economy Base'!C67)*(1+International_Fuel_Surcharge),2)))*(1+FedEx_Markup),2)</f>
        <v>142.85</v>
      </c>
      <c r="D70" s="295">
        <f>ROUND((IF('Intl Economy Base'!$D$105&gt;ROUND(((1-IntEconomyDiscount-IntEoncomyIncentive)*'Intl Economy Base'!D67),2),ROUND('Intl Economy Base'!$D$105*(1+International_Fuel_Surcharge),2),ROUND(((1-IntEconomyDiscount-IntEoncomyIncentive)*'Intl Economy Base'!D67)*(1+International_Fuel_Surcharge),2)))*(1+FedEx_Markup),2)</f>
        <v>94.35</v>
      </c>
      <c r="E70" s="295">
        <f>ROUND((IF('Intl Economy Base'!$E$105&gt;ROUND(((1-IntEconomyDiscount-IntEoncomyIncentive)*'Intl Economy Base'!E67),2),ROUND('Intl Economy Base'!$E$105*(1+International_Fuel_Surcharge),2),ROUND(((1-IntEconomyDiscount-IntEoncomyIncentive)*'Intl Economy Base'!E67)*(1+International_Fuel_Surcharge),2)))*(1+FedEx_Markup),2)</f>
        <v>177.04</v>
      </c>
      <c r="F70" s="295">
        <f>ROUND((IF('Intl Economy Base'!$F$105&gt;ROUND(((1-IntEconomyDiscount-IntEoncomyIncentive)*'Intl Economy Base'!F67),2),ROUND('Intl Economy Base'!$F$105*(1+International_Fuel_Surcharge),2),ROUND(((1-IntEconomyDiscount-IntEoncomyIncentive)*'Intl Economy Base'!F67)*(1+International_Fuel_Surcharge),2)))*(1+FedEx_Markup),2)</f>
        <v>360.41</v>
      </c>
      <c r="G70" s="295">
        <f>ROUND((IF('Intl Economy Base'!$G$105&gt;ROUND(((1-IntEconomyDiscount-IntEoncomyIncentive)*'Intl Economy Base'!G67),2),ROUND('Intl Economy Base'!$G$105*(1+International_Fuel_Surcharge),2),ROUND(((1-IntEconomyDiscount-IntEoncomyIncentive)*'Intl Economy Base'!G67)*(1+International_Fuel_Surcharge),2)))*(1+FedEx_Markup),2)</f>
        <v>194.75</v>
      </c>
      <c r="H70" s="295">
        <f>ROUND((IF('Intl Economy Base'!$H$105&gt;ROUND(((1-IntEconomyDiscount-IntEoncomyIncentive)*'Intl Economy Base'!H67),2),ROUND('Intl Economy Base'!$H$105*(1+International_Fuel_Surcharge),2),ROUND(((1-IntEconomyDiscount-IntEoncomyIncentive)*'Intl Economy Base'!H67)*(1+International_Fuel_Surcharge),2)))*(1+FedEx_Markup),2)</f>
        <v>197.92</v>
      </c>
      <c r="I70" s="295">
        <f>ROUND((IF('Intl Economy Base'!$I$105&gt;ROUND(((1-IntEconomyDiscount-IntEoncomyIncentive)*'Intl Economy Base'!I67),2),ROUND('Intl Economy Base'!$I$105*(1+International_Fuel_Surcharge),2),ROUND(((1-IntEconomyDiscount-IntEoncomyIncentive)*'Intl Economy Base'!I67)*(1+International_Fuel_Surcharge),2)))*(1+FedEx_Markup),2)</f>
        <v>231.05</v>
      </c>
      <c r="J70" s="295">
        <f>ROUND((IF('Intl Economy Base'!$J$105&gt;ROUND(((1-IntEconomyDiscount-IntEoncomyIncentive)*'Intl Economy Base'!J67),2),ROUND('Intl Economy Base'!$J$105*(1+International_Fuel_Surcharge),2),ROUND(((1-IntEconomyDiscount-IntEoncomyIncentive)*'Intl Economy Base'!J67)*(1+International_Fuel_Surcharge),2)))*(1+FedEx_Markup),2)</f>
        <v>136.78</v>
      </c>
      <c r="K70" s="295">
        <f>ROUND((IF('Intl Economy Base'!$K$105&gt;ROUND(((1-IntEconomyDiscount-IntEoncomyIncentive)*'Intl Economy Base'!K67),2),ROUND('Intl Economy Base'!$K$105*(1+International_Fuel_Surcharge),2),ROUND(((1-IntEconomyDiscount-IntEoncomyIncentive)*'Intl Economy Base'!K67)*(1+International_Fuel_Surcharge),2)))*(1+FedEx_Markup),2)</f>
        <v>304.74</v>
      </c>
      <c r="L70" s="295">
        <f>ROUND((IF('Intl Economy Base'!$L$105&gt;ROUND(((1-IntEconomyDiscount-IntEoncomyIncentive)*'Intl Economy Base'!L67),2),ROUND('Intl Economy Base'!$L$105*(1+International_Fuel_Surcharge),2),ROUND(((1-IntEconomyDiscount-IntEoncomyIncentive)*'Intl Economy Base'!L67)*(1+International_Fuel_Surcharge),2)))*(1+FedEx_Markup),2)</f>
        <v>244.4</v>
      </c>
      <c r="M70" s="295">
        <f>ROUND((IF('Intl Economy Base'!$M$105&gt;ROUND(((1-IntEconomyDiscount-IntEoncomyIncentive)*'Intl Economy Base'!M67),2),ROUND('Intl Economy Base'!$M$105*(1+International_Fuel_Surcharge),2),ROUND(((1-IntEconomyDiscount-IntEoncomyIncentive)*'Intl Economy Base'!M67)*(1+International_Fuel_Surcharge),2)))*(1+FedEx_Markup),2)</f>
        <v>308.1</v>
      </c>
      <c r="N70" s="295">
        <f>ROUND((IF('Intl Economy Base'!$N$105&gt;ROUND(((1-IntEconomyDiscount-IntEoncomyIncentive)*'Intl Economy Base'!N67),2),ROUND('Intl Economy Base'!$N$105*(1+International_Fuel_Surcharge),2),ROUND(((1-IntEconomyDiscount-IntEoncomyIncentive)*'Intl Economy Base'!N67)*(1+International_Fuel_Surcharge),2)))*(1+FedEx_Markup),2)</f>
        <v>313.84</v>
      </c>
      <c r="O70" s="295">
        <f>ROUND((IF('Intl Economy Base'!$O$105&gt;ROUND(((1-IntEconomyDiscount-IntEoncomyIncentive)*'Intl Economy Base'!O67),2),ROUND('Intl Economy Base'!$O$105*(1+International_Fuel_Surcharge),2),ROUND(((1-IntEconomyDiscount-IntEoncomyIncentive)*'Intl Economy Base'!O67)*(1+International_Fuel_Surcharge),2)))*(1+FedEx_Markup),2)</f>
        <v>234.61</v>
      </c>
      <c r="P70" s="295">
        <f>ROUND((IF('Intl Economy Base'!$P$105&gt;ROUND(((1-IntEconomyDiscount-IntEoncomyIncentive)*'Intl Economy Base'!P67),2),ROUND('Intl Economy Base'!$P$105*(1+International_Fuel_Surcharge),2),ROUND(((1-IntEconomyDiscount-IntEoncomyIncentive)*'Intl Economy Base'!P67)*(1+International_Fuel_Surcharge),2)))*(1+FedEx_Markup),2)</f>
        <v>249.18</v>
      </c>
      <c r="Q70" s="295">
        <f>ROUND((IF('Intl Economy Base'!$Q$105&gt;ROUND(((1-PuertoRicoDiscount)*'Intl Economy Base'!Q67),2),ROUND('Intl Economy Base'!$Q$105*(1+International_Fuel_Surcharge),2),ROUND(((1-PuertoRicoDiscount)*'Intl Economy Base'!Q67)*(1+International_Fuel_Surcharge),2)))*(1+FedEx_Markup),2)</f>
        <v>348.6</v>
      </c>
      <c r="R70" s="138"/>
      <c r="S70" s="138"/>
      <c r="T70" s="138"/>
      <c r="U70" s="138"/>
      <c r="V70" s="138"/>
      <c r="W70" s="138"/>
      <c r="X70" s="138"/>
      <c r="Y70" s="138"/>
      <c r="Z70" s="138"/>
    </row>
    <row r="71" ht="12.75" customHeight="1">
      <c r="A71" s="294">
        <v>82.0</v>
      </c>
      <c r="B71" s="295">
        <f>ROUND((IF('Intl Economy Base'!$B$105&gt;ROUND(((1-IntEconomyDiscount-IntEoncomyIncentive)*'Intl Economy Base'!B68),2),ROUND('Intl Economy Base'!$B$105*(1+International_Fuel_Surcharge),2),ROUND(((1-IntEconomyDiscount-IntEoncomyIncentive)*'Intl Economy Base'!B68)*(1+International_Fuel_Surcharge),2)))*(1+FedEx_Markup),2)</f>
        <v>130.79</v>
      </c>
      <c r="C71" s="295">
        <f>ROUND((IF('Intl Economy Base'!$C$105&gt;ROUND(((1-IntEconomyDiscount-IntEoncomyIncentive)*'Intl Economy Base'!C68),2),ROUND('Intl Economy Base'!$C$105*(1+International_Fuel_Surcharge),2),ROUND(((1-IntEconomyDiscount-IntEoncomyIncentive)*'Intl Economy Base'!C68)*(1+International_Fuel_Surcharge),2)))*(1+FedEx_Markup),2)</f>
        <v>144.1</v>
      </c>
      <c r="D71" s="295">
        <f>ROUND((IF('Intl Economy Base'!$D$105&gt;ROUND(((1-IntEconomyDiscount-IntEoncomyIncentive)*'Intl Economy Base'!D68),2),ROUND('Intl Economy Base'!$D$105*(1+International_Fuel_Surcharge),2),ROUND(((1-IntEconomyDiscount-IntEoncomyIncentive)*'Intl Economy Base'!D68)*(1+International_Fuel_Surcharge),2)))*(1+FedEx_Markup),2)</f>
        <v>96.6</v>
      </c>
      <c r="E71" s="295">
        <f>ROUND((IF('Intl Economy Base'!$E$105&gt;ROUND(((1-IntEconomyDiscount-IntEoncomyIncentive)*'Intl Economy Base'!E68),2),ROUND('Intl Economy Base'!$E$105*(1+International_Fuel_Surcharge),2),ROUND(((1-IntEconomyDiscount-IntEoncomyIncentive)*'Intl Economy Base'!E68)*(1+International_Fuel_Surcharge),2)))*(1+FedEx_Markup),2)</f>
        <v>177.11</v>
      </c>
      <c r="F71" s="295">
        <f>ROUND((IF('Intl Economy Base'!$F$105&gt;ROUND(((1-IntEconomyDiscount-IntEoncomyIncentive)*'Intl Economy Base'!F68),2),ROUND('Intl Economy Base'!$F$105*(1+International_Fuel_Surcharge),2),ROUND(((1-IntEconomyDiscount-IntEoncomyIncentive)*'Intl Economy Base'!F68)*(1+International_Fuel_Surcharge),2)))*(1+FedEx_Markup),2)</f>
        <v>360.46</v>
      </c>
      <c r="G71" s="295">
        <f>ROUND((IF('Intl Economy Base'!$G$105&gt;ROUND(((1-IntEconomyDiscount-IntEoncomyIncentive)*'Intl Economy Base'!G68),2),ROUND('Intl Economy Base'!$G$105*(1+International_Fuel_Surcharge),2),ROUND(((1-IntEconomyDiscount-IntEoncomyIncentive)*'Intl Economy Base'!G68)*(1+International_Fuel_Surcharge),2)))*(1+FedEx_Markup),2)</f>
        <v>196.11</v>
      </c>
      <c r="H71" s="295">
        <f>ROUND((IF('Intl Economy Base'!$H$105&gt;ROUND(((1-IntEconomyDiscount-IntEoncomyIncentive)*'Intl Economy Base'!H68),2),ROUND('Intl Economy Base'!$H$105*(1+International_Fuel_Surcharge),2),ROUND(((1-IntEconomyDiscount-IntEoncomyIncentive)*'Intl Economy Base'!H68)*(1+International_Fuel_Surcharge),2)))*(1+FedEx_Markup),2)</f>
        <v>199.38</v>
      </c>
      <c r="I71" s="295">
        <f>ROUND((IF('Intl Economy Base'!$I$105&gt;ROUND(((1-IntEconomyDiscount-IntEoncomyIncentive)*'Intl Economy Base'!I68),2),ROUND('Intl Economy Base'!$I$105*(1+International_Fuel_Surcharge),2),ROUND(((1-IntEconomyDiscount-IntEoncomyIncentive)*'Intl Economy Base'!I68)*(1+International_Fuel_Surcharge),2)))*(1+FedEx_Markup),2)</f>
        <v>237.11</v>
      </c>
      <c r="J71" s="295">
        <f>ROUND((IF('Intl Economy Base'!$J$105&gt;ROUND(((1-IntEconomyDiscount-IntEoncomyIncentive)*'Intl Economy Base'!J68),2),ROUND('Intl Economy Base'!$J$105*(1+International_Fuel_Surcharge),2),ROUND(((1-IntEconomyDiscount-IntEoncomyIncentive)*'Intl Economy Base'!J68)*(1+International_Fuel_Surcharge),2)))*(1+FedEx_Markup),2)</f>
        <v>139.22</v>
      </c>
      <c r="K71" s="295">
        <f>ROUND((IF('Intl Economy Base'!$K$105&gt;ROUND(((1-IntEconomyDiscount-IntEoncomyIncentive)*'Intl Economy Base'!K68),2),ROUND('Intl Economy Base'!$K$105*(1+International_Fuel_Surcharge),2),ROUND(((1-IntEconomyDiscount-IntEoncomyIncentive)*'Intl Economy Base'!K68)*(1+International_Fuel_Surcharge),2)))*(1+FedEx_Markup),2)</f>
        <v>305.79</v>
      </c>
      <c r="L71" s="295">
        <f>ROUND((IF('Intl Economy Base'!$L$105&gt;ROUND(((1-IntEconomyDiscount-IntEoncomyIncentive)*'Intl Economy Base'!L68),2),ROUND('Intl Economy Base'!$L$105*(1+International_Fuel_Surcharge),2),ROUND(((1-IntEconomyDiscount-IntEoncomyIncentive)*'Intl Economy Base'!L68)*(1+International_Fuel_Surcharge),2)))*(1+FedEx_Markup),2)</f>
        <v>244.79</v>
      </c>
      <c r="M71" s="295">
        <f>ROUND((IF('Intl Economy Base'!$M$105&gt;ROUND(((1-IntEconomyDiscount-IntEoncomyIncentive)*'Intl Economy Base'!M68),2),ROUND('Intl Economy Base'!$M$105*(1+International_Fuel_Surcharge),2),ROUND(((1-IntEconomyDiscount-IntEoncomyIncentive)*'Intl Economy Base'!M68)*(1+International_Fuel_Surcharge),2)))*(1+FedEx_Markup),2)</f>
        <v>309.64</v>
      </c>
      <c r="N71" s="295">
        <f>ROUND((IF('Intl Economy Base'!$N$105&gt;ROUND(((1-IntEconomyDiscount-IntEoncomyIncentive)*'Intl Economy Base'!N68),2),ROUND('Intl Economy Base'!$N$105*(1+International_Fuel_Surcharge),2),ROUND(((1-IntEconomyDiscount-IntEoncomyIncentive)*'Intl Economy Base'!N68)*(1+International_Fuel_Surcharge),2)))*(1+FedEx_Markup),2)</f>
        <v>328.29</v>
      </c>
      <c r="O71" s="295">
        <f>ROUND((IF('Intl Economy Base'!$O$105&gt;ROUND(((1-IntEconomyDiscount-IntEoncomyIncentive)*'Intl Economy Base'!O68),2),ROUND('Intl Economy Base'!$O$105*(1+International_Fuel_Surcharge),2),ROUND(((1-IntEconomyDiscount-IntEoncomyIncentive)*'Intl Economy Base'!O68)*(1+International_Fuel_Surcharge),2)))*(1+FedEx_Markup),2)</f>
        <v>234.66</v>
      </c>
      <c r="P71" s="295">
        <f>ROUND((IF('Intl Economy Base'!$P$105&gt;ROUND(((1-IntEconomyDiscount-IntEoncomyIncentive)*'Intl Economy Base'!P68),2),ROUND('Intl Economy Base'!$P$105*(1+International_Fuel_Surcharge),2),ROUND(((1-IntEconomyDiscount-IntEoncomyIncentive)*'Intl Economy Base'!P68)*(1+International_Fuel_Surcharge),2)))*(1+FedEx_Markup),2)</f>
        <v>249.48</v>
      </c>
      <c r="Q71" s="295">
        <f>ROUND((IF('Intl Economy Base'!$Q$105&gt;ROUND(((1-PuertoRicoDiscount)*'Intl Economy Base'!Q68),2),ROUND('Intl Economy Base'!$Q$105*(1+International_Fuel_Surcharge),2),ROUND(((1-PuertoRicoDiscount)*'Intl Economy Base'!Q68)*(1+International_Fuel_Surcharge),2)))*(1+FedEx_Markup),2)</f>
        <v>354.44</v>
      </c>
      <c r="R71" s="138"/>
      <c r="S71" s="138"/>
      <c r="T71" s="138"/>
      <c r="U71" s="138"/>
      <c r="V71" s="138"/>
      <c r="W71" s="138"/>
      <c r="X71" s="138"/>
      <c r="Y71" s="138"/>
      <c r="Z71" s="138"/>
    </row>
    <row r="72" ht="12.75" customHeight="1">
      <c r="A72" s="294">
        <v>84.0</v>
      </c>
      <c r="B72" s="295">
        <f>ROUND((IF('Intl Economy Base'!$B$105&gt;ROUND(((1-IntEconomyDiscount-IntEoncomyIncentive)*'Intl Economy Base'!B69),2),ROUND('Intl Economy Base'!$B$105*(1+International_Fuel_Surcharge),2),ROUND(((1-IntEconomyDiscount-IntEoncomyIncentive)*'Intl Economy Base'!B69)*(1+International_Fuel_Surcharge),2)))*(1+FedEx_Markup),2)</f>
        <v>130.86</v>
      </c>
      <c r="C72" s="295">
        <f>ROUND((IF('Intl Economy Base'!$C$105&gt;ROUND(((1-IntEconomyDiscount-IntEoncomyIncentive)*'Intl Economy Base'!C69),2),ROUND('Intl Economy Base'!$C$105*(1+International_Fuel_Surcharge),2),ROUND(((1-IntEconomyDiscount-IntEoncomyIncentive)*'Intl Economy Base'!C69)*(1+International_Fuel_Surcharge),2)))*(1+FedEx_Markup),2)</f>
        <v>146.48</v>
      </c>
      <c r="D72" s="295">
        <f>ROUND((IF('Intl Economy Base'!$D$105&gt;ROUND(((1-IntEconomyDiscount-IntEoncomyIncentive)*'Intl Economy Base'!D69),2),ROUND('Intl Economy Base'!$D$105*(1+International_Fuel_Surcharge),2),ROUND(((1-IntEconomyDiscount-IntEoncomyIncentive)*'Intl Economy Base'!D69)*(1+International_Fuel_Surcharge),2)))*(1+FedEx_Markup),2)</f>
        <v>97.05</v>
      </c>
      <c r="E72" s="295">
        <f>ROUND((IF('Intl Economy Base'!$E$105&gt;ROUND(((1-IntEconomyDiscount-IntEoncomyIncentive)*'Intl Economy Base'!E69),2),ROUND('Intl Economy Base'!$E$105*(1+International_Fuel_Surcharge),2),ROUND(((1-IntEconomyDiscount-IntEoncomyIncentive)*'Intl Economy Base'!E69)*(1+International_Fuel_Surcharge),2)))*(1+FedEx_Markup),2)</f>
        <v>177.48</v>
      </c>
      <c r="F72" s="295">
        <f>ROUND((IF('Intl Economy Base'!$F$105&gt;ROUND(((1-IntEconomyDiscount-IntEoncomyIncentive)*'Intl Economy Base'!F69),2),ROUND('Intl Economy Base'!$F$105*(1+International_Fuel_Surcharge),2),ROUND(((1-IntEconomyDiscount-IntEoncomyIncentive)*'Intl Economy Base'!F69)*(1+International_Fuel_Surcharge),2)))*(1+FedEx_Markup),2)</f>
        <v>360.51</v>
      </c>
      <c r="G72" s="295">
        <f>ROUND((IF('Intl Economy Base'!$G$105&gt;ROUND(((1-IntEconomyDiscount-IntEoncomyIncentive)*'Intl Economy Base'!G69),2),ROUND('Intl Economy Base'!$G$105*(1+International_Fuel_Surcharge),2),ROUND(((1-IntEconomyDiscount-IntEoncomyIncentive)*'Intl Economy Base'!G69)*(1+International_Fuel_Surcharge),2)))*(1+FedEx_Markup),2)</f>
        <v>196.25</v>
      </c>
      <c r="H72" s="295">
        <f>ROUND((IF('Intl Economy Base'!$H$105&gt;ROUND(((1-IntEconomyDiscount-IntEoncomyIncentive)*'Intl Economy Base'!H69),2),ROUND('Intl Economy Base'!$H$105*(1+International_Fuel_Surcharge),2),ROUND(((1-IntEconomyDiscount-IntEoncomyIncentive)*'Intl Economy Base'!H69)*(1+International_Fuel_Surcharge),2)))*(1+FedEx_Markup),2)</f>
        <v>200.82</v>
      </c>
      <c r="I72" s="295">
        <f>ROUND((IF('Intl Economy Base'!$I$105&gt;ROUND(((1-IntEconomyDiscount-IntEoncomyIncentive)*'Intl Economy Base'!I69),2),ROUND('Intl Economy Base'!$I$105*(1+International_Fuel_Surcharge),2),ROUND(((1-IntEconomyDiscount-IntEoncomyIncentive)*'Intl Economy Base'!I69)*(1+International_Fuel_Surcharge),2)))*(1+FedEx_Markup),2)</f>
        <v>237.72</v>
      </c>
      <c r="J72" s="295">
        <f>ROUND((IF('Intl Economy Base'!$J$105&gt;ROUND(((1-IntEconomyDiscount-IntEoncomyIncentive)*'Intl Economy Base'!J69),2),ROUND('Intl Economy Base'!$J$105*(1+International_Fuel_Surcharge),2),ROUND(((1-IntEconomyDiscount-IntEoncomyIncentive)*'Intl Economy Base'!J69)*(1+International_Fuel_Surcharge),2)))*(1+FedEx_Markup),2)</f>
        <v>139.47</v>
      </c>
      <c r="K72" s="295">
        <f>ROUND((IF('Intl Economy Base'!$K$105&gt;ROUND(((1-IntEconomyDiscount-IntEoncomyIncentive)*'Intl Economy Base'!K69),2),ROUND('Intl Economy Base'!$K$105*(1+International_Fuel_Surcharge),2),ROUND(((1-IntEconomyDiscount-IntEoncomyIncentive)*'Intl Economy Base'!K69)*(1+International_Fuel_Surcharge),2)))*(1+FedEx_Markup),2)</f>
        <v>306.84</v>
      </c>
      <c r="L72" s="295">
        <f>ROUND((IF('Intl Economy Base'!$L$105&gt;ROUND(((1-IntEconomyDiscount-IntEoncomyIncentive)*'Intl Economy Base'!L69),2),ROUND('Intl Economy Base'!$L$105*(1+International_Fuel_Surcharge),2),ROUND(((1-IntEconomyDiscount-IntEoncomyIncentive)*'Intl Economy Base'!L69)*(1+International_Fuel_Surcharge),2)))*(1+FedEx_Markup),2)</f>
        <v>252.53</v>
      </c>
      <c r="M72" s="295">
        <f>ROUND((IF('Intl Economy Base'!$M$105&gt;ROUND(((1-IntEconomyDiscount-IntEoncomyIncentive)*'Intl Economy Base'!M69),2),ROUND('Intl Economy Base'!$M$105*(1+International_Fuel_Surcharge),2),ROUND(((1-IntEconomyDiscount-IntEoncomyIncentive)*'Intl Economy Base'!M69)*(1+International_Fuel_Surcharge),2)))*(1+FedEx_Markup),2)</f>
        <v>310.44</v>
      </c>
      <c r="N72" s="295">
        <f>ROUND((IF('Intl Economy Base'!$N$105&gt;ROUND(((1-IntEconomyDiscount-IntEoncomyIncentive)*'Intl Economy Base'!N69),2),ROUND('Intl Economy Base'!$N$105*(1+International_Fuel_Surcharge),2),ROUND(((1-IntEconomyDiscount-IntEoncomyIncentive)*'Intl Economy Base'!N69)*(1+International_Fuel_Surcharge),2)))*(1+FedEx_Markup),2)</f>
        <v>329.74</v>
      </c>
      <c r="O72" s="295">
        <f>ROUND((IF('Intl Economy Base'!$O$105&gt;ROUND(((1-IntEconomyDiscount-IntEoncomyIncentive)*'Intl Economy Base'!O69),2),ROUND('Intl Economy Base'!$O$105*(1+International_Fuel_Surcharge),2),ROUND(((1-IntEconomyDiscount-IntEoncomyIncentive)*'Intl Economy Base'!O69)*(1+International_Fuel_Surcharge),2)))*(1+FedEx_Markup),2)</f>
        <v>234.7</v>
      </c>
      <c r="P72" s="295">
        <f>ROUND((IF('Intl Economy Base'!$P$105&gt;ROUND(((1-IntEconomyDiscount-IntEoncomyIncentive)*'Intl Economy Base'!P69),2),ROUND('Intl Economy Base'!$P$105*(1+International_Fuel_Surcharge),2),ROUND(((1-IntEconomyDiscount-IntEoncomyIncentive)*'Intl Economy Base'!P69)*(1+International_Fuel_Surcharge),2)))*(1+FedEx_Markup),2)</f>
        <v>249.56</v>
      </c>
      <c r="Q72" s="295">
        <f>ROUND((IF('Intl Economy Base'!$Q$105&gt;ROUND(((1-PuertoRicoDiscount)*'Intl Economy Base'!Q69),2),ROUND('Intl Economy Base'!$Q$105*(1+International_Fuel_Surcharge),2),ROUND(((1-PuertoRicoDiscount)*'Intl Economy Base'!Q69)*(1+International_Fuel_Surcharge),2)))*(1+FedEx_Markup),2)</f>
        <v>355.8</v>
      </c>
      <c r="R72" s="138"/>
      <c r="S72" s="138"/>
      <c r="T72" s="138"/>
      <c r="U72" s="138"/>
      <c r="V72" s="138"/>
      <c r="W72" s="138"/>
      <c r="X72" s="138"/>
      <c r="Y72" s="138"/>
      <c r="Z72" s="138"/>
    </row>
    <row r="73" ht="12.75" customHeight="1">
      <c r="A73" s="294">
        <v>86.0</v>
      </c>
      <c r="B73" s="295">
        <f>ROUND((IF('Intl Economy Base'!$B$105&gt;ROUND(((1-IntEconomyDiscount-IntEoncomyIncentive)*'Intl Economy Base'!B70),2),ROUND('Intl Economy Base'!$B$105*(1+International_Fuel_Surcharge),2),ROUND(((1-IntEconomyDiscount-IntEoncomyIncentive)*'Intl Economy Base'!B70)*(1+International_Fuel_Surcharge),2)))*(1+FedEx_Markup),2)</f>
        <v>132.26</v>
      </c>
      <c r="C73" s="295">
        <f>ROUND((IF('Intl Economy Base'!$C$105&gt;ROUND(((1-IntEconomyDiscount-IntEoncomyIncentive)*'Intl Economy Base'!C70),2),ROUND('Intl Economy Base'!$C$105*(1+International_Fuel_Surcharge),2),ROUND(((1-IntEconomyDiscount-IntEoncomyIncentive)*'Intl Economy Base'!C70)*(1+International_Fuel_Surcharge),2)))*(1+FedEx_Markup),2)</f>
        <v>146.72</v>
      </c>
      <c r="D73" s="295">
        <f>ROUND((IF('Intl Economy Base'!$D$105&gt;ROUND(((1-IntEconomyDiscount-IntEoncomyIncentive)*'Intl Economy Base'!D70),2),ROUND('Intl Economy Base'!$D$105*(1+International_Fuel_Surcharge),2),ROUND(((1-IntEconomyDiscount-IntEoncomyIncentive)*'Intl Economy Base'!D70)*(1+International_Fuel_Surcharge),2)))*(1+FedEx_Markup),2)</f>
        <v>97.31</v>
      </c>
      <c r="E73" s="295">
        <f>ROUND((IF('Intl Economy Base'!$E$105&gt;ROUND(((1-IntEconomyDiscount-IntEoncomyIncentive)*'Intl Economy Base'!E70),2),ROUND('Intl Economy Base'!$E$105*(1+International_Fuel_Surcharge),2),ROUND(((1-IntEconomyDiscount-IntEoncomyIncentive)*'Intl Economy Base'!E70)*(1+International_Fuel_Surcharge),2)))*(1+FedEx_Markup),2)</f>
        <v>184.6</v>
      </c>
      <c r="F73" s="295">
        <f>ROUND((IF('Intl Economy Base'!$F$105&gt;ROUND(((1-IntEconomyDiscount-IntEoncomyIncentive)*'Intl Economy Base'!F70),2),ROUND('Intl Economy Base'!$F$105*(1+International_Fuel_Surcharge),2),ROUND(((1-IntEconomyDiscount-IntEoncomyIncentive)*'Intl Economy Base'!F70)*(1+International_Fuel_Surcharge),2)))*(1+FedEx_Markup),2)</f>
        <v>360.56</v>
      </c>
      <c r="G73" s="295">
        <f>ROUND((IF('Intl Economy Base'!$G$105&gt;ROUND(((1-IntEconomyDiscount-IntEoncomyIncentive)*'Intl Economy Base'!G70),2),ROUND('Intl Economy Base'!$G$105*(1+International_Fuel_Surcharge),2),ROUND(((1-IntEconomyDiscount-IntEoncomyIncentive)*'Intl Economy Base'!G70)*(1+International_Fuel_Surcharge),2)))*(1+FedEx_Markup),2)</f>
        <v>197.94</v>
      </c>
      <c r="H73" s="295">
        <f>ROUND((IF('Intl Economy Base'!$H$105&gt;ROUND(((1-IntEconomyDiscount-IntEoncomyIncentive)*'Intl Economy Base'!H70),2),ROUND('Intl Economy Base'!$H$105*(1+International_Fuel_Surcharge),2),ROUND(((1-IntEconomyDiscount-IntEoncomyIncentive)*'Intl Economy Base'!H70)*(1+International_Fuel_Surcharge),2)))*(1+FedEx_Markup),2)</f>
        <v>202.29</v>
      </c>
      <c r="I73" s="295">
        <f>ROUND((IF('Intl Economy Base'!$I$105&gt;ROUND(((1-IntEconomyDiscount-IntEoncomyIncentive)*'Intl Economy Base'!I70),2),ROUND('Intl Economy Base'!$I$105*(1+International_Fuel_Surcharge),2),ROUND(((1-IntEconomyDiscount-IntEoncomyIncentive)*'Intl Economy Base'!I70)*(1+International_Fuel_Surcharge),2)))*(1+FedEx_Markup),2)</f>
        <v>237.77</v>
      </c>
      <c r="J73" s="295">
        <f>ROUND((IF('Intl Economy Base'!$J$105&gt;ROUND(((1-IntEconomyDiscount-IntEoncomyIncentive)*'Intl Economy Base'!J70),2),ROUND('Intl Economy Base'!$J$105*(1+International_Fuel_Surcharge),2),ROUND(((1-IntEconomyDiscount-IntEoncomyIncentive)*'Intl Economy Base'!J70)*(1+International_Fuel_Surcharge),2)))*(1+FedEx_Markup),2)</f>
        <v>142.03</v>
      </c>
      <c r="K73" s="295">
        <f>ROUND((IF('Intl Economy Base'!$K$105&gt;ROUND(((1-IntEconomyDiscount-IntEoncomyIncentive)*'Intl Economy Base'!K70),2),ROUND('Intl Economy Base'!$K$105*(1+International_Fuel_Surcharge),2),ROUND(((1-IntEconomyDiscount-IntEoncomyIncentive)*'Intl Economy Base'!K70)*(1+International_Fuel_Surcharge),2)))*(1+FedEx_Markup),2)</f>
        <v>307.9</v>
      </c>
      <c r="L73" s="295">
        <f>ROUND((IF('Intl Economy Base'!$L$105&gt;ROUND(((1-IntEconomyDiscount-IntEoncomyIncentive)*'Intl Economy Base'!L70),2),ROUND('Intl Economy Base'!$L$105*(1+International_Fuel_Surcharge),2),ROUND(((1-IntEconomyDiscount-IntEoncomyIncentive)*'Intl Economy Base'!L70)*(1+International_Fuel_Surcharge),2)))*(1+FedEx_Markup),2)</f>
        <v>253.3</v>
      </c>
      <c r="M73" s="295">
        <f>ROUND((IF('Intl Economy Base'!$M$105&gt;ROUND(((1-IntEconomyDiscount-IntEoncomyIncentive)*'Intl Economy Base'!M70),2),ROUND('Intl Economy Base'!$M$105*(1+International_Fuel_Surcharge),2),ROUND(((1-IntEconomyDiscount-IntEoncomyIncentive)*'Intl Economy Base'!M70)*(1+International_Fuel_Surcharge),2)))*(1+FedEx_Markup),2)</f>
        <v>324.02</v>
      </c>
      <c r="N73" s="295">
        <f>ROUND((IF('Intl Economy Base'!$N$105&gt;ROUND(((1-IntEconomyDiscount-IntEoncomyIncentive)*'Intl Economy Base'!N70),2),ROUND('Intl Economy Base'!$N$105*(1+International_Fuel_Surcharge),2),ROUND(((1-IntEconomyDiscount-IntEoncomyIncentive)*'Intl Economy Base'!N70)*(1+International_Fuel_Surcharge),2)))*(1+FedEx_Markup),2)</f>
        <v>329.89</v>
      </c>
      <c r="O73" s="295">
        <f>ROUND((IF('Intl Economy Base'!$O$105&gt;ROUND(((1-IntEconomyDiscount-IntEoncomyIncentive)*'Intl Economy Base'!O70),2),ROUND('Intl Economy Base'!$O$105*(1+International_Fuel_Surcharge),2),ROUND(((1-IntEconomyDiscount-IntEoncomyIncentive)*'Intl Economy Base'!O70)*(1+International_Fuel_Surcharge),2)))*(1+FedEx_Markup),2)</f>
        <v>234.75</v>
      </c>
      <c r="P73" s="295">
        <f>ROUND((IF('Intl Economy Base'!$P$105&gt;ROUND(((1-IntEconomyDiscount-IntEoncomyIncentive)*'Intl Economy Base'!P70),2),ROUND('Intl Economy Base'!$P$105*(1+International_Fuel_Surcharge),2),ROUND(((1-IntEconomyDiscount-IntEoncomyIncentive)*'Intl Economy Base'!P70)*(1+International_Fuel_Surcharge),2)))*(1+FedEx_Markup),2)</f>
        <v>249.95</v>
      </c>
      <c r="Q73" s="295">
        <f>ROUND((IF('Intl Economy Base'!$Q$105&gt;ROUND(((1-PuertoRicoDiscount)*'Intl Economy Base'!Q70),2),ROUND('Intl Economy Base'!$Q$105*(1+International_Fuel_Surcharge),2),ROUND(((1-PuertoRicoDiscount)*'Intl Economy Base'!Q70)*(1+International_Fuel_Surcharge),2)))*(1+FedEx_Markup),2)</f>
        <v>365.07</v>
      </c>
      <c r="R73" s="138"/>
      <c r="S73" s="138"/>
      <c r="T73" s="138"/>
      <c r="U73" s="138"/>
      <c r="V73" s="138"/>
      <c r="W73" s="138"/>
      <c r="X73" s="138"/>
      <c r="Y73" s="138"/>
      <c r="Z73" s="138"/>
    </row>
    <row r="74" ht="12.75" customHeight="1">
      <c r="A74" s="294">
        <v>88.0</v>
      </c>
      <c r="B74" s="295">
        <f>ROUND((IF('Intl Economy Base'!$B$105&gt;ROUND(((1-IntEconomyDiscount-IntEoncomyIncentive)*'Intl Economy Base'!B71),2),ROUND('Intl Economy Base'!$B$105*(1+International_Fuel_Surcharge),2),ROUND(((1-IntEconomyDiscount-IntEoncomyIncentive)*'Intl Economy Base'!B71)*(1+International_Fuel_Surcharge),2)))*(1+FedEx_Markup),2)</f>
        <v>132.4</v>
      </c>
      <c r="C74" s="295">
        <f>ROUND((IF('Intl Economy Base'!$C$105&gt;ROUND(((1-IntEconomyDiscount-IntEoncomyIncentive)*'Intl Economy Base'!C71),2),ROUND('Intl Economy Base'!$C$105*(1+International_Fuel_Surcharge),2),ROUND(((1-IntEconomyDiscount-IntEoncomyIncentive)*'Intl Economy Base'!C71)*(1+International_Fuel_Surcharge),2)))*(1+FedEx_Markup),2)</f>
        <v>148.65</v>
      </c>
      <c r="D74" s="295">
        <f>ROUND((IF('Intl Economy Base'!$D$105&gt;ROUND(((1-IntEconomyDiscount-IntEoncomyIncentive)*'Intl Economy Base'!D71),2),ROUND('Intl Economy Base'!$D$105*(1+International_Fuel_Surcharge),2),ROUND(((1-IntEconomyDiscount-IntEoncomyIncentive)*'Intl Economy Base'!D71)*(1+International_Fuel_Surcharge),2)))*(1+FedEx_Markup),2)</f>
        <v>97.37</v>
      </c>
      <c r="E74" s="295">
        <f>ROUND((IF('Intl Economy Base'!$E$105&gt;ROUND(((1-IntEconomyDiscount-IntEoncomyIncentive)*'Intl Economy Base'!E71),2),ROUND('Intl Economy Base'!$E$105*(1+International_Fuel_Surcharge),2),ROUND(((1-IntEconomyDiscount-IntEoncomyIncentive)*'Intl Economy Base'!E71)*(1+International_Fuel_Surcharge),2)))*(1+FedEx_Markup),2)</f>
        <v>185.32</v>
      </c>
      <c r="F74" s="295">
        <f>ROUND((IF('Intl Economy Base'!$F$105&gt;ROUND(((1-IntEconomyDiscount-IntEoncomyIncentive)*'Intl Economy Base'!F71),2),ROUND('Intl Economy Base'!$F$105*(1+International_Fuel_Surcharge),2),ROUND(((1-IntEconomyDiscount-IntEoncomyIncentive)*'Intl Economy Base'!F71)*(1+International_Fuel_Surcharge),2)))*(1+FedEx_Markup),2)</f>
        <v>360.61</v>
      </c>
      <c r="G74" s="295">
        <f>ROUND((IF('Intl Economy Base'!$G$105&gt;ROUND(((1-IntEconomyDiscount-IntEoncomyIncentive)*'Intl Economy Base'!G71),2),ROUND('Intl Economy Base'!$G$105*(1+International_Fuel_Surcharge),2),ROUND(((1-IntEconomyDiscount-IntEoncomyIncentive)*'Intl Economy Base'!G71)*(1+International_Fuel_Surcharge),2)))*(1+FedEx_Markup),2)</f>
        <v>198.11</v>
      </c>
      <c r="H74" s="295">
        <f>ROUND((IF('Intl Economy Base'!$H$105&gt;ROUND(((1-IntEconomyDiscount-IntEoncomyIncentive)*'Intl Economy Base'!H71),2),ROUND('Intl Economy Base'!$H$105*(1+International_Fuel_Surcharge),2),ROUND(((1-IntEconomyDiscount-IntEoncomyIncentive)*'Intl Economy Base'!H71)*(1+International_Fuel_Surcharge),2)))*(1+FedEx_Markup),2)</f>
        <v>203.76</v>
      </c>
      <c r="I74" s="295">
        <f>ROUND((IF('Intl Economy Base'!$I$105&gt;ROUND(((1-IntEconomyDiscount-IntEoncomyIncentive)*'Intl Economy Base'!I71),2),ROUND('Intl Economy Base'!$I$105*(1+International_Fuel_Surcharge),2),ROUND(((1-IntEconomyDiscount-IntEoncomyIncentive)*'Intl Economy Base'!I71)*(1+International_Fuel_Surcharge),2)))*(1+FedEx_Markup),2)</f>
        <v>237.82</v>
      </c>
      <c r="J74" s="295">
        <f>ROUND((IF('Intl Economy Base'!$J$105&gt;ROUND(((1-IntEconomyDiscount-IntEoncomyIncentive)*'Intl Economy Base'!J71),2),ROUND('Intl Economy Base'!$J$105*(1+International_Fuel_Surcharge),2),ROUND(((1-IntEconomyDiscount-IntEoncomyIncentive)*'Intl Economy Base'!J71)*(1+International_Fuel_Surcharge),2)))*(1+FedEx_Markup),2)</f>
        <v>142.29</v>
      </c>
      <c r="K74" s="295">
        <f>ROUND((IF('Intl Economy Base'!$K$105&gt;ROUND(((1-IntEconomyDiscount-IntEoncomyIncentive)*'Intl Economy Base'!K71),2),ROUND('Intl Economy Base'!$K$105*(1+International_Fuel_Surcharge),2),ROUND(((1-IntEconomyDiscount-IntEoncomyIncentive)*'Intl Economy Base'!K71)*(1+International_Fuel_Surcharge),2)))*(1+FedEx_Markup),2)</f>
        <v>308.95</v>
      </c>
      <c r="L74" s="295">
        <f>ROUND((IF('Intl Economy Base'!$L$105&gt;ROUND(((1-IntEconomyDiscount-IntEoncomyIncentive)*'Intl Economy Base'!L71),2),ROUND('Intl Economy Base'!$L$105*(1+International_Fuel_Surcharge),2),ROUND(((1-IntEconomyDiscount-IntEoncomyIncentive)*'Intl Economy Base'!L71)*(1+International_Fuel_Surcharge),2)))*(1+FedEx_Markup),2)</f>
        <v>255.19</v>
      </c>
      <c r="M74" s="295">
        <f>ROUND((IF('Intl Economy Base'!$M$105&gt;ROUND(((1-IntEconomyDiscount-IntEoncomyIncentive)*'Intl Economy Base'!M71),2),ROUND('Intl Economy Base'!$M$105*(1+International_Fuel_Surcharge),2),ROUND(((1-IntEconomyDiscount-IntEoncomyIncentive)*'Intl Economy Base'!M71)*(1+International_Fuel_Surcharge),2)))*(1+FedEx_Markup),2)</f>
        <v>325.38</v>
      </c>
      <c r="N74" s="295">
        <f>ROUND((IF('Intl Economy Base'!$N$105&gt;ROUND(((1-IntEconomyDiscount-IntEoncomyIncentive)*'Intl Economy Base'!N71),2),ROUND('Intl Economy Base'!$N$105*(1+International_Fuel_Surcharge),2),ROUND(((1-IntEconomyDiscount-IntEoncomyIncentive)*'Intl Economy Base'!N71)*(1+International_Fuel_Surcharge),2)))*(1+FedEx_Markup),2)</f>
        <v>329.95</v>
      </c>
      <c r="O74" s="295">
        <f>ROUND((IF('Intl Economy Base'!$O$105&gt;ROUND(((1-IntEconomyDiscount-IntEoncomyIncentive)*'Intl Economy Base'!O71),2),ROUND('Intl Economy Base'!$O$105*(1+International_Fuel_Surcharge),2),ROUND(((1-IntEconomyDiscount-IntEoncomyIncentive)*'Intl Economy Base'!O71)*(1+International_Fuel_Surcharge),2)))*(1+FedEx_Markup),2)</f>
        <v>234.81</v>
      </c>
      <c r="P74" s="295">
        <f>ROUND((IF('Intl Economy Base'!$P$105&gt;ROUND(((1-IntEconomyDiscount-IntEoncomyIncentive)*'Intl Economy Base'!P71),2),ROUND('Intl Economy Base'!$P$105*(1+International_Fuel_Surcharge),2),ROUND(((1-IntEconomyDiscount-IntEoncomyIncentive)*'Intl Economy Base'!P71)*(1+International_Fuel_Surcharge),2)))*(1+FedEx_Markup),2)</f>
        <v>257.57</v>
      </c>
      <c r="Q74" s="295">
        <f>ROUND((IF('Intl Economy Base'!$Q$105&gt;ROUND(((1-PuertoRicoDiscount)*'Intl Economy Base'!Q71),2),ROUND('Intl Economy Base'!$Q$105*(1+International_Fuel_Surcharge),2),ROUND(((1-PuertoRicoDiscount)*'Intl Economy Base'!Q71)*(1+International_Fuel_Surcharge),2)))*(1+FedEx_Markup),2)</f>
        <v>370.4</v>
      </c>
      <c r="R74" s="138"/>
      <c r="S74" s="138"/>
      <c r="T74" s="138"/>
      <c r="U74" s="138"/>
      <c r="V74" s="138"/>
      <c r="W74" s="138"/>
      <c r="X74" s="138"/>
      <c r="Y74" s="138"/>
      <c r="Z74" s="138"/>
    </row>
    <row r="75" ht="12.75" customHeight="1">
      <c r="A75" s="294">
        <v>90.0</v>
      </c>
      <c r="B75" s="295">
        <f>ROUND((IF('Intl Economy Base'!$B$105&gt;ROUND(((1-IntEconomyDiscount-IntEoncomyIncentive)*'Intl Economy Base'!B72),2),ROUND('Intl Economy Base'!$B$105*(1+International_Fuel_Surcharge),2),ROUND(((1-IntEconomyDiscount-IntEoncomyIncentive)*'Intl Economy Base'!B72)*(1+International_Fuel_Surcharge),2)))*(1+FedEx_Markup),2)</f>
        <v>132.69</v>
      </c>
      <c r="C75" s="295">
        <f>ROUND((IF('Intl Economy Base'!$C$105&gt;ROUND(((1-IntEconomyDiscount-IntEoncomyIncentive)*'Intl Economy Base'!C72),2),ROUND('Intl Economy Base'!$C$105*(1+International_Fuel_Surcharge),2),ROUND(((1-IntEconomyDiscount-IntEoncomyIncentive)*'Intl Economy Base'!C72)*(1+International_Fuel_Surcharge),2)))*(1+FedEx_Markup),2)</f>
        <v>148.84</v>
      </c>
      <c r="D75" s="295">
        <f>ROUND((IF('Intl Economy Base'!$D$105&gt;ROUND(((1-IntEconomyDiscount-IntEoncomyIncentive)*'Intl Economy Base'!D72),2),ROUND('Intl Economy Base'!$D$105*(1+International_Fuel_Surcharge),2),ROUND(((1-IntEconomyDiscount-IntEoncomyIncentive)*'Intl Economy Base'!D72)*(1+International_Fuel_Surcharge),2)))*(1+FedEx_Markup),2)</f>
        <v>97.51</v>
      </c>
      <c r="E75" s="295">
        <f>ROUND((IF('Intl Economy Base'!$E$105&gt;ROUND(((1-IntEconomyDiscount-IntEoncomyIncentive)*'Intl Economy Base'!E72),2),ROUND('Intl Economy Base'!$E$105*(1+International_Fuel_Surcharge),2),ROUND(((1-IntEconomyDiscount-IntEoncomyIncentive)*'Intl Economy Base'!E72)*(1+International_Fuel_Surcharge),2)))*(1+FedEx_Markup),2)</f>
        <v>189</v>
      </c>
      <c r="F75" s="295">
        <f>ROUND((IF('Intl Economy Base'!$F$105&gt;ROUND(((1-IntEconomyDiscount-IntEoncomyIncentive)*'Intl Economy Base'!F72),2),ROUND('Intl Economy Base'!$F$105*(1+International_Fuel_Surcharge),2),ROUND(((1-IntEconomyDiscount-IntEoncomyIncentive)*'Intl Economy Base'!F72)*(1+International_Fuel_Surcharge),2)))*(1+FedEx_Markup),2)</f>
        <v>360.65</v>
      </c>
      <c r="G75" s="295">
        <f>ROUND((IF('Intl Economy Base'!$G$105&gt;ROUND(((1-IntEconomyDiscount-IntEoncomyIncentive)*'Intl Economy Base'!G72),2),ROUND('Intl Economy Base'!$G$105*(1+International_Fuel_Surcharge),2),ROUND(((1-IntEconomyDiscount-IntEoncomyIncentive)*'Intl Economy Base'!G72)*(1+International_Fuel_Surcharge),2)))*(1+FedEx_Markup),2)</f>
        <v>198.34</v>
      </c>
      <c r="H75" s="295">
        <f>ROUND((IF('Intl Economy Base'!$H$105&gt;ROUND(((1-IntEconomyDiscount-IntEoncomyIncentive)*'Intl Economy Base'!H72),2),ROUND('Intl Economy Base'!$H$105*(1+International_Fuel_Surcharge),2),ROUND(((1-IntEconomyDiscount-IntEoncomyIncentive)*'Intl Economy Base'!H72)*(1+International_Fuel_Surcharge),2)))*(1+FedEx_Markup),2)</f>
        <v>205.22</v>
      </c>
      <c r="I75" s="295">
        <f>ROUND((IF('Intl Economy Base'!$I$105&gt;ROUND(((1-IntEconomyDiscount-IntEoncomyIncentive)*'Intl Economy Base'!I72),2),ROUND('Intl Economy Base'!$I$105*(1+International_Fuel_Surcharge),2),ROUND(((1-IntEconomyDiscount-IntEoncomyIncentive)*'Intl Economy Base'!I72)*(1+International_Fuel_Surcharge),2)))*(1+FedEx_Markup),2)</f>
        <v>237.88</v>
      </c>
      <c r="J75" s="295">
        <f>ROUND((IF('Intl Economy Base'!$J$105&gt;ROUND(((1-IntEconomyDiscount-IntEoncomyIncentive)*'Intl Economy Base'!J72),2),ROUND('Intl Economy Base'!$J$105*(1+International_Fuel_Surcharge),2),ROUND(((1-IntEconomyDiscount-IntEoncomyIncentive)*'Intl Economy Base'!J72)*(1+International_Fuel_Surcharge),2)))*(1+FedEx_Markup),2)</f>
        <v>143.68</v>
      </c>
      <c r="K75" s="295">
        <f>ROUND((IF('Intl Economy Base'!$K$105&gt;ROUND(((1-IntEconomyDiscount-IntEoncomyIncentive)*'Intl Economy Base'!K72),2),ROUND('Intl Economy Base'!$K$105*(1+International_Fuel_Surcharge),2),ROUND(((1-IntEconomyDiscount-IntEoncomyIncentive)*'Intl Economy Base'!K72)*(1+International_Fuel_Surcharge),2)))*(1+FedEx_Markup),2)</f>
        <v>309.33</v>
      </c>
      <c r="L75" s="295">
        <f>ROUND((IF('Intl Economy Base'!$L$105&gt;ROUND(((1-IntEconomyDiscount-IntEoncomyIncentive)*'Intl Economy Base'!L72),2),ROUND('Intl Economy Base'!$L$105*(1+International_Fuel_Surcharge),2),ROUND(((1-IntEconomyDiscount-IntEoncomyIncentive)*'Intl Economy Base'!L72)*(1+International_Fuel_Surcharge),2)))*(1+FedEx_Markup),2)</f>
        <v>255.37</v>
      </c>
      <c r="M75" s="295">
        <f>ROUND((IF('Intl Economy Base'!$M$105&gt;ROUND(((1-IntEconomyDiscount-IntEoncomyIncentive)*'Intl Economy Base'!M72),2),ROUND('Intl Economy Base'!$M$105*(1+International_Fuel_Surcharge),2),ROUND(((1-IntEconomyDiscount-IntEoncomyIncentive)*'Intl Economy Base'!M72)*(1+International_Fuel_Surcharge),2)))*(1+FedEx_Markup),2)</f>
        <v>325.52</v>
      </c>
      <c r="N75" s="295">
        <f>ROUND((IF('Intl Economy Base'!$N$105&gt;ROUND(((1-IntEconomyDiscount-IntEoncomyIncentive)*'Intl Economy Base'!N72),2),ROUND('Intl Economy Base'!$N$105*(1+International_Fuel_Surcharge),2),ROUND(((1-IntEconomyDiscount-IntEoncomyIncentive)*'Intl Economy Base'!N72)*(1+International_Fuel_Surcharge),2)))*(1+FedEx_Markup),2)</f>
        <v>330.18</v>
      </c>
      <c r="O75" s="295">
        <f>ROUND((IF('Intl Economy Base'!$O$105&gt;ROUND(((1-IntEconomyDiscount-IntEoncomyIncentive)*'Intl Economy Base'!O72),2),ROUND('Intl Economy Base'!$O$105*(1+International_Fuel_Surcharge),2),ROUND(((1-IntEconomyDiscount-IntEoncomyIncentive)*'Intl Economy Base'!O72)*(1+International_Fuel_Surcharge),2)))*(1+FedEx_Markup),2)</f>
        <v>234.85</v>
      </c>
      <c r="P75" s="295">
        <f>ROUND((IF('Intl Economy Base'!$P$105&gt;ROUND(((1-IntEconomyDiscount-IntEoncomyIncentive)*'Intl Economy Base'!P72),2),ROUND('Intl Economy Base'!$P$105*(1+International_Fuel_Surcharge),2),ROUND(((1-IntEconomyDiscount-IntEoncomyIncentive)*'Intl Economy Base'!P72)*(1+International_Fuel_Surcharge),2)))*(1+FedEx_Markup),2)</f>
        <v>269.62</v>
      </c>
      <c r="Q75" s="295">
        <f>ROUND((IF('Intl Economy Base'!$Q$105&gt;ROUND(((1-PuertoRicoDiscount)*'Intl Economy Base'!Q72),2),ROUND('Intl Economy Base'!$Q$105*(1+International_Fuel_Surcharge),2),ROUND(((1-PuertoRicoDiscount)*'Intl Economy Base'!Q72)*(1+International_Fuel_Surcharge),2)))*(1+FedEx_Markup),2)</f>
        <v>374.91</v>
      </c>
      <c r="R75" s="138"/>
      <c r="S75" s="138"/>
      <c r="T75" s="138"/>
      <c r="U75" s="138"/>
      <c r="V75" s="138"/>
      <c r="W75" s="138"/>
      <c r="X75" s="138"/>
      <c r="Y75" s="138"/>
      <c r="Z75" s="138"/>
    </row>
    <row r="76" ht="12.75" customHeight="1">
      <c r="A76" s="294">
        <v>92.0</v>
      </c>
      <c r="B76" s="295">
        <f>ROUND((IF('Intl Economy Base'!$B$105&gt;ROUND(((1-IntEconomyDiscount-IntEoncomyIncentive)*'Intl Economy Base'!B73),2),ROUND('Intl Economy Base'!$B$105*(1+International_Fuel_Surcharge),2),ROUND(((1-IntEconomyDiscount-IntEoncomyIncentive)*'Intl Economy Base'!B73)*(1+International_Fuel_Surcharge),2)))*(1+FedEx_Markup),2)</f>
        <v>134.29</v>
      </c>
      <c r="C76" s="295">
        <f>ROUND((IF('Intl Economy Base'!$C$105&gt;ROUND(((1-IntEconomyDiscount-IntEoncomyIncentive)*'Intl Economy Base'!C73),2),ROUND('Intl Economy Base'!$C$105*(1+International_Fuel_Surcharge),2),ROUND(((1-IntEconomyDiscount-IntEoncomyIncentive)*'Intl Economy Base'!C73)*(1+International_Fuel_Surcharge),2)))*(1+FedEx_Markup),2)</f>
        <v>148.9</v>
      </c>
      <c r="D76" s="295">
        <f>ROUND((IF('Intl Economy Base'!$D$105&gt;ROUND(((1-IntEconomyDiscount-IntEoncomyIncentive)*'Intl Economy Base'!D73),2),ROUND('Intl Economy Base'!$D$105*(1+International_Fuel_Surcharge),2),ROUND(((1-IntEconomyDiscount-IntEoncomyIncentive)*'Intl Economy Base'!D73)*(1+International_Fuel_Surcharge),2)))*(1+FedEx_Markup),2)</f>
        <v>99.5</v>
      </c>
      <c r="E76" s="295">
        <f>ROUND((IF('Intl Economy Base'!$E$105&gt;ROUND(((1-IntEconomyDiscount-IntEoncomyIncentive)*'Intl Economy Base'!E73),2),ROUND('Intl Economy Base'!$E$105*(1+International_Fuel_Surcharge),2),ROUND(((1-IntEconomyDiscount-IntEoncomyIncentive)*'Intl Economy Base'!E73)*(1+International_Fuel_Surcharge),2)))*(1+FedEx_Markup),2)</f>
        <v>189.37</v>
      </c>
      <c r="F76" s="295">
        <f>ROUND((IF('Intl Economy Base'!$F$105&gt;ROUND(((1-IntEconomyDiscount-IntEoncomyIncentive)*'Intl Economy Base'!F73),2),ROUND('Intl Economy Base'!$F$105*(1+International_Fuel_Surcharge),2),ROUND(((1-IntEconomyDiscount-IntEoncomyIncentive)*'Intl Economy Base'!F73)*(1+International_Fuel_Surcharge),2)))*(1+FedEx_Markup),2)</f>
        <v>360.8</v>
      </c>
      <c r="G76" s="295">
        <f>ROUND((IF('Intl Economy Base'!$G$105&gt;ROUND(((1-IntEconomyDiscount-IntEoncomyIncentive)*'Intl Economy Base'!G73),2),ROUND('Intl Economy Base'!$G$105*(1+International_Fuel_Surcharge),2),ROUND(((1-IntEconomyDiscount-IntEoncomyIncentive)*'Intl Economy Base'!G73)*(1+International_Fuel_Surcharge),2)))*(1+FedEx_Markup),2)</f>
        <v>203</v>
      </c>
      <c r="H76" s="295">
        <f>ROUND((IF('Intl Economy Base'!$H$105&gt;ROUND(((1-IntEconomyDiscount-IntEoncomyIncentive)*'Intl Economy Base'!H73),2),ROUND('Intl Economy Base'!$H$105*(1+International_Fuel_Surcharge),2),ROUND(((1-IntEconomyDiscount-IntEoncomyIncentive)*'Intl Economy Base'!H73)*(1+International_Fuel_Surcharge),2)))*(1+FedEx_Markup),2)</f>
        <v>206.08</v>
      </c>
      <c r="I76" s="295">
        <f>ROUND((IF('Intl Economy Base'!$I$105&gt;ROUND(((1-IntEconomyDiscount-IntEoncomyIncentive)*'Intl Economy Base'!I73),2),ROUND('Intl Economy Base'!$I$105*(1+International_Fuel_Surcharge),2),ROUND(((1-IntEconomyDiscount-IntEoncomyIncentive)*'Intl Economy Base'!I73)*(1+International_Fuel_Surcharge),2)))*(1+FedEx_Markup),2)</f>
        <v>237.97</v>
      </c>
      <c r="J76" s="295">
        <f>ROUND((IF('Intl Economy Base'!$J$105&gt;ROUND(((1-IntEconomyDiscount-IntEoncomyIncentive)*'Intl Economy Base'!J73),2),ROUND('Intl Economy Base'!$J$105*(1+International_Fuel_Surcharge),2),ROUND(((1-IntEconomyDiscount-IntEoncomyIncentive)*'Intl Economy Base'!J73)*(1+International_Fuel_Surcharge),2)))*(1+FedEx_Markup),2)</f>
        <v>143.98</v>
      </c>
      <c r="K76" s="295">
        <f>ROUND((IF('Intl Economy Base'!$K$105&gt;ROUND(((1-IntEconomyDiscount-IntEoncomyIncentive)*'Intl Economy Base'!K73),2),ROUND('Intl Economy Base'!$K$105*(1+International_Fuel_Surcharge),2),ROUND(((1-IntEconomyDiscount-IntEoncomyIncentive)*'Intl Economy Base'!K73)*(1+International_Fuel_Surcharge),2)))*(1+FedEx_Markup),2)</f>
        <v>309.47</v>
      </c>
      <c r="L76" s="295">
        <f>ROUND((IF('Intl Economy Base'!$L$105&gt;ROUND(((1-IntEconomyDiscount-IntEoncomyIncentive)*'Intl Economy Base'!L73),2),ROUND('Intl Economy Base'!$L$105*(1+International_Fuel_Surcharge),2),ROUND(((1-IntEconomyDiscount-IntEoncomyIncentive)*'Intl Economy Base'!L73)*(1+International_Fuel_Surcharge),2)))*(1+FedEx_Markup),2)</f>
        <v>255.48</v>
      </c>
      <c r="M76" s="295">
        <f>ROUND((IF('Intl Economy Base'!$M$105&gt;ROUND(((1-IntEconomyDiscount-IntEoncomyIncentive)*'Intl Economy Base'!M73),2),ROUND('Intl Economy Base'!$M$105*(1+International_Fuel_Surcharge),2),ROUND(((1-IntEconomyDiscount-IntEoncomyIncentive)*'Intl Economy Base'!M73)*(1+International_Fuel_Surcharge),2)))*(1+FedEx_Markup),2)</f>
        <v>325.65</v>
      </c>
      <c r="N76" s="295">
        <f>ROUND((IF('Intl Economy Base'!$N$105&gt;ROUND(((1-IntEconomyDiscount-IntEoncomyIncentive)*'Intl Economy Base'!N73),2),ROUND('Intl Economy Base'!$N$105*(1+International_Fuel_Surcharge),2),ROUND(((1-IntEconomyDiscount-IntEoncomyIncentive)*'Intl Economy Base'!N73)*(1+International_Fuel_Surcharge),2)))*(1+FedEx_Markup),2)</f>
        <v>332.03</v>
      </c>
      <c r="O76" s="295">
        <f>ROUND((IF('Intl Economy Base'!$O$105&gt;ROUND(((1-IntEconomyDiscount-IntEoncomyIncentive)*'Intl Economy Base'!O73),2),ROUND('Intl Economy Base'!$O$105*(1+International_Fuel_Surcharge),2),ROUND(((1-IntEconomyDiscount-IntEoncomyIncentive)*'Intl Economy Base'!O73)*(1+International_Fuel_Surcharge),2)))*(1+FedEx_Markup),2)</f>
        <v>234.96</v>
      </c>
      <c r="P76" s="295">
        <f>ROUND((IF('Intl Economy Base'!$P$105&gt;ROUND(((1-IntEconomyDiscount-IntEoncomyIncentive)*'Intl Economy Base'!P73),2),ROUND('Intl Economy Base'!$P$105*(1+International_Fuel_Surcharge),2),ROUND(((1-IntEconomyDiscount-IntEoncomyIncentive)*'Intl Economy Base'!P73)*(1+International_Fuel_Surcharge),2)))*(1+FedEx_Markup),2)</f>
        <v>270.83</v>
      </c>
      <c r="Q76" s="295">
        <f>ROUND((IF('Intl Economy Base'!$Q$105&gt;ROUND(((1-PuertoRicoDiscount)*'Intl Economy Base'!Q73),2),ROUND('Intl Economy Base'!$Q$105*(1+International_Fuel_Surcharge),2),ROUND(((1-PuertoRicoDiscount)*'Intl Economy Base'!Q73)*(1+International_Fuel_Surcharge),2)))*(1+FedEx_Markup),2)</f>
        <v>375.92</v>
      </c>
      <c r="R76" s="138"/>
      <c r="S76" s="138"/>
      <c r="T76" s="138"/>
      <c r="U76" s="138"/>
      <c r="V76" s="138"/>
      <c r="W76" s="138"/>
      <c r="X76" s="138"/>
      <c r="Y76" s="138"/>
      <c r="Z76" s="138"/>
    </row>
    <row r="77" ht="12.75" customHeight="1">
      <c r="A77" s="294">
        <v>94.0</v>
      </c>
      <c r="B77" s="295">
        <f>ROUND((IF('Intl Economy Base'!$B$105&gt;ROUND(((1-IntEconomyDiscount-IntEoncomyIncentive)*'Intl Economy Base'!B74),2),ROUND('Intl Economy Base'!$B$105*(1+International_Fuel_Surcharge),2),ROUND(((1-IntEconomyDiscount-IntEoncomyIncentive)*'Intl Economy Base'!B74)*(1+International_Fuel_Surcharge),2)))*(1+FedEx_Markup),2)</f>
        <v>135.56</v>
      </c>
      <c r="C77" s="295">
        <f>ROUND((IF('Intl Economy Base'!$C$105&gt;ROUND(((1-IntEconomyDiscount-IntEoncomyIncentive)*'Intl Economy Base'!C74),2),ROUND('Intl Economy Base'!$C$105*(1+International_Fuel_Surcharge),2),ROUND(((1-IntEconomyDiscount-IntEoncomyIncentive)*'Intl Economy Base'!C74)*(1+International_Fuel_Surcharge),2)))*(1+FedEx_Markup),2)</f>
        <v>150.11</v>
      </c>
      <c r="D77" s="295">
        <f>ROUND((IF('Intl Economy Base'!$D$105&gt;ROUND(((1-IntEconomyDiscount-IntEoncomyIncentive)*'Intl Economy Base'!D74),2),ROUND('Intl Economy Base'!$D$105*(1+International_Fuel_Surcharge),2),ROUND(((1-IntEconomyDiscount-IntEoncomyIncentive)*'Intl Economy Base'!D74)*(1+International_Fuel_Surcharge),2)))*(1+FedEx_Markup),2)</f>
        <v>100.56</v>
      </c>
      <c r="E77" s="295">
        <f>ROUND((IF('Intl Economy Base'!$E$105&gt;ROUND(((1-IntEconomyDiscount-IntEoncomyIncentive)*'Intl Economy Base'!E74),2),ROUND('Intl Economy Base'!$E$105*(1+International_Fuel_Surcharge),2),ROUND(((1-IntEconomyDiscount-IntEoncomyIncentive)*'Intl Economy Base'!E74)*(1+International_Fuel_Surcharge),2)))*(1+FedEx_Markup),2)</f>
        <v>190.96</v>
      </c>
      <c r="F77" s="295">
        <f>ROUND((IF('Intl Economy Base'!$F$105&gt;ROUND(((1-IntEconomyDiscount-IntEoncomyIncentive)*'Intl Economy Base'!F74),2),ROUND('Intl Economy Base'!$F$105*(1+International_Fuel_Surcharge),2),ROUND(((1-IntEconomyDiscount-IntEoncomyIncentive)*'Intl Economy Base'!F74)*(1+International_Fuel_Surcharge),2)))*(1+FedEx_Markup),2)</f>
        <v>363.64</v>
      </c>
      <c r="G77" s="295">
        <f>ROUND((IF('Intl Economy Base'!$G$105&gt;ROUND(((1-IntEconomyDiscount-IntEoncomyIncentive)*'Intl Economy Base'!G74),2),ROUND('Intl Economy Base'!$G$105*(1+International_Fuel_Surcharge),2),ROUND(((1-IntEconomyDiscount-IntEoncomyIncentive)*'Intl Economy Base'!G74)*(1+International_Fuel_Surcharge),2)))*(1+FedEx_Markup),2)</f>
        <v>205.74</v>
      </c>
      <c r="H77" s="295">
        <f>ROUND((IF('Intl Economy Base'!$H$105&gt;ROUND(((1-IntEconomyDiscount-IntEoncomyIncentive)*'Intl Economy Base'!H74),2),ROUND('Intl Economy Base'!$H$105*(1+International_Fuel_Surcharge),2),ROUND(((1-IntEconomyDiscount-IntEoncomyIncentive)*'Intl Economy Base'!H74)*(1+International_Fuel_Surcharge),2)))*(1+FedEx_Markup),2)</f>
        <v>208.14</v>
      </c>
      <c r="I77" s="295">
        <f>ROUND((IF('Intl Economy Base'!$I$105&gt;ROUND(((1-IntEconomyDiscount-IntEoncomyIncentive)*'Intl Economy Base'!I74),2),ROUND('Intl Economy Base'!$I$105*(1+International_Fuel_Surcharge),2),ROUND(((1-IntEconomyDiscount-IntEoncomyIncentive)*'Intl Economy Base'!I74)*(1+International_Fuel_Surcharge),2)))*(1+FedEx_Markup),2)</f>
        <v>239.96</v>
      </c>
      <c r="J77" s="295">
        <f>ROUND((IF('Intl Economy Base'!$J$105&gt;ROUND(((1-IntEconomyDiscount-IntEoncomyIncentive)*'Intl Economy Base'!J74),2),ROUND('Intl Economy Base'!$J$105*(1+International_Fuel_Surcharge),2),ROUND(((1-IntEconomyDiscount-IntEoncomyIncentive)*'Intl Economy Base'!J74)*(1+International_Fuel_Surcharge),2)))*(1+FedEx_Markup),2)</f>
        <v>149.75</v>
      </c>
      <c r="K77" s="295">
        <f>ROUND((IF('Intl Economy Base'!$K$105&gt;ROUND(((1-IntEconomyDiscount-IntEoncomyIncentive)*'Intl Economy Base'!K74),2),ROUND('Intl Economy Base'!$K$105*(1+International_Fuel_Surcharge),2),ROUND(((1-IntEconomyDiscount-IntEoncomyIncentive)*'Intl Economy Base'!K74)*(1+International_Fuel_Surcharge),2)))*(1+FedEx_Markup),2)</f>
        <v>312.11</v>
      </c>
      <c r="L77" s="295">
        <f>ROUND((IF('Intl Economy Base'!$L$105&gt;ROUND(((1-IntEconomyDiscount-IntEoncomyIncentive)*'Intl Economy Base'!L74),2),ROUND('Intl Economy Base'!$L$105*(1+International_Fuel_Surcharge),2),ROUND(((1-IntEconomyDiscount-IntEoncomyIncentive)*'Intl Economy Base'!L74)*(1+International_Fuel_Surcharge),2)))*(1+FedEx_Markup),2)</f>
        <v>257.73</v>
      </c>
      <c r="M77" s="295">
        <f>ROUND((IF('Intl Economy Base'!$M$105&gt;ROUND(((1-IntEconomyDiscount-IntEoncomyIncentive)*'Intl Economy Base'!M74),2),ROUND('Intl Economy Base'!$M$105*(1+International_Fuel_Surcharge),2),ROUND(((1-IntEconomyDiscount-IntEoncomyIncentive)*'Intl Economy Base'!M74)*(1+International_Fuel_Surcharge),2)))*(1+FedEx_Markup),2)</f>
        <v>328.22</v>
      </c>
      <c r="N77" s="295">
        <f>ROUND((IF('Intl Economy Base'!$N$105&gt;ROUND(((1-IntEconomyDiscount-IntEoncomyIncentive)*'Intl Economy Base'!N74),2),ROUND('Intl Economy Base'!$N$105*(1+International_Fuel_Surcharge),2),ROUND(((1-IntEconomyDiscount-IntEoncomyIncentive)*'Intl Economy Base'!N74)*(1+International_Fuel_Surcharge),2)))*(1+FedEx_Markup),2)</f>
        <v>335.06</v>
      </c>
      <c r="O77" s="295">
        <f>ROUND((IF('Intl Economy Base'!$O$105&gt;ROUND(((1-IntEconomyDiscount-IntEoncomyIncentive)*'Intl Economy Base'!O74),2),ROUND('Intl Economy Base'!$O$105*(1+International_Fuel_Surcharge),2),ROUND(((1-IntEconomyDiscount-IntEoncomyIncentive)*'Intl Economy Base'!O74)*(1+International_Fuel_Surcharge),2)))*(1+FedEx_Markup),2)</f>
        <v>237.02</v>
      </c>
      <c r="P77" s="295">
        <f>ROUND((IF('Intl Economy Base'!$P$105&gt;ROUND(((1-IntEconomyDiscount-IntEoncomyIncentive)*'Intl Economy Base'!P74),2),ROUND('Intl Economy Base'!$P$105*(1+International_Fuel_Surcharge),2),ROUND(((1-IntEconomyDiscount-IntEoncomyIncentive)*'Intl Economy Base'!P74)*(1+International_Fuel_Surcharge),2)))*(1+FedEx_Markup),2)</f>
        <v>273.07</v>
      </c>
      <c r="Q77" s="295">
        <f>ROUND((IF('Intl Economy Base'!$Q$105&gt;ROUND(((1-PuertoRicoDiscount)*'Intl Economy Base'!Q74),2),ROUND('Intl Economy Base'!$Q$105*(1+International_Fuel_Surcharge),2),ROUND(((1-PuertoRicoDiscount)*'Intl Economy Base'!Q74)*(1+International_Fuel_Surcharge),2)))*(1+FedEx_Markup),2)</f>
        <v>376.77</v>
      </c>
      <c r="R77" s="138"/>
      <c r="S77" s="138"/>
      <c r="T77" s="138"/>
      <c r="U77" s="138"/>
      <c r="V77" s="138"/>
      <c r="W77" s="138"/>
      <c r="X77" s="138"/>
      <c r="Y77" s="138"/>
      <c r="Z77" s="138"/>
    </row>
    <row r="78" ht="12.75" customHeight="1">
      <c r="A78" s="294">
        <v>96.0</v>
      </c>
      <c r="B78" s="295">
        <f>ROUND((IF('Intl Economy Base'!$B$105&gt;ROUND(((1-IntEconomyDiscount-IntEoncomyIncentive)*'Intl Economy Base'!B75),2),ROUND('Intl Economy Base'!$B$105*(1+International_Fuel_Surcharge),2),ROUND(((1-IntEconomyDiscount-IntEoncomyIncentive)*'Intl Economy Base'!B75)*(1+International_Fuel_Surcharge),2)))*(1+FedEx_Markup),2)</f>
        <v>139.13</v>
      </c>
      <c r="C78" s="295">
        <f>ROUND((IF('Intl Economy Base'!$C$105&gt;ROUND(((1-IntEconomyDiscount-IntEoncomyIncentive)*'Intl Economy Base'!C75),2),ROUND('Intl Economy Base'!$C$105*(1+International_Fuel_Surcharge),2),ROUND(((1-IntEconomyDiscount-IntEoncomyIncentive)*'Intl Economy Base'!C75)*(1+International_Fuel_Surcharge),2)))*(1+FedEx_Markup),2)</f>
        <v>150.24</v>
      </c>
      <c r="D78" s="295">
        <f>ROUND((IF('Intl Economy Base'!$D$105&gt;ROUND(((1-IntEconomyDiscount-IntEoncomyIncentive)*'Intl Economy Base'!D75),2),ROUND('Intl Economy Base'!$D$105*(1+International_Fuel_Surcharge),2),ROUND(((1-IntEconomyDiscount-IntEoncomyIncentive)*'Intl Economy Base'!D75)*(1+International_Fuel_Surcharge),2)))*(1+FedEx_Markup),2)</f>
        <v>100.66</v>
      </c>
      <c r="E78" s="295">
        <f>ROUND((IF('Intl Economy Base'!$E$105&gt;ROUND(((1-IntEconomyDiscount-IntEoncomyIncentive)*'Intl Economy Base'!E75),2),ROUND('Intl Economy Base'!$E$105*(1+International_Fuel_Surcharge),2),ROUND(((1-IntEconomyDiscount-IntEoncomyIncentive)*'Intl Economy Base'!E75)*(1+International_Fuel_Surcharge),2)))*(1+FedEx_Markup),2)</f>
        <v>200.09</v>
      </c>
      <c r="F78" s="295">
        <f>ROUND((IF('Intl Economy Base'!$F$105&gt;ROUND(((1-IntEconomyDiscount-IntEoncomyIncentive)*'Intl Economy Base'!F75),2),ROUND('Intl Economy Base'!$F$105*(1+International_Fuel_Surcharge),2),ROUND(((1-IntEconomyDiscount-IntEoncomyIncentive)*'Intl Economy Base'!F75)*(1+International_Fuel_Surcharge),2)))*(1+FedEx_Markup),2)</f>
        <v>363.93</v>
      </c>
      <c r="G78" s="295">
        <f>ROUND((IF('Intl Economy Base'!$G$105&gt;ROUND(((1-IntEconomyDiscount-IntEoncomyIncentive)*'Intl Economy Base'!G75),2),ROUND('Intl Economy Base'!$G$105*(1+International_Fuel_Surcharge),2),ROUND(((1-IntEconomyDiscount-IntEoncomyIncentive)*'Intl Economy Base'!G75)*(1+International_Fuel_Surcharge),2)))*(1+FedEx_Markup),2)</f>
        <v>206.37</v>
      </c>
      <c r="H78" s="295">
        <f>ROUND((IF('Intl Economy Base'!$H$105&gt;ROUND(((1-IntEconomyDiscount-IntEoncomyIncentive)*'Intl Economy Base'!H75),2),ROUND('Intl Economy Base'!$H$105*(1+International_Fuel_Surcharge),2),ROUND(((1-IntEconomyDiscount-IntEoncomyIncentive)*'Intl Economy Base'!H75)*(1+International_Fuel_Surcharge),2)))*(1+FedEx_Markup),2)</f>
        <v>209.6</v>
      </c>
      <c r="I78" s="295">
        <f>ROUND((IF('Intl Economy Base'!$I$105&gt;ROUND(((1-IntEconomyDiscount-IntEoncomyIncentive)*'Intl Economy Base'!I75),2),ROUND('Intl Economy Base'!$I$105*(1+International_Fuel_Surcharge),2),ROUND(((1-IntEconomyDiscount-IntEoncomyIncentive)*'Intl Economy Base'!I75)*(1+International_Fuel_Surcharge),2)))*(1+FedEx_Markup),2)</f>
        <v>246.87</v>
      </c>
      <c r="J78" s="295">
        <f>ROUND((IF('Intl Economy Base'!$J$105&gt;ROUND(((1-IntEconomyDiscount-IntEoncomyIncentive)*'Intl Economy Base'!J75),2),ROUND('Intl Economy Base'!$J$105*(1+International_Fuel_Surcharge),2),ROUND(((1-IntEconomyDiscount-IntEoncomyIncentive)*'Intl Economy Base'!J75)*(1+International_Fuel_Surcharge),2)))*(1+FedEx_Markup),2)</f>
        <v>150.34</v>
      </c>
      <c r="K78" s="295">
        <f>ROUND((IF('Intl Economy Base'!$K$105&gt;ROUND(((1-IntEconomyDiscount-IntEoncomyIncentive)*'Intl Economy Base'!K75),2),ROUND('Intl Economy Base'!$K$105*(1+International_Fuel_Surcharge),2),ROUND(((1-IntEconomyDiscount-IntEoncomyIncentive)*'Intl Economy Base'!K75)*(1+International_Fuel_Surcharge),2)))*(1+FedEx_Markup),2)</f>
        <v>313.16</v>
      </c>
      <c r="L78" s="295">
        <f>ROUND((IF('Intl Economy Base'!$L$105&gt;ROUND(((1-IntEconomyDiscount-IntEoncomyIncentive)*'Intl Economy Base'!L75),2),ROUND('Intl Economy Base'!$L$105*(1+International_Fuel_Surcharge),2),ROUND(((1-IntEconomyDiscount-IntEoncomyIncentive)*'Intl Economy Base'!L75)*(1+International_Fuel_Surcharge),2)))*(1+FedEx_Markup),2)</f>
        <v>257.96</v>
      </c>
      <c r="M78" s="295">
        <f>ROUND((IF('Intl Economy Base'!$M$105&gt;ROUND(((1-IntEconomyDiscount-IntEoncomyIncentive)*'Intl Economy Base'!M75),2),ROUND('Intl Economy Base'!$M$105*(1+International_Fuel_Surcharge),2),ROUND(((1-IntEconomyDiscount-IntEoncomyIncentive)*'Intl Economy Base'!M75)*(1+International_Fuel_Surcharge),2)))*(1+FedEx_Markup),2)</f>
        <v>328.47</v>
      </c>
      <c r="N78" s="295">
        <f>ROUND((IF('Intl Economy Base'!$N$105&gt;ROUND(((1-IntEconomyDiscount-IntEoncomyIncentive)*'Intl Economy Base'!N75),2),ROUND('Intl Economy Base'!$N$105*(1+International_Fuel_Surcharge),2),ROUND(((1-IntEconomyDiscount-IntEoncomyIncentive)*'Intl Economy Base'!N75)*(1+International_Fuel_Surcharge),2)))*(1+FedEx_Markup),2)</f>
        <v>335.36</v>
      </c>
      <c r="O78" s="295">
        <f>ROUND((IF('Intl Economy Base'!$O$105&gt;ROUND(((1-IntEconomyDiscount-IntEoncomyIncentive)*'Intl Economy Base'!O75),2),ROUND('Intl Economy Base'!$O$105*(1+International_Fuel_Surcharge),2),ROUND(((1-IntEconomyDiscount-IntEoncomyIncentive)*'Intl Economy Base'!O75)*(1+International_Fuel_Surcharge),2)))*(1+FedEx_Markup),2)</f>
        <v>237.22</v>
      </c>
      <c r="P78" s="295">
        <f>ROUND((IF('Intl Economy Base'!$P$105&gt;ROUND(((1-IntEconomyDiscount-IntEoncomyIncentive)*'Intl Economy Base'!P75),2),ROUND('Intl Economy Base'!$P$105*(1+International_Fuel_Surcharge),2),ROUND(((1-IntEconomyDiscount-IntEoncomyIncentive)*'Intl Economy Base'!P75)*(1+International_Fuel_Surcharge),2)))*(1+FedEx_Markup),2)</f>
        <v>273.29</v>
      </c>
      <c r="Q78" s="295">
        <f>ROUND((IF('Intl Economy Base'!$Q$105&gt;ROUND(((1-PuertoRicoDiscount)*'Intl Economy Base'!Q75),2),ROUND('Intl Economy Base'!$Q$105*(1+International_Fuel_Surcharge),2),ROUND(((1-PuertoRicoDiscount)*'Intl Economy Base'!Q75)*(1+International_Fuel_Surcharge),2)))*(1+FedEx_Markup),2)</f>
        <v>380.75</v>
      </c>
      <c r="R78" s="34"/>
      <c r="S78" s="34"/>
      <c r="T78" s="34"/>
      <c r="U78" s="34"/>
      <c r="V78" s="34"/>
      <c r="W78" s="34"/>
      <c r="X78" s="34"/>
      <c r="Y78" s="34"/>
      <c r="Z78" s="34"/>
    </row>
    <row r="79" ht="12.75" customHeight="1">
      <c r="A79" s="294">
        <v>98.0</v>
      </c>
      <c r="B79" s="295">
        <f>ROUND((IF('Intl Economy Base'!$B$105&gt;ROUND(((1-IntEconomyDiscount-IntEoncomyIncentive)*'Intl Economy Base'!B76),2),ROUND('Intl Economy Base'!$B$105*(1+International_Fuel_Surcharge),2),ROUND(((1-IntEconomyDiscount-IntEoncomyIncentive)*'Intl Economy Base'!B76)*(1+International_Fuel_Surcharge),2)))*(1+FedEx_Markup),2)</f>
        <v>139.48</v>
      </c>
      <c r="C79" s="295">
        <f>ROUND((IF('Intl Economy Base'!$C$105&gt;ROUND(((1-IntEconomyDiscount-IntEoncomyIncentive)*'Intl Economy Base'!C76),2),ROUND('Intl Economy Base'!$C$105*(1+International_Fuel_Surcharge),2),ROUND(((1-IntEconomyDiscount-IntEoncomyIncentive)*'Intl Economy Base'!C76)*(1+International_Fuel_Surcharge),2)))*(1+FedEx_Markup),2)</f>
        <v>150.28</v>
      </c>
      <c r="D79" s="295">
        <f>ROUND((IF('Intl Economy Base'!$D$105&gt;ROUND(((1-IntEconomyDiscount-IntEoncomyIncentive)*'Intl Economy Base'!D76),2),ROUND('Intl Economy Base'!$D$105*(1+International_Fuel_Surcharge),2),ROUND(((1-IntEconomyDiscount-IntEoncomyIncentive)*'Intl Economy Base'!D76)*(1+International_Fuel_Surcharge),2)))*(1+FedEx_Markup),2)</f>
        <v>100.76</v>
      </c>
      <c r="E79" s="295">
        <f>ROUND((IF('Intl Economy Base'!$E$105&gt;ROUND(((1-IntEconomyDiscount-IntEoncomyIncentive)*'Intl Economy Base'!E76),2),ROUND('Intl Economy Base'!$E$105*(1+International_Fuel_Surcharge),2),ROUND(((1-IntEconomyDiscount-IntEoncomyIncentive)*'Intl Economy Base'!E76)*(1+International_Fuel_Surcharge),2)))*(1+FedEx_Markup),2)</f>
        <v>201</v>
      </c>
      <c r="F79" s="295">
        <f>ROUND((IF('Intl Economy Base'!$F$105&gt;ROUND(((1-IntEconomyDiscount-IntEoncomyIncentive)*'Intl Economy Base'!F76),2),ROUND('Intl Economy Base'!$F$105*(1+International_Fuel_Surcharge),2),ROUND(((1-IntEconomyDiscount-IntEoncomyIncentive)*'Intl Economy Base'!F76)*(1+International_Fuel_Surcharge),2)))*(1+FedEx_Markup),2)</f>
        <v>364.01</v>
      </c>
      <c r="G79" s="295">
        <f>ROUND((IF('Intl Economy Base'!$G$105&gt;ROUND(((1-IntEconomyDiscount-IntEoncomyIncentive)*'Intl Economy Base'!G76),2),ROUND('Intl Economy Base'!$G$105*(1+International_Fuel_Surcharge),2),ROUND(((1-IntEconomyDiscount-IntEoncomyIncentive)*'Intl Economy Base'!G76)*(1+International_Fuel_Surcharge),2)))*(1+FedEx_Markup),2)</f>
        <v>218.91</v>
      </c>
      <c r="H79" s="295">
        <f>ROUND((IF('Intl Economy Base'!$H$105&gt;ROUND(((1-IntEconomyDiscount-IntEoncomyIncentive)*'Intl Economy Base'!H76),2),ROUND('Intl Economy Base'!$H$105*(1+International_Fuel_Surcharge),2),ROUND(((1-IntEconomyDiscount-IntEoncomyIncentive)*'Intl Economy Base'!H76)*(1+International_Fuel_Surcharge),2)))*(1+FedEx_Markup),2)</f>
        <v>211.05</v>
      </c>
      <c r="I79" s="295">
        <f>ROUND((IF('Intl Economy Base'!$I$105&gt;ROUND(((1-IntEconomyDiscount-IntEoncomyIncentive)*'Intl Economy Base'!I76),2),ROUND('Intl Economy Base'!$I$105*(1+International_Fuel_Surcharge),2),ROUND(((1-IntEconomyDiscount-IntEoncomyIncentive)*'Intl Economy Base'!I76)*(1+International_Fuel_Surcharge),2)))*(1+FedEx_Markup),2)</f>
        <v>247.56</v>
      </c>
      <c r="J79" s="295">
        <f>ROUND((IF('Intl Economy Base'!$J$105&gt;ROUND(((1-IntEconomyDiscount-IntEoncomyIncentive)*'Intl Economy Base'!J76),2),ROUND('Intl Economy Base'!$J$105*(1+International_Fuel_Surcharge),2),ROUND(((1-IntEconomyDiscount-IntEoncomyIncentive)*'Intl Economy Base'!J76)*(1+International_Fuel_Surcharge),2)))*(1+FedEx_Markup),2)</f>
        <v>150.4</v>
      </c>
      <c r="K79" s="295">
        <f>ROUND((IF('Intl Economy Base'!$K$105&gt;ROUND(((1-IntEconomyDiscount-IntEoncomyIncentive)*'Intl Economy Base'!K76),2),ROUND('Intl Economy Base'!$K$105*(1+International_Fuel_Surcharge),2),ROUND(((1-IntEconomyDiscount-IntEoncomyIncentive)*'Intl Economy Base'!K76)*(1+International_Fuel_Surcharge),2)))*(1+FedEx_Markup),2)</f>
        <v>314.21</v>
      </c>
      <c r="L79" s="295">
        <f>ROUND((IF('Intl Economy Base'!$L$105&gt;ROUND(((1-IntEconomyDiscount-IntEoncomyIncentive)*'Intl Economy Base'!L76),2),ROUND('Intl Economy Base'!$L$105*(1+International_Fuel_Surcharge),2),ROUND(((1-IntEconomyDiscount-IntEoncomyIncentive)*'Intl Economy Base'!L76)*(1+International_Fuel_Surcharge),2)))*(1+FedEx_Markup),2)</f>
        <v>258.01</v>
      </c>
      <c r="M79" s="295">
        <f>ROUND((IF('Intl Economy Base'!$M$105&gt;ROUND(((1-IntEconomyDiscount-IntEoncomyIncentive)*'Intl Economy Base'!M76),2),ROUND('Intl Economy Base'!$M$105*(1+International_Fuel_Surcharge),2),ROUND(((1-IntEconomyDiscount-IntEoncomyIncentive)*'Intl Economy Base'!M76)*(1+International_Fuel_Surcharge),2)))*(1+FedEx_Markup),2)</f>
        <v>328.54</v>
      </c>
      <c r="N79" s="295">
        <f>ROUND((IF('Intl Economy Base'!$N$105&gt;ROUND(((1-IntEconomyDiscount-IntEoncomyIncentive)*'Intl Economy Base'!N76),2),ROUND('Intl Economy Base'!$N$105*(1+International_Fuel_Surcharge),2),ROUND(((1-IntEconomyDiscount-IntEoncomyIncentive)*'Intl Economy Base'!N76)*(1+International_Fuel_Surcharge),2)))*(1+FedEx_Markup),2)</f>
        <v>335.42</v>
      </c>
      <c r="O79" s="295">
        <f>ROUND((IF('Intl Economy Base'!$O$105&gt;ROUND(((1-IntEconomyDiscount-IntEoncomyIncentive)*'Intl Economy Base'!O76),2),ROUND('Intl Economy Base'!$O$105*(1+International_Fuel_Surcharge),2),ROUND(((1-IntEconomyDiscount-IntEoncomyIncentive)*'Intl Economy Base'!O76)*(1+International_Fuel_Surcharge),2)))*(1+FedEx_Markup),2)</f>
        <v>237.28</v>
      </c>
      <c r="P79" s="295">
        <f>ROUND((IF('Intl Economy Base'!$P$105&gt;ROUND(((1-IntEconomyDiscount-IntEoncomyIncentive)*'Intl Economy Base'!P76),2),ROUND('Intl Economy Base'!$P$105*(1+International_Fuel_Surcharge),2),ROUND(((1-IntEconomyDiscount-IntEoncomyIncentive)*'Intl Economy Base'!P76)*(1+International_Fuel_Surcharge),2)))*(1+FedEx_Markup),2)</f>
        <v>274.4</v>
      </c>
      <c r="Q79" s="295">
        <f>ROUND((IF('Intl Economy Base'!$Q$105&gt;ROUND(((1-PuertoRicoDiscount)*'Intl Economy Base'!Q76),2),ROUND('Intl Economy Base'!$Q$105*(1+International_Fuel_Surcharge),2),ROUND(((1-PuertoRicoDiscount)*'Intl Economy Base'!Q76)*(1+International_Fuel_Surcharge),2)))*(1+FedEx_Markup),2)</f>
        <v>407.64</v>
      </c>
      <c r="R79" s="138"/>
      <c r="S79" s="138"/>
      <c r="T79" s="138"/>
      <c r="U79" s="138"/>
      <c r="V79" s="138"/>
      <c r="W79" s="138"/>
      <c r="X79" s="138"/>
      <c r="Y79" s="138"/>
      <c r="Z79" s="138"/>
    </row>
    <row r="80" ht="12.75" customHeight="1">
      <c r="A80" s="294">
        <v>100.0</v>
      </c>
      <c r="B80" s="295">
        <f>ROUND((IF('Intl Economy Base'!$B$105&gt;ROUND(((1-IntEconomyDiscount-IntEoncomyIncentive)*'Intl Economy Base'!B77),2),ROUND('Intl Economy Base'!$B$105*(1+International_Fuel_Surcharge),2),ROUND(((1-IntEconomyDiscount-IntEoncomyIncentive)*'Intl Economy Base'!B77)*(1+International_Fuel_Surcharge),2)))*(1+FedEx_Markup),2)</f>
        <v>142.66</v>
      </c>
      <c r="C80" s="295">
        <f>ROUND((IF('Intl Economy Base'!$C$105&gt;ROUND(((1-IntEconomyDiscount-IntEoncomyIncentive)*'Intl Economy Base'!C77),2),ROUND('Intl Economy Base'!$C$105*(1+International_Fuel_Surcharge),2),ROUND(((1-IntEconomyDiscount-IntEoncomyIncentive)*'Intl Economy Base'!C77)*(1+International_Fuel_Surcharge),2)))*(1+FedEx_Markup),2)</f>
        <v>150.33</v>
      </c>
      <c r="D80" s="295">
        <f>ROUND((IF('Intl Economy Base'!$D$105&gt;ROUND(((1-IntEconomyDiscount-IntEoncomyIncentive)*'Intl Economy Base'!D77),2),ROUND('Intl Economy Base'!$D$105*(1+International_Fuel_Surcharge),2),ROUND(((1-IntEconomyDiscount-IntEoncomyIncentive)*'Intl Economy Base'!D77)*(1+International_Fuel_Surcharge),2)))*(1+FedEx_Markup),2)</f>
        <v>102.95</v>
      </c>
      <c r="E80" s="295">
        <f>ROUND((IF('Intl Economy Base'!$E$105&gt;ROUND(((1-IntEconomyDiscount-IntEoncomyIncentive)*'Intl Economy Base'!E77),2),ROUND('Intl Economy Base'!$E$105*(1+International_Fuel_Surcharge),2),ROUND(((1-IntEconomyDiscount-IntEoncomyIncentive)*'Intl Economy Base'!E77)*(1+International_Fuel_Surcharge),2)))*(1+FedEx_Markup),2)</f>
        <v>201.09</v>
      </c>
      <c r="F80" s="295">
        <f>ROUND((IF('Intl Economy Base'!$F$105&gt;ROUND(((1-IntEconomyDiscount-IntEoncomyIncentive)*'Intl Economy Base'!F77),2),ROUND('Intl Economy Base'!$F$105*(1+International_Fuel_Surcharge),2),ROUND(((1-IntEconomyDiscount-IntEoncomyIncentive)*'Intl Economy Base'!F77)*(1+International_Fuel_Surcharge),2)))*(1+FedEx_Markup),2)</f>
        <v>365.57</v>
      </c>
      <c r="G80" s="295">
        <f>ROUND((IF('Intl Economy Base'!$G$105&gt;ROUND(((1-IntEconomyDiscount-IntEoncomyIncentive)*'Intl Economy Base'!G77),2),ROUND('Intl Economy Base'!$G$105*(1+International_Fuel_Surcharge),2),ROUND(((1-IntEconomyDiscount-IntEoncomyIncentive)*'Intl Economy Base'!G77)*(1+International_Fuel_Surcharge),2)))*(1+FedEx_Markup),2)</f>
        <v>220.18</v>
      </c>
      <c r="H80" s="295">
        <f>ROUND((IF('Intl Economy Base'!$H$105&gt;ROUND(((1-IntEconomyDiscount-IntEoncomyIncentive)*'Intl Economy Base'!H77),2),ROUND('Intl Economy Base'!$H$105*(1+International_Fuel_Surcharge),2),ROUND(((1-IntEconomyDiscount-IntEoncomyIncentive)*'Intl Economy Base'!H77)*(1+International_Fuel_Surcharge),2)))*(1+FedEx_Markup),2)</f>
        <v>211.2</v>
      </c>
      <c r="I80" s="295">
        <f>ROUND((IF('Intl Economy Base'!$I$105&gt;ROUND(((1-IntEconomyDiscount-IntEoncomyIncentive)*'Intl Economy Base'!I77),2),ROUND('Intl Economy Base'!$I$105*(1+International_Fuel_Surcharge),2),ROUND(((1-IntEconomyDiscount-IntEoncomyIncentive)*'Intl Economy Base'!I77)*(1+International_Fuel_Surcharge),2)))*(1+FedEx_Markup),2)</f>
        <v>247.63</v>
      </c>
      <c r="J80" s="295">
        <f>ROUND((IF('Intl Economy Base'!$J$105&gt;ROUND(((1-IntEconomyDiscount-IntEoncomyIncentive)*'Intl Economy Base'!J77),2),ROUND('Intl Economy Base'!$J$105*(1+International_Fuel_Surcharge),2),ROUND(((1-IntEconomyDiscount-IntEoncomyIncentive)*'Intl Economy Base'!J77)*(1+International_Fuel_Surcharge),2)))*(1+FedEx_Markup),2)</f>
        <v>150.66</v>
      </c>
      <c r="K80" s="295">
        <f>ROUND((IF('Intl Economy Base'!$K$105&gt;ROUND(((1-IntEconomyDiscount-IntEoncomyIncentive)*'Intl Economy Base'!K77),2),ROUND('Intl Economy Base'!$K$105*(1+International_Fuel_Surcharge),2),ROUND(((1-IntEconomyDiscount-IntEoncomyIncentive)*'Intl Economy Base'!K77)*(1+International_Fuel_Surcharge),2)))*(1+FedEx_Markup),2)</f>
        <v>315.27</v>
      </c>
      <c r="L80" s="295">
        <f>ROUND((IF('Intl Economy Base'!$L$105&gt;ROUND(((1-IntEconomyDiscount-IntEoncomyIncentive)*'Intl Economy Base'!L77),2),ROUND('Intl Economy Base'!$L$105*(1+International_Fuel_Surcharge),2),ROUND(((1-IntEconomyDiscount-IntEoncomyIncentive)*'Intl Economy Base'!L77)*(1+International_Fuel_Surcharge),2)))*(1+FedEx_Markup),2)</f>
        <v>258.44</v>
      </c>
      <c r="M80" s="295">
        <f>ROUND((IF('Intl Economy Base'!$M$105&gt;ROUND(((1-IntEconomyDiscount-IntEoncomyIncentive)*'Intl Economy Base'!M77),2),ROUND('Intl Economy Base'!$M$105*(1+International_Fuel_Surcharge),2),ROUND(((1-IntEconomyDiscount-IntEoncomyIncentive)*'Intl Economy Base'!M77)*(1+International_Fuel_Surcharge),2)))*(1+FedEx_Markup),2)</f>
        <v>328.61</v>
      </c>
      <c r="N80" s="295">
        <f>ROUND((IF('Intl Economy Base'!$N$105&gt;ROUND(((1-IntEconomyDiscount-IntEoncomyIncentive)*'Intl Economy Base'!N77),2),ROUND('Intl Economy Base'!$N$105*(1+International_Fuel_Surcharge),2),ROUND(((1-IntEconomyDiscount-IntEoncomyIncentive)*'Intl Economy Base'!N77)*(1+International_Fuel_Surcharge),2)))*(1+FedEx_Markup),2)</f>
        <v>335.48</v>
      </c>
      <c r="O80" s="295">
        <f>ROUND((IF('Intl Economy Base'!$O$105&gt;ROUND(((1-IntEconomyDiscount-IntEoncomyIncentive)*'Intl Economy Base'!O77),2),ROUND('Intl Economy Base'!$O$105*(1+International_Fuel_Surcharge),2),ROUND(((1-IntEconomyDiscount-IntEoncomyIncentive)*'Intl Economy Base'!O77)*(1+International_Fuel_Surcharge),2)))*(1+FedEx_Markup),2)</f>
        <v>237.35</v>
      </c>
      <c r="P80" s="295">
        <f>ROUND((IF('Intl Economy Base'!$P$105&gt;ROUND(((1-IntEconomyDiscount-IntEoncomyIncentive)*'Intl Economy Base'!P77),2),ROUND('Intl Economy Base'!$P$105*(1+International_Fuel_Surcharge),2),ROUND(((1-IntEconomyDiscount-IntEoncomyIncentive)*'Intl Economy Base'!P77)*(1+International_Fuel_Surcharge),2)))*(1+FedEx_Markup),2)</f>
        <v>287.87</v>
      </c>
      <c r="Q80" s="295">
        <f>ROUND((IF('Intl Economy Base'!$Q$105&gt;ROUND(((1-PuertoRicoDiscount)*'Intl Economy Base'!Q77),2),ROUND('Intl Economy Base'!$Q$105*(1+International_Fuel_Surcharge),2),ROUND(((1-PuertoRicoDiscount)*'Intl Economy Base'!Q77)*(1+International_Fuel_Surcharge),2)))*(1+FedEx_Markup),2)</f>
        <v>407.68</v>
      </c>
      <c r="R80" s="138"/>
      <c r="S80" s="138"/>
      <c r="T80" s="138"/>
      <c r="U80" s="138"/>
      <c r="V80" s="138"/>
      <c r="W80" s="138"/>
      <c r="X80" s="138"/>
      <c r="Y80" s="138"/>
      <c r="Z80" s="138"/>
    </row>
    <row r="81" ht="12.75" customHeight="1">
      <c r="A81" s="294">
        <v>105.0</v>
      </c>
      <c r="B81" s="295">
        <f>ROUND((IF('Intl Economy Base'!$B$105&gt;ROUND(((1-IntEconomyDiscount-IntEoncomyIncentive)*'Intl Economy Base'!B78),2),ROUND('Intl Economy Base'!$B$105*(1+International_Fuel_Surcharge),2),ROUND(((1-IntEconomyDiscount-IntEoncomyIncentive)*'Intl Economy Base'!B78)*(1+International_Fuel_Surcharge),2)))*(1+FedEx_Markup),2)</f>
        <v>143.98</v>
      </c>
      <c r="C81" s="295">
        <f>ROUND((IF('Intl Economy Base'!$C$105&gt;ROUND(((1-IntEconomyDiscount-IntEoncomyIncentive)*'Intl Economy Base'!C78),2),ROUND('Intl Economy Base'!$C$105*(1+International_Fuel_Surcharge),2),ROUND(((1-IntEconomyDiscount-IntEoncomyIncentive)*'Intl Economy Base'!C78)*(1+International_Fuel_Surcharge),2)))*(1+FedEx_Markup),2)</f>
        <v>150.37</v>
      </c>
      <c r="D81" s="295">
        <f>ROUND((IF('Intl Economy Base'!$D$105&gt;ROUND(((1-IntEconomyDiscount-IntEoncomyIncentive)*'Intl Economy Base'!D78),2),ROUND('Intl Economy Base'!$D$105*(1+International_Fuel_Surcharge),2),ROUND(((1-IntEconomyDiscount-IntEoncomyIncentive)*'Intl Economy Base'!D78)*(1+International_Fuel_Surcharge),2)))*(1+FedEx_Markup),2)</f>
        <v>105.48</v>
      </c>
      <c r="E81" s="295">
        <f>ROUND((IF('Intl Economy Base'!$E$105&gt;ROUND(((1-IntEconomyDiscount-IntEoncomyIncentive)*'Intl Economy Base'!E78),2),ROUND('Intl Economy Base'!$E$105*(1+International_Fuel_Surcharge),2),ROUND(((1-IntEconomyDiscount-IntEoncomyIncentive)*'Intl Economy Base'!E78)*(1+International_Fuel_Surcharge),2)))*(1+FedEx_Markup),2)</f>
        <v>201.16</v>
      </c>
      <c r="F81" s="295">
        <f>ROUND((IF('Intl Economy Base'!$F$105&gt;ROUND(((1-IntEconomyDiscount-IntEoncomyIncentive)*'Intl Economy Base'!F78),2),ROUND('Intl Economy Base'!$F$105*(1+International_Fuel_Surcharge),2),ROUND(((1-IntEconomyDiscount-IntEoncomyIncentive)*'Intl Economy Base'!F78)*(1+International_Fuel_Surcharge),2)))*(1+FedEx_Markup),2)</f>
        <v>365.75</v>
      </c>
      <c r="G81" s="295">
        <f>ROUND((IF('Intl Economy Base'!$G$105&gt;ROUND(((1-IntEconomyDiscount-IntEoncomyIncentive)*'Intl Economy Base'!G78),2),ROUND('Intl Economy Base'!$G$105*(1+International_Fuel_Surcharge),2),ROUND(((1-IntEconomyDiscount-IntEoncomyIncentive)*'Intl Economy Base'!G78)*(1+International_Fuel_Surcharge),2)))*(1+FedEx_Markup),2)</f>
        <v>222.47</v>
      </c>
      <c r="H81" s="295">
        <f>ROUND((IF('Intl Economy Base'!$H$105&gt;ROUND(((1-IntEconomyDiscount-IntEoncomyIncentive)*'Intl Economy Base'!H78),2),ROUND('Intl Economy Base'!$H$105*(1+International_Fuel_Surcharge),2),ROUND(((1-IntEconomyDiscount-IntEoncomyIncentive)*'Intl Economy Base'!H78)*(1+International_Fuel_Surcharge),2)))*(1+FedEx_Markup),2)</f>
        <v>213.98</v>
      </c>
      <c r="I81" s="295">
        <f>ROUND((IF('Intl Economy Base'!$I$105&gt;ROUND(((1-IntEconomyDiscount-IntEoncomyIncentive)*'Intl Economy Base'!I78),2),ROUND('Intl Economy Base'!$I$105*(1+International_Fuel_Surcharge),2),ROUND(((1-IntEconomyDiscount-IntEoncomyIncentive)*'Intl Economy Base'!I78)*(1+International_Fuel_Surcharge),2)))*(1+FedEx_Markup),2)</f>
        <v>247.69</v>
      </c>
      <c r="J81" s="295">
        <f>ROUND((IF('Intl Economy Base'!$J$105&gt;ROUND(((1-IntEconomyDiscount-IntEoncomyIncentive)*'Intl Economy Base'!J78),2),ROUND('Intl Economy Base'!$J$105*(1+International_Fuel_Surcharge),2),ROUND(((1-IntEconomyDiscount-IntEoncomyIncentive)*'Intl Economy Base'!J78)*(1+International_Fuel_Surcharge),2)))*(1+FedEx_Markup),2)</f>
        <v>155.7</v>
      </c>
      <c r="K81" s="295">
        <f>ROUND((IF('Intl Economy Base'!$K$105&gt;ROUND(((1-IntEconomyDiscount-IntEoncomyIncentive)*'Intl Economy Base'!K78),2),ROUND('Intl Economy Base'!$K$105*(1+International_Fuel_Surcharge),2),ROUND(((1-IntEconomyDiscount-IntEoncomyIncentive)*'Intl Economy Base'!K78)*(1+International_Fuel_Surcharge),2)))*(1+FedEx_Markup),2)</f>
        <v>316.32</v>
      </c>
      <c r="L81" s="295">
        <f>ROUND((IF('Intl Economy Base'!$L$105&gt;ROUND(((1-IntEconomyDiscount-IntEoncomyIncentive)*'Intl Economy Base'!L78),2),ROUND('Intl Economy Base'!$L$105*(1+International_Fuel_Surcharge),2),ROUND(((1-IntEconomyDiscount-IntEoncomyIncentive)*'Intl Economy Base'!L78)*(1+International_Fuel_Surcharge),2)))*(1+FedEx_Markup),2)</f>
        <v>266.97</v>
      </c>
      <c r="M81" s="295">
        <f>ROUND((IF('Intl Economy Base'!$M$105&gt;ROUND(((1-IntEconomyDiscount-IntEoncomyIncentive)*'Intl Economy Base'!M78),2),ROUND('Intl Economy Base'!$M$105*(1+International_Fuel_Surcharge),2),ROUND(((1-IntEconomyDiscount-IntEoncomyIncentive)*'Intl Economy Base'!M78)*(1+International_Fuel_Surcharge),2)))*(1+FedEx_Markup),2)</f>
        <v>328.68</v>
      </c>
      <c r="N81" s="295">
        <f>ROUND((IF('Intl Economy Base'!$N$105&gt;ROUND(((1-IntEconomyDiscount-IntEoncomyIncentive)*'Intl Economy Base'!N78),2),ROUND('Intl Economy Base'!$N$105*(1+International_Fuel_Surcharge),2),ROUND(((1-IntEconomyDiscount-IntEoncomyIncentive)*'Intl Economy Base'!N78)*(1+International_Fuel_Surcharge),2)))*(1+FedEx_Markup),2)</f>
        <v>335.52</v>
      </c>
      <c r="O81" s="295">
        <f>ROUND((IF('Intl Economy Base'!$O$105&gt;ROUND(((1-IntEconomyDiscount-IntEoncomyIncentive)*'Intl Economy Base'!O78),2),ROUND('Intl Economy Base'!$O$105*(1+International_Fuel_Surcharge),2),ROUND(((1-IntEconomyDiscount-IntEoncomyIncentive)*'Intl Economy Base'!O78)*(1+International_Fuel_Surcharge),2)))*(1+FedEx_Markup),2)</f>
        <v>237.41</v>
      </c>
      <c r="P81" s="295">
        <f>ROUND((IF('Intl Economy Base'!$P$105&gt;ROUND(((1-IntEconomyDiscount-IntEoncomyIncentive)*'Intl Economy Base'!P78),2),ROUND('Intl Economy Base'!$P$105*(1+International_Fuel_Surcharge),2),ROUND(((1-IntEconomyDiscount-IntEoncomyIncentive)*'Intl Economy Base'!P78)*(1+International_Fuel_Surcharge),2)))*(1+FedEx_Markup),2)</f>
        <v>289.21</v>
      </c>
      <c r="Q81" s="295">
        <f>ROUND((IF('Intl Economy Base'!$Q$105&gt;ROUND(((1-PuertoRicoDiscount)*'Intl Economy Base'!Q78),2),ROUND('Intl Economy Base'!$Q$105*(1+International_Fuel_Surcharge),2),ROUND(((1-PuertoRicoDiscount)*'Intl Economy Base'!Q78)*(1+International_Fuel_Surcharge),2)))*(1+FedEx_Markup),2)</f>
        <v>407.76</v>
      </c>
      <c r="R81" s="138"/>
      <c r="S81" s="138"/>
      <c r="T81" s="138"/>
      <c r="U81" s="138"/>
      <c r="V81" s="138"/>
      <c r="W81" s="138"/>
      <c r="X81" s="138"/>
      <c r="Y81" s="138"/>
      <c r="Z81" s="138"/>
    </row>
    <row r="82" ht="12.75" customHeight="1">
      <c r="A82" s="294">
        <v>110.0</v>
      </c>
      <c r="B82" s="295">
        <f>ROUND((IF('Intl Economy Base'!$B$105&gt;ROUND(((1-IntEconomyDiscount-IntEoncomyIncentive)*'Intl Economy Base'!B79),2),ROUND('Intl Economy Base'!$B$105*(1+International_Fuel_Surcharge),2),ROUND(((1-IntEconomyDiscount-IntEoncomyIncentive)*'Intl Economy Base'!B79)*(1+International_Fuel_Surcharge),2)))*(1+FedEx_Markup),2)</f>
        <v>144.12</v>
      </c>
      <c r="C82" s="295">
        <f>ROUND((IF('Intl Economy Base'!$C$105&gt;ROUND(((1-IntEconomyDiscount-IntEoncomyIncentive)*'Intl Economy Base'!C79),2),ROUND('Intl Economy Base'!$C$105*(1+International_Fuel_Surcharge),2),ROUND(((1-IntEconomyDiscount-IntEoncomyIncentive)*'Intl Economy Base'!C79)*(1+International_Fuel_Surcharge),2)))*(1+FedEx_Markup),2)</f>
        <v>150.43</v>
      </c>
      <c r="D82" s="295">
        <f>ROUND((IF('Intl Economy Base'!$D$105&gt;ROUND(((1-IntEconomyDiscount-IntEoncomyIncentive)*'Intl Economy Base'!D79),2),ROUND('Intl Economy Base'!$D$105*(1+International_Fuel_Surcharge),2),ROUND(((1-IntEconomyDiscount-IntEoncomyIncentive)*'Intl Economy Base'!D79)*(1+International_Fuel_Surcharge),2)))*(1+FedEx_Markup),2)</f>
        <v>105.73</v>
      </c>
      <c r="E82" s="295">
        <f>ROUND((IF('Intl Economy Base'!$E$105&gt;ROUND(((1-IntEconomyDiscount-IntEoncomyIncentive)*'Intl Economy Base'!E79),2),ROUND('Intl Economy Base'!$E$105*(1+International_Fuel_Surcharge),2),ROUND(((1-IntEconomyDiscount-IntEoncomyIncentive)*'Intl Economy Base'!E79)*(1+International_Fuel_Surcharge),2)))*(1+FedEx_Markup),2)</f>
        <v>201.31</v>
      </c>
      <c r="F82" s="295">
        <f>ROUND((IF('Intl Economy Base'!$F$105&gt;ROUND(((1-IntEconomyDiscount-IntEoncomyIncentive)*'Intl Economy Base'!F79),2),ROUND('Intl Economy Base'!$F$105*(1+International_Fuel_Surcharge),2),ROUND(((1-IntEconomyDiscount-IntEoncomyIncentive)*'Intl Economy Base'!F79)*(1+International_Fuel_Surcharge),2)))*(1+FedEx_Markup),2)</f>
        <v>365.79</v>
      </c>
      <c r="G82" s="295">
        <f>ROUND((IF('Intl Economy Base'!$G$105&gt;ROUND(((1-IntEconomyDiscount-IntEoncomyIncentive)*'Intl Economy Base'!G79),2),ROUND('Intl Economy Base'!$G$105*(1+International_Fuel_Surcharge),2),ROUND(((1-IntEconomyDiscount-IntEoncomyIncentive)*'Intl Economy Base'!G79)*(1+International_Fuel_Surcharge),2)))*(1+FedEx_Markup),2)</f>
        <v>224.24</v>
      </c>
      <c r="H82" s="295">
        <f>ROUND((IF('Intl Economy Base'!$H$105&gt;ROUND(((1-IntEconomyDiscount-IntEoncomyIncentive)*'Intl Economy Base'!H79),2),ROUND('Intl Economy Base'!$H$105*(1+International_Fuel_Surcharge),2),ROUND(((1-IntEconomyDiscount-IntEoncomyIncentive)*'Intl Economy Base'!H79)*(1+International_Fuel_Surcharge),2)))*(1+FedEx_Markup),2)</f>
        <v>215.43</v>
      </c>
      <c r="I82" s="295">
        <f>ROUND((IF('Intl Economy Base'!$I$105&gt;ROUND(((1-IntEconomyDiscount-IntEoncomyIncentive)*'Intl Economy Base'!I79),2),ROUND('Intl Economy Base'!$I$105*(1+International_Fuel_Surcharge),2),ROUND(((1-IntEconomyDiscount-IntEoncomyIncentive)*'Intl Economy Base'!I79)*(1+International_Fuel_Surcharge),2)))*(1+FedEx_Markup),2)</f>
        <v>247.74</v>
      </c>
      <c r="J82" s="295">
        <f>ROUND((IF('Intl Economy Base'!$J$105&gt;ROUND(((1-IntEconomyDiscount-IntEoncomyIncentive)*'Intl Economy Base'!J79),2),ROUND('Intl Economy Base'!$J$105*(1+International_Fuel_Surcharge),2),ROUND(((1-IntEconomyDiscount-IntEoncomyIncentive)*'Intl Economy Base'!J79)*(1+International_Fuel_Surcharge),2)))*(1+FedEx_Markup),2)</f>
        <v>156.2</v>
      </c>
      <c r="K82" s="295">
        <f>ROUND((IF('Intl Economy Base'!$K$105&gt;ROUND(((1-IntEconomyDiscount-IntEoncomyIncentive)*'Intl Economy Base'!K79),2),ROUND('Intl Economy Base'!$K$105*(1+International_Fuel_Surcharge),2),ROUND(((1-IntEconomyDiscount-IntEoncomyIncentive)*'Intl Economy Base'!K79)*(1+International_Fuel_Surcharge),2)))*(1+FedEx_Markup),2)</f>
        <v>317.38</v>
      </c>
      <c r="L82" s="295">
        <f>ROUND((IF('Intl Economy Base'!$L$105&gt;ROUND(((1-IntEconomyDiscount-IntEoncomyIncentive)*'Intl Economy Base'!L79),2),ROUND('Intl Economy Base'!$L$105*(1+International_Fuel_Surcharge),2),ROUND(((1-IntEconomyDiscount-IntEoncomyIncentive)*'Intl Economy Base'!L79)*(1+International_Fuel_Surcharge),2)))*(1+FedEx_Markup),2)</f>
        <v>267.82</v>
      </c>
      <c r="M82" s="295">
        <f>ROUND((IF('Intl Economy Base'!$M$105&gt;ROUND(((1-IntEconomyDiscount-IntEoncomyIncentive)*'Intl Economy Base'!M79),2),ROUND('Intl Economy Base'!$M$105*(1+International_Fuel_Surcharge),2),ROUND(((1-IntEconomyDiscount-IntEoncomyIncentive)*'Intl Economy Base'!M79)*(1+International_Fuel_Surcharge),2)))*(1+FedEx_Markup),2)</f>
        <v>328.74</v>
      </c>
      <c r="N82" s="295">
        <f>ROUND((IF('Intl Economy Base'!$N$105&gt;ROUND(((1-IntEconomyDiscount-IntEoncomyIncentive)*'Intl Economy Base'!N79),2),ROUND('Intl Economy Base'!$N$105*(1+International_Fuel_Surcharge),2),ROUND(((1-IntEconomyDiscount-IntEoncomyIncentive)*'Intl Economy Base'!N79)*(1+International_Fuel_Surcharge),2)))*(1+FedEx_Markup),2)</f>
        <v>335.58</v>
      </c>
      <c r="O82" s="295">
        <f>ROUND((IF('Intl Economy Base'!$O$105&gt;ROUND(((1-IntEconomyDiscount-IntEoncomyIncentive)*'Intl Economy Base'!O79),2),ROUND('Intl Economy Base'!$O$105*(1+International_Fuel_Surcharge),2),ROUND(((1-IntEconomyDiscount-IntEoncomyIncentive)*'Intl Economy Base'!O79)*(1+International_Fuel_Surcharge),2)))*(1+FedEx_Markup),2)</f>
        <v>237.46</v>
      </c>
      <c r="P82" s="295">
        <f>ROUND((IF('Intl Economy Base'!$P$105&gt;ROUND(((1-IntEconomyDiscount-IntEoncomyIncentive)*'Intl Economy Base'!P79),2),ROUND('Intl Economy Base'!$P$105*(1+International_Fuel_Surcharge),2),ROUND(((1-IntEconomyDiscount-IntEoncomyIncentive)*'Intl Economy Base'!P79)*(1+International_Fuel_Surcharge),2)))*(1+FedEx_Markup),2)</f>
        <v>289.35</v>
      </c>
      <c r="Q82" s="295">
        <f>ROUND((IF('Intl Economy Base'!$Q$105&gt;ROUND(((1-PuertoRicoDiscount)*'Intl Economy Base'!Q79),2),ROUND('Intl Economy Base'!$Q$105*(1+International_Fuel_Surcharge),2),ROUND(((1-PuertoRicoDiscount)*'Intl Economy Base'!Q79)*(1+International_Fuel_Surcharge),2)))*(1+FedEx_Markup),2)</f>
        <v>407.79</v>
      </c>
      <c r="R82" s="138"/>
      <c r="S82" s="138"/>
      <c r="T82" s="138"/>
      <c r="U82" s="138"/>
      <c r="V82" s="138"/>
      <c r="W82" s="138"/>
      <c r="X82" s="138"/>
      <c r="Y82" s="138"/>
      <c r="Z82" s="138"/>
    </row>
    <row r="83" ht="12.75" customHeight="1">
      <c r="A83" s="294">
        <v>115.0</v>
      </c>
      <c r="B83" s="295">
        <f>ROUND((IF('Intl Economy Base'!$B$105&gt;ROUND(((1-IntEconomyDiscount-IntEoncomyIncentive)*'Intl Economy Base'!B80),2),ROUND('Intl Economy Base'!$B$105*(1+International_Fuel_Surcharge),2),ROUND(((1-IntEconomyDiscount-IntEoncomyIncentive)*'Intl Economy Base'!B80)*(1+International_Fuel_Surcharge),2)))*(1+FedEx_Markup),2)</f>
        <v>144.16</v>
      </c>
      <c r="C83" s="295">
        <f>ROUND((IF('Intl Economy Base'!$C$105&gt;ROUND(((1-IntEconomyDiscount-IntEoncomyIncentive)*'Intl Economy Base'!C80),2),ROUND('Intl Economy Base'!$C$105*(1+International_Fuel_Surcharge),2),ROUND(((1-IntEconomyDiscount-IntEoncomyIncentive)*'Intl Economy Base'!C80)*(1+International_Fuel_Surcharge),2)))*(1+FedEx_Markup),2)</f>
        <v>150.48</v>
      </c>
      <c r="D83" s="295">
        <f>ROUND((IF('Intl Economy Base'!$D$105&gt;ROUND(((1-IntEconomyDiscount-IntEoncomyIncentive)*'Intl Economy Base'!D80),2),ROUND('Intl Economy Base'!$D$105*(1+International_Fuel_Surcharge),2),ROUND(((1-IntEconomyDiscount-IntEoncomyIncentive)*'Intl Economy Base'!D80)*(1+International_Fuel_Surcharge),2)))*(1+FedEx_Markup),2)</f>
        <v>106.7</v>
      </c>
      <c r="E83" s="295">
        <f>ROUND((IF('Intl Economy Base'!$E$105&gt;ROUND(((1-IntEconomyDiscount-IntEoncomyIncentive)*'Intl Economy Base'!E80),2),ROUND('Intl Economy Base'!$E$105*(1+International_Fuel_Surcharge),2),ROUND(((1-IntEconomyDiscount-IntEoncomyIncentive)*'Intl Economy Base'!E80)*(1+International_Fuel_Surcharge),2)))*(1+FedEx_Markup),2)</f>
        <v>201.38</v>
      </c>
      <c r="F83" s="295">
        <f>ROUND((IF('Intl Economy Base'!$F$105&gt;ROUND(((1-IntEconomyDiscount-IntEoncomyIncentive)*'Intl Economy Base'!F80),2),ROUND('Intl Economy Base'!$F$105*(1+International_Fuel_Surcharge),2),ROUND(((1-IntEconomyDiscount-IntEoncomyIncentive)*'Intl Economy Base'!F80)*(1+International_Fuel_Surcharge),2)))*(1+FedEx_Markup),2)</f>
        <v>365.85</v>
      </c>
      <c r="G83" s="295">
        <f>ROUND((IF('Intl Economy Base'!$G$105&gt;ROUND(((1-IntEconomyDiscount-IntEoncomyIncentive)*'Intl Economy Base'!G80),2),ROUND('Intl Economy Base'!$G$105*(1+International_Fuel_Surcharge),2),ROUND(((1-IntEconomyDiscount-IntEoncomyIncentive)*'Intl Economy Base'!G80)*(1+International_Fuel_Surcharge),2)))*(1+FedEx_Markup),2)</f>
        <v>226.01</v>
      </c>
      <c r="H83" s="295">
        <f>ROUND((IF('Intl Economy Base'!$H$105&gt;ROUND(((1-IntEconomyDiscount-IntEoncomyIncentive)*'Intl Economy Base'!H80),2),ROUND('Intl Economy Base'!$H$105*(1+International_Fuel_Surcharge),2),ROUND(((1-IntEconomyDiscount-IntEoncomyIncentive)*'Intl Economy Base'!H80)*(1+International_Fuel_Surcharge),2)))*(1+FedEx_Markup),2)</f>
        <v>216.89</v>
      </c>
      <c r="I83" s="295">
        <f>ROUND((IF('Intl Economy Base'!$I$105&gt;ROUND(((1-IntEconomyDiscount-IntEoncomyIncentive)*'Intl Economy Base'!I80),2),ROUND('Intl Economy Base'!$I$105*(1+International_Fuel_Surcharge),2),ROUND(((1-IntEconomyDiscount-IntEoncomyIncentive)*'Intl Economy Base'!I80)*(1+International_Fuel_Surcharge),2)))*(1+FedEx_Markup),2)</f>
        <v>247.8</v>
      </c>
      <c r="J83" s="295">
        <f>ROUND((IF('Intl Economy Base'!$J$105&gt;ROUND(((1-IntEconomyDiscount-IntEoncomyIncentive)*'Intl Economy Base'!J80),2),ROUND('Intl Economy Base'!$J$105*(1+International_Fuel_Surcharge),2),ROUND(((1-IntEconomyDiscount-IntEoncomyIncentive)*'Intl Economy Base'!J80)*(1+International_Fuel_Surcharge),2)))*(1+FedEx_Markup),2)</f>
        <v>156.8</v>
      </c>
      <c r="K83" s="295">
        <f>ROUND((IF('Intl Economy Base'!$K$105&gt;ROUND(((1-IntEconomyDiscount-IntEoncomyIncentive)*'Intl Economy Base'!K80),2),ROUND('Intl Economy Base'!$K$105*(1+International_Fuel_Surcharge),2),ROUND(((1-IntEconomyDiscount-IntEoncomyIncentive)*'Intl Economy Base'!K80)*(1+International_Fuel_Surcharge),2)))*(1+FedEx_Markup),2)</f>
        <v>318.22</v>
      </c>
      <c r="L83" s="295">
        <f>ROUND((IF('Intl Economy Base'!$L$105&gt;ROUND(((1-IntEconomyDiscount-IntEoncomyIncentive)*'Intl Economy Base'!L80),2),ROUND('Intl Economy Base'!$L$105*(1+International_Fuel_Surcharge),2),ROUND(((1-IntEconomyDiscount-IntEoncomyIncentive)*'Intl Economy Base'!L80)*(1+International_Fuel_Surcharge),2)))*(1+FedEx_Markup),2)</f>
        <v>267.92</v>
      </c>
      <c r="M83" s="295">
        <f>ROUND((IF('Intl Economy Base'!$M$105&gt;ROUND(((1-IntEconomyDiscount-IntEoncomyIncentive)*'Intl Economy Base'!M80),2),ROUND('Intl Economy Base'!$M$105*(1+International_Fuel_Surcharge),2),ROUND(((1-IntEconomyDiscount-IntEoncomyIncentive)*'Intl Economy Base'!M80)*(1+International_Fuel_Surcharge),2)))*(1+FedEx_Markup),2)</f>
        <v>329.61</v>
      </c>
      <c r="N83" s="295">
        <f>ROUND((IF('Intl Economy Base'!$N$105&gt;ROUND(((1-IntEconomyDiscount-IntEoncomyIncentive)*'Intl Economy Base'!N80),2),ROUND('Intl Economy Base'!$N$105*(1+International_Fuel_Surcharge),2),ROUND(((1-IntEconomyDiscount-IntEoncomyIncentive)*'Intl Economy Base'!N80)*(1+International_Fuel_Surcharge),2)))*(1+FedEx_Markup),2)</f>
        <v>335.65</v>
      </c>
      <c r="O83" s="295">
        <f>ROUND((IF('Intl Economy Base'!$O$105&gt;ROUND(((1-IntEconomyDiscount-IntEoncomyIncentive)*'Intl Economy Base'!O80),2),ROUND('Intl Economy Base'!$O$105*(1+International_Fuel_Surcharge),2),ROUND(((1-IntEconomyDiscount-IntEoncomyIncentive)*'Intl Economy Base'!O80)*(1+International_Fuel_Surcharge),2)))*(1+FedEx_Markup),2)</f>
        <v>237.52</v>
      </c>
      <c r="P83" s="295">
        <f>ROUND((IF('Intl Economy Base'!$P$105&gt;ROUND(((1-IntEconomyDiscount-IntEoncomyIncentive)*'Intl Economy Base'!P80),2),ROUND('Intl Economy Base'!$P$105*(1+International_Fuel_Surcharge),2),ROUND(((1-IntEconomyDiscount-IntEoncomyIncentive)*'Intl Economy Base'!P80)*(1+International_Fuel_Surcharge),2)))*(1+FedEx_Markup),2)</f>
        <v>289.41</v>
      </c>
      <c r="Q83" s="295">
        <f>ROUND((IF('Intl Economy Base'!$Q$105&gt;ROUND(((1-PuertoRicoDiscount)*'Intl Economy Base'!Q80),2),ROUND('Intl Economy Base'!$Q$105*(1+International_Fuel_Surcharge),2),ROUND(((1-PuertoRicoDiscount)*'Intl Economy Base'!Q80)*(1+International_Fuel_Surcharge),2)))*(1+FedEx_Markup),2)</f>
        <v>407.82</v>
      </c>
      <c r="R83" s="138"/>
      <c r="S83" s="138"/>
      <c r="T83" s="138"/>
      <c r="U83" s="138"/>
      <c r="V83" s="138"/>
      <c r="W83" s="138"/>
      <c r="X83" s="138"/>
      <c r="Y83" s="138"/>
      <c r="Z83" s="138"/>
    </row>
    <row r="84" ht="12.75" customHeight="1">
      <c r="A84" s="294">
        <v>120.0</v>
      </c>
      <c r="B84" s="295">
        <f>ROUND((IF('Intl Economy Base'!$B$105&gt;ROUND(((1-IntEconomyDiscount-IntEoncomyIncentive)*'Intl Economy Base'!B81),2),ROUND('Intl Economy Base'!$B$105*(1+International_Fuel_Surcharge),2),ROUND(((1-IntEconomyDiscount-IntEoncomyIncentive)*'Intl Economy Base'!B81)*(1+International_Fuel_Surcharge),2)))*(1+FedEx_Markup),2)</f>
        <v>144.22</v>
      </c>
      <c r="C84" s="295">
        <f>ROUND((IF('Intl Economy Base'!$C$105&gt;ROUND(((1-IntEconomyDiscount-IntEoncomyIncentive)*'Intl Economy Base'!C81),2),ROUND('Intl Economy Base'!$C$105*(1+International_Fuel_Surcharge),2),ROUND(((1-IntEconomyDiscount-IntEoncomyIncentive)*'Intl Economy Base'!C81)*(1+International_Fuel_Surcharge),2)))*(1+FedEx_Markup),2)</f>
        <v>150.52</v>
      </c>
      <c r="D84" s="295">
        <f>ROUND((IF('Intl Economy Base'!$D$105&gt;ROUND(((1-IntEconomyDiscount-IntEoncomyIncentive)*'Intl Economy Base'!D81),2),ROUND('Intl Economy Base'!$D$105*(1+International_Fuel_Surcharge),2),ROUND(((1-IntEconomyDiscount-IntEoncomyIncentive)*'Intl Economy Base'!D81)*(1+International_Fuel_Surcharge),2)))*(1+FedEx_Markup),2)</f>
        <v>108.25</v>
      </c>
      <c r="E84" s="295">
        <f>ROUND((IF('Intl Economy Base'!$E$105&gt;ROUND(((1-IntEconomyDiscount-IntEoncomyIncentive)*'Intl Economy Base'!E81),2),ROUND('Intl Economy Base'!$E$105*(1+International_Fuel_Surcharge),2),ROUND(((1-IntEconomyDiscount-IntEoncomyIncentive)*'Intl Economy Base'!E81)*(1+International_Fuel_Surcharge),2)))*(1+FedEx_Markup),2)</f>
        <v>201.43</v>
      </c>
      <c r="F84" s="295">
        <f>ROUND((IF('Intl Economy Base'!$F$105&gt;ROUND(((1-IntEconomyDiscount-IntEoncomyIncentive)*'Intl Economy Base'!F81),2),ROUND('Intl Economy Base'!$F$105*(1+International_Fuel_Surcharge),2),ROUND(((1-IntEconomyDiscount-IntEoncomyIncentive)*'Intl Economy Base'!F81)*(1+International_Fuel_Surcharge),2)))*(1+FedEx_Markup),2)</f>
        <v>365.9</v>
      </c>
      <c r="G84" s="295">
        <f>ROUND((IF('Intl Economy Base'!$G$105&gt;ROUND(((1-IntEconomyDiscount-IntEoncomyIncentive)*'Intl Economy Base'!G81),2),ROUND('Intl Economy Base'!$G$105*(1+International_Fuel_Surcharge),2),ROUND(((1-IntEconomyDiscount-IntEoncomyIncentive)*'Intl Economy Base'!G81)*(1+International_Fuel_Surcharge),2)))*(1+FedEx_Markup),2)</f>
        <v>226.64</v>
      </c>
      <c r="H84" s="295">
        <f>ROUND((IF('Intl Economy Base'!$H$105&gt;ROUND(((1-IntEconomyDiscount-IntEoncomyIncentive)*'Intl Economy Base'!H81),2),ROUND('Intl Economy Base'!$H$105*(1+International_Fuel_Surcharge),2),ROUND(((1-IntEconomyDiscount-IntEoncomyIncentive)*'Intl Economy Base'!H81)*(1+International_Fuel_Surcharge),2)))*(1+FedEx_Markup),2)</f>
        <v>218.35</v>
      </c>
      <c r="I84" s="295">
        <f>ROUND((IF('Intl Economy Base'!$I$105&gt;ROUND(((1-IntEconomyDiscount-IntEoncomyIncentive)*'Intl Economy Base'!I81),2),ROUND('Intl Economy Base'!$I$105*(1+International_Fuel_Surcharge),2),ROUND(((1-IntEconomyDiscount-IntEoncomyIncentive)*'Intl Economy Base'!I81)*(1+International_Fuel_Surcharge),2)))*(1+FedEx_Markup),2)</f>
        <v>247.85</v>
      </c>
      <c r="J84" s="295">
        <f>ROUND((IF('Intl Economy Base'!$J$105&gt;ROUND(((1-IntEconomyDiscount-IntEoncomyIncentive)*'Intl Economy Base'!J81),2),ROUND('Intl Economy Base'!$J$105*(1+International_Fuel_Surcharge),2),ROUND(((1-IntEconomyDiscount-IntEoncomyIncentive)*'Intl Economy Base'!J81)*(1+International_Fuel_Surcharge),2)))*(1+FedEx_Markup),2)</f>
        <v>156.86</v>
      </c>
      <c r="K84" s="295">
        <f>ROUND((IF('Intl Economy Base'!$K$105&gt;ROUND(((1-IntEconomyDiscount-IntEoncomyIncentive)*'Intl Economy Base'!K81),2),ROUND('Intl Economy Base'!$K$105*(1+International_Fuel_Surcharge),2),ROUND(((1-IntEconomyDiscount-IntEoncomyIncentive)*'Intl Economy Base'!K81)*(1+International_Fuel_Surcharge),2)))*(1+FedEx_Markup),2)</f>
        <v>318.31</v>
      </c>
      <c r="L84" s="295">
        <f>ROUND((IF('Intl Economy Base'!$L$105&gt;ROUND(((1-IntEconomyDiscount-IntEoncomyIncentive)*'Intl Economy Base'!L81),2),ROUND('Intl Economy Base'!$L$105*(1+International_Fuel_Surcharge),2),ROUND(((1-IntEconomyDiscount-IntEoncomyIncentive)*'Intl Economy Base'!L81)*(1+International_Fuel_Surcharge),2)))*(1+FedEx_Markup),2)</f>
        <v>267.97</v>
      </c>
      <c r="M84" s="295">
        <f>ROUND((IF('Intl Economy Base'!$M$105&gt;ROUND(((1-IntEconomyDiscount-IntEoncomyIncentive)*'Intl Economy Base'!M81),2),ROUND('Intl Economy Base'!$M$105*(1+International_Fuel_Surcharge),2),ROUND(((1-IntEconomyDiscount-IntEoncomyIncentive)*'Intl Economy Base'!M81)*(1+International_Fuel_Surcharge),2)))*(1+FedEx_Markup),2)</f>
        <v>346.92</v>
      </c>
      <c r="N84" s="295">
        <f>ROUND((IF('Intl Economy Base'!$N$105&gt;ROUND(((1-IntEconomyDiscount-IntEoncomyIncentive)*'Intl Economy Base'!N81),2),ROUND('Intl Economy Base'!$N$105*(1+International_Fuel_Surcharge),2),ROUND(((1-IntEconomyDiscount-IntEoncomyIncentive)*'Intl Economy Base'!N81)*(1+International_Fuel_Surcharge),2)))*(1+FedEx_Markup),2)</f>
        <v>336.97</v>
      </c>
      <c r="O84" s="295">
        <f>ROUND((IF('Intl Economy Base'!$O$105&gt;ROUND(((1-IntEconomyDiscount-IntEoncomyIncentive)*'Intl Economy Base'!O81),2),ROUND('Intl Economy Base'!$O$105*(1+International_Fuel_Surcharge),2),ROUND(((1-IntEconomyDiscount-IntEoncomyIncentive)*'Intl Economy Base'!O81)*(1+International_Fuel_Surcharge),2)))*(1+FedEx_Markup),2)</f>
        <v>237.58</v>
      </c>
      <c r="P84" s="295">
        <f>ROUND((IF('Intl Economy Base'!$P$105&gt;ROUND(((1-IntEconomyDiscount-IntEoncomyIncentive)*'Intl Economy Base'!P81),2),ROUND('Intl Economy Base'!$P$105*(1+International_Fuel_Surcharge),2),ROUND(((1-IntEconomyDiscount-IntEoncomyIncentive)*'Intl Economy Base'!P81)*(1+International_Fuel_Surcharge),2)))*(1+FedEx_Markup),2)</f>
        <v>289.46</v>
      </c>
      <c r="Q84" s="295">
        <f>ROUND((IF('Intl Economy Base'!$Q$105&gt;ROUND(((1-PuertoRicoDiscount)*'Intl Economy Base'!Q81),2),ROUND('Intl Economy Base'!$Q$105*(1+International_Fuel_Surcharge),2),ROUND(((1-PuertoRicoDiscount)*'Intl Economy Base'!Q81)*(1+International_Fuel_Surcharge),2)))*(1+FedEx_Markup),2)</f>
        <v>421.25</v>
      </c>
      <c r="R84" s="138"/>
      <c r="S84" s="138"/>
      <c r="T84" s="138"/>
      <c r="U84" s="138"/>
      <c r="V84" s="138"/>
      <c r="W84" s="138"/>
      <c r="X84" s="138"/>
      <c r="Y84" s="138"/>
      <c r="Z84" s="138"/>
    </row>
    <row r="85" ht="12.75" customHeight="1">
      <c r="A85" s="294">
        <v>125.0</v>
      </c>
      <c r="B85" s="295">
        <f>ROUND((IF('Intl Economy Base'!$B$105&gt;ROUND(((1-IntEconomyDiscount-IntEoncomyIncentive)*'Intl Economy Base'!B82),2),ROUND('Intl Economy Base'!$B$105*(1+International_Fuel_Surcharge),2),ROUND(((1-IntEconomyDiscount-IntEoncomyIncentive)*'Intl Economy Base'!B82)*(1+International_Fuel_Surcharge),2)))*(1+FedEx_Markup),2)</f>
        <v>144.27</v>
      </c>
      <c r="C85" s="295">
        <f>ROUND((IF('Intl Economy Base'!$C$105&gt;ROUND(((1-IntEconomyDiscount-IntEoncomyIncentive)*'Intl Economy Base'!C82),2),ROUND('Intl Economy Base'!$C$105*(1+International_Fuel_Surcharge),2),ROUND(((1-IntEconomyDiscount-IntEoncomyIncentive)*'Intl Economy Base'!C82)*(1+International_Fuel_Surcharge),2)))*(1+FedEx_Markup),2)</f>
        <v>150.57</v>
      </c>
      <c r="D85" s="295">
        <f>ROUND((IF('Intl Economy Base'!$D$105&gt;ROUND(((1-IntEconomyDiscount-IntEoncomyIncentive)*'Intl Economy Base'!D82),2),ROUND('Intl Economy Base'!$D$105*(1+International_Fuel_Surcharge),2),ROUND(((1-IntEconomyDiscount-IntEoncomyIncentive)*'Intl Economy Base'!D82)*(1+International_Fuel_Surcharge),2)))*(1+FedEx_Markup),2)</f>
        <v>108.41</v>
      </c>
      <c r="E85" s="295">
        <f>ROUND((IF('Intl Economy Base'!$E$105&gt;ROUND(((1-IntEconomyDiscount-IntEoncomyIncentive)*'Intl Economy Base'!E82),2),ROUND('Intl Economy Base'!$E$105*(1+International_Fuel_Surcharge),2),ROUND(((1-IntEconomyDiscount-IntEoncomyIncentive)*'Intl Economy Base'!E82)*(1+International_Fuel_Surcharge),2)))*(1+FedEx_Markup),2)</f>
        <v>201.5</v>
      </c>
      <c r="F85" s="295">
        <f>ROUND((IF('Intl Economy Base'!$F$105&gt;ROUND(((1-IntEconomyDiscount-IntEoncomyIncentive)*'Intl Economy Base'!F82),2),ROUND('Intl Economy Base'!$F$105*(1+International_Fuel_Surcharge),2),ROUND(((1-IntEconomyDiscount-IntEoncomyIncentive)*'Intl Economy Base'!F82)*(1+International_Fuel_Surcharge),2)))*(1+FedEx_Markup),2)</f>
        <v>365.95</v>
      </c>
      <c r="G85" s="295">
        <f>ROUND((IF('Intl Economy Base'!$G$105&gt;ROUND(((1-IntEconomyDiscount-IntEoncomyIncentive)*'Intl Economy Base'!G82),2),ROUND('Intl Economy Base'!$G$105*(1+International_Fuel_Surcharge),2),ROUND(((1-IntEconomyDiscount-IntEoncomyIncentive)*'Intl Economy Base'!G82)*(1+International_Fuel_Surcharge),2)))*(1+FedEx_Markup),2)</f>
        <v>226.7</v>
      </c>
      <c r="H85" s="295">
        <f>ROUND((IF('Intl Economy Base'!$H$105&gt;ROUND(((1-IntEconomyDiscount-IntEoncomyIncentive)*'Intl Economy Base'!H82),2),ROUND('Intl Economy Base'!$H$105*(1+International_Fuel_Surcharge),2),ROUND(((1-IntEconomyDiscount-IntEoncomyIncentive)*'Intl Economy Base'!H82)*(1+International_Fuel_Surcharge),2)))*(1+FedEx_Markup),2)</f>
        <v>218.5</v>
      </c>
      <c r="I85" s="295">
        <f>ROUND((IF('Intl Economy Base'!$I$105&gt;ROUND(((1-IntEconomyDiscount-IntEoncomyIncentive)*'Intl Economy Base'!I82),2),ROUND('Intl Economy Base'!$I$105*(1+International_Fuel_Surcharge),2),ROUND(((1-IntEconomyDiscount-IntEoncomyIncentive)*'Intl Economy Base'!I82)*(1+International_Fuel_Surcharge),2)))*(1+FedEx_Markup),2)</f>
        <v>247.91</v>
      </c>
      <c r="J85" s="295">
        <f>ROUND((IF('Intl Economy Base'!$J$105&gt;ROUND(((1-IntEconomyDiscount-IntEoncomyIncentive)*'Intl Economy Base'!J82),2),ROUND('Intl Economy Base'!$J$105*(1+International_Fuel_Surcharge),2),ROUND(((1-IntEconomyDiscount-IntEoncomyIncentive)*'Intl Economy Base'!J82)*(1+International_Fuel_Surcharge),2)))*(1+FedEx_Markup),2)</f>
        <v>156.93</v>
      </c>
      <c r="K85" s="295">
        <f>ROUND((IF('Intl Economy Base'!$K$105&gt;ROUND(((1-IntEconomyDiscount-IntEoncomyIncentive)*'Intl Economy Base'!K82),2),ROUND('Intl Economy Base'!$K$105*(1+International_Fuel_Surcharge),2),ROUND(((1-IntEconomyDiscount-IntEoncomyIncentive)*'Intl Economy Base'!K82)*(1+International_Fuel_Surcharge),2)))*(1+FedEx_Markup),2)</f>
        <v>318.37</v>
      </c>
      <c r="L85" s="295">
        <f>ROUND((IF('Intl Economy Base'!$L$105&gt;ROUND(((1-IntEconomyDiscount-IntEoncomyIncentive)*'Intl Economy Base'!L82),2),ROUND('Intl Economy Base'!$L$105*(1+International_Fuel_Surcharge),2),ROUND(((1-IntEconomyDiscount-IntEoncomyIncentive)*'Intl Economy Base'!L82)*(1+International_Fuel_Surcharge),2)))*(1+FedEx_Markup),2)</f>
        <v>268.04</v>
      </c>
      <c r="M85" s="295">
        <f>ROUND((IF('Intl Economy Base'!$M$105&gt;ROUND(((1-IntEconomyDiscount-IntEoncomyIncentive)*'Intl Economy Base'!M82),2),ROUND('Intl Economy Base'!$M$105*(1+International_Fuel_Surcharge),2),ROUND(((1-IntEconomyDiscount-IntEoncomyIncentive)*'Intl Economy Base'!M82)*(1+International_Fuel_Surcharge),2)))*(1+FedEx_Markup),2)</f>
        <v>348.66</v>
      </c>
      <c r="N85" s="295">
        <f>ROUND((IF('Intl Economy Base'!$N$105&gt;ROUND(((1-IntEconomyDiscount-IntEoncomyIncentive)*'Intl Economy Base'!N82),2),ROUND('Intl Economy Base'!$N$105*(1+International_Fuel_Surcharge),2),ROUND(((1-IntEconomyDiscount-IntEoncomyIncentive)*'Intl Economy Base'!N82)*(1+International_Fuel_Surcharge),2)))*(1+FedEx_Markup),2)</f>
        <v>363.31</v>
      </c>
      <c r="O85" s="295">
        <f>ROUND((IF('Intl Economy Base'!$O$105&gt;ROUND(((1-IntEconomyDiscount-IntEoncomyIncentive)*'Intl Economy Base'!O82),2),ROUND('Intl Economy Base'!$O$105*(1+International_Fuel_Surcharge),2),ROUND(((1-IntEconomyDiscount-IntEoncomyIncentive)*'Intl Economy Base'!O82)*(1+International_Fuel_Surcharge),2)))*(1+FedEx_Markup),2)</f>
        <v>237.64</v>
      </c>
      <c r="P85" s="295">
        <f>ROUND((IF('Intl Economy Base'!$P$105&gt;ROUND(((1-IntEconomyDiscount-IntEoncomyIncentive)*'Intl Economy Base'!P82),2),ROUND('Intl Economy Base'!$P$105*(1+International_Fuel_Surcharge),2),ROUND(((1-IntEconomyDiscount-IntEoncomyIncentive)*'Intl Economy Base'!P82)*(1+International_Fuel_Surcharge),2)))*(1+FedEx_Markup),2)</f>
        <v>289.51</v>
      </c>
      <c r="Q85" s="295">
        <f>ROUND((IF('Intl Economy Base'!$Q$105&gt;ROUND(((1-PuertoRicoDiscount)*'Intl Economy Base'!Q82),2),ROUND('Intl Economy Base'!$Q$105*(1+International_Fuel_Surcharge),2),ROUND(((1-PuertoRicoDiscount)*'Intl Economy Base'!Q82)*(1+International_Fuel_Surcharge),2)))*(1+FedEx_Markup),2)</f>
        <v>421.33</v>
      </c>
      <c r="R85" s="138"/>
      <c r="S85" s="138"/>
      <c r="T85" s="138"/>
      <c r="U85" s="138"/>
      <c r="V85" s="138"/>
      <c r="W85" s="138"/>
      <c r="X85" s="138"/>
      <c r="Y85" s="138"/>
      <c r="Z85" s="138"/>
    </row>
    <row r="86" ht="12.75" customHeight="1">
      <c r="A86" s="294">
        <v>130.0</v>
      </c>
      <c r="B86" s="295">
        <f>ROUND((IF('Intl Economy Base'!$B$105&gt;ROUND(((1-IntEconomyDiscount-IntEoncomyIncentive)*'Intl Economy Base'!B83),2),ROUND('Intl Economy Base'!$B$105*(1+International_Fuel_Surcharge),2),ROUND(((1-IntEconomyDiscount-IntEoncomyIncentive)*'Intl Economy Base'!B83)*(1+International_Fuel_Surcharge),2)))*(1+FedEx_Markup),2)</f>
        <v>144.33</v>
      </c>
      <c r="C86" s="295">
        <f>ROUND((IF('Intl Economy Base'!$C$105&gt;ROUND(((1-IntEconomyDiscount-IntEoncomyIncentive)*'Intl Economy Base'!C83),2),ROUND('Intl Economy Base'!$C$105*(1+International_Fuel_Surcharge),2),ROUND(((1-IntEconomyDiscount-IntEoncomyIncentive)*'Intl Economy Base'!C83)*(1+International_Fuel_Surcharge),2)))*(1+FedEx_Markup),2)</f>
        <v>150.63</v>
      </c>
      <c r="D86" s="295">
        <f>ROUND((IF('Intl Economy Base'!$D$105&gt;ROUND(((1-IntEconomyDiscount-IntEoncomyIncentive)*'Intl Economy Base'!D83),2),ROUND('Intl Economy Base'!$D$105*(1+International_Fuel_Surcharge),2),ROUND(((1-IntEconomyDiscount-IntEoncomyIncentive)*'Intl Economy Base'!D83)*(1+International_Fuel_Surcharge),2)))*(1+FedEx_Markup),2)</f>
        <v>108.46</v>
      </c>
      <c r="E86" s="295">
        <f>ROUND((IF('Intl Economy Base'!$E$105&gt;ROUND(((1-IntEconomyDiscount-IntEoncomyIncentive)*'Intl Economy Base'!E83),2),ROUND('Intl Economy Base'!$E$105*(1+International_Fuel_Surcharge),2),ROUND(((1-IntEconomyDiscount-IntEoncomyIncentive)*'Intl Economy Base'!E83)*(1+International_Fuel_Surcharge),2)))*(1+FedEx_Markup),2)</f>
        <v>201.65</v>
      </c>
      <c r="F86" s="295">
        <f>ROUND((IF('Intl Economy Base'!$F$105&gt;ROUND(((1-IntEconomyDiscount-IntEoncomyIncentive)*'Intl Economy Base'!F83),2),ROUND('Intl Economy Base'!$F$105*(1+International_Fuel_Surcharge),2),ROUND(((1-IntEconomyDiscount-IntEoncomyIncentive)*'Intl Economy Base'!F83)*(1+International_Fuel_Surcharge),2)))*(1+FedEx_Markup),2)</f>
        <v>366</v>
      </c>
      <c r="G86" s="295">
        <f>ROUND((IF('Intl Economy Base'!$G$105&gt;ROUND(((1-IntEconomyDiscount-IntEoncomyIncentive)*'Intl Economy Base'!G83),2),ROUND('Intl Economy Base'!$G$105*(1+International_Fuel_Surcharge),2),ROUND(((1-IntEconomyDiscount-IntEoncomyIncentive)*'Intl Economy Base'!G83)*(1+International_Fuel_Surcharge),2)))*(1+FedEx_Markup),2)</f>
        <v>226.77</v>
      </c>
      <c r="H86" s="295">
        <f>ROUND((IF('Intl Economy Base'!$H$105&gt;ROUND(((1-IntEconomyDiscount-IntEoncomyIncentive)*'Intl Economy Base'!H83),2),ROUND('Intl Economy Base'!$H$105*(1+International_Fuel_Surcharge),2),ROUND(((1-IntEconomyDiscount-IntEoncomyIncentive)*'Intl Economy Base'!H83)*(1+International_Fuel_Surcharge),2)))*(1+FedEx_Markup),2)</f>
        <v>219.89</v>
      </c>
      <c r="I86" s="295">
        <f>ROUND((IF('Intl Economy Base'!$I$105&gt;ROUND(((1-IntEconomyDiscount-IntEoncomyIncentive)*'Intl Economy Base'!I83),2),ROUND('Intl Economy Base'!$I$105*(1+International_Fuel_Surcharge),2),ROUND(((1-IntEconomyDiscount-IntEoncomyIncentive)*'Intl Economy Base'!I83)*(1+International_Fuel_Surcharge),2)))*(1+FedEx_Markup),2)</f>
        <v>247.96</v>
      </c>
      <c r="J86" s="295">
        <f>ROUND((IF('Intl Economy Base'!$J$105&gt;ROUND(((1-IntEconomyDiscount-IntEoncomyIncentive)*'Intl Economy Base'!J83),2),ROUND('Intl Economy Base'!$J$105*(1+International_Fuel_Surcharge),2),ROUND(((1-IntEconomyDiscount-IntEoncomyIncentive)*'Intl Economy Base'!J83)*(1+International_Fuel_Surcharge),2)))*(1+FedEx_Markup),2)</f>
        <v>158.08</v>
      </c>
      <c r="K86" s="295">
        <f>ROUND((IF('Intl Economy Base'!$K$105&gt;ROUND(((1-IntEconomyDiscount-IntEoncomyIncentive)*'Intl Economy Base'!K83),2),ROUND('Intl Economy Base'!$K$105*(1+International_Fuel_Surcharge),2),ROUND(((1-IntEconomyDiscount-IntEoncomyIncentive)*'Intl Economy Base'!K83)*(1+International_Fuel_Surcharge),2)))*(1+FedEx_Markup),2)</f>
        <v>318.42</v>
      </c>
      <c r="L86" s="295">
        <f>ROUND((IF('Intl Economy Base'!$L$105&gt;ROUND(((1-IntEconomyDiscount-IntEoncomyIncentive)*'Intl Economy Base'!L83),2),ROUND('Intl Economy Base'!$L$105*(1+International_Fuel_Surcharge),2),ROUND(((1-IntEconomyDiscount-IntEoncomyIncentive)*'Intl Economy Base'!L83)*(1+International_Fuel_Surcharge),2)))*(1+FedEx_Markup),2)</f>
        <v>268.1</v>
      </c>
      <c r="M86" s="295">
        <f>ROUND((IF('Intl Economy Base'!$M$105&gt;ROUND(((1-IntEconomyDiscount-IntEoncomyIncentive)*'Intl Economy Base'!M83),2),ROUND('Intl Economy Base'!$M$105*(1+International_Fuel_Surcharge),2),ROUND(((1-IntEconomyDiscount-IntEoncomyIncentive)*'Intl Economy Base'!M83)*(1+International_Fuel_Surcharge),2)))*(1+FedEx_Markup),2)</f>
        <v>348.83</v>
      </c>
      <c r="N86" s="295">
        <f>ROUND((IF('Intl Economy Base'!$N$105&gt;ROUND(((1-IntEconomyDiscount-IntEoncomyIncentive)*'Intl Economy Base'!N83),2),ROUND('Intl Economy Base'!$N$105*(1+International_Fuel_Surcharge),2),ROUND(((1-IntEconomyDiscount-IntEoncomyIncentive)*'Intl Economy Base'!N83)*(1+International_Fuel_Surcharge),2)))*(1+FedEx_Markup),2)</f>
        <v>366.07</v>
      </c>
      <c r="O86" s="295">
        <f>ROUND((IF('Intl Economy Base'!$O$105&gt;ROUND(((1-IntEconomyDiscount-IntEoncomyIncentive)*'Intl Economy Base'!O83),2),ROUND('Intl Economy Base'!$O$105*(1+International_Fuel_Surcharge),2),ROUND(((1-IntEconomyDiscount-IntEoncomyIncentive)*'Intl Economy Base'!O83)*(1+International_Fuel_Surcharge),2)))*(1+FedEx_Markup),2)</f>
        <v>237.69</v>
      </c>
      <c r="P86" s="295">
        <f>ROUND((IF('Intl Economy Base'!$P$105&gt;ROUND(((1-IntEconomyDiscount-IntEoncomyIncentive)*'Intl Economy Base'!P83),2),ROUND('Intl Economy Base'!$P$105*(1+International_Fuel_Surcharge),2),ROUND(((1-IntEconomyDiscount-IntEoncomyIncentive)*'Intl Economy Base'!P83)*(1+International_Fuel_Surcharge),2)))*(1+FedEx_Markup),2)</f>
        <v>289.56</v>
      </c>
      <c r="Q86" s="295">
        <f>ROUND((IF('Intl Economy Base'!$Q$105&gt;ROUND(((1-PuertoRicoDiscount)*'Intl Economy Base'!Q83),2),ROUND('Intl Economy Base'!$Q$105*(1+International_Fuel_Surcharge),2),ROUND(((1-PuertoRicoDiscount)*'Intl Economy Base'!Q83)*(1+International_Fuel_Surcharge),2)))*(1+FedEx_Markup),2)</f>
        <v>421.97</v>
      </c>
      <c r="R86" s="138"/>
      <c r="S86" s="138"/>
      <c r="T86" s="138"/>
      <c r="U86" s="138"/>
      <c r="V86" s="138"/>
      <c r="W86" s="138"/>
      <c r="X86" s="138"/>
      <c r="Y86" s="138"/>
      <c r="Z86" s="138"/>
    </row>
    <row r="87" ht="12.75" customHeight="1">
      <c r="A87" s="294">
        <v>135.0</v>
      </c>
      <c r="B87" s="295">
        <f>ROUND((IF('Intl Economy Base'!$B$105&gt;ROUND(((1-IntEconomyDiscount-IntEoncomyIncentive)*'Intl Economy Base'!B84),2),ROUND('Intl Economy Base'!$B$105*(1+International_Fuel_Surcharge),2),ROUND(((1-IntEconomyDiscount-IntEoncomyIncentive)*'Intl Economy Base'!B84)*(1+International_Fuel_Surcharge),2)))*(1+FedEx_Markup),2)</f>
        <v>144.37</v>
      </c>
      <c r="C87" s="295">
        <f>ROUND((IF('Intl Economy Base'!$C$105&gt;ROUND(((1-IntEconomyDiscount-IntEoncomyIncentive)*'Intl Economy Base'!C84),2),ROUND('Intl Economy Base'!$C$105*(1+International_Fuel_Surcharge),2),ROUND(((1-IntEconomyDiscount-IntEoncomyIncentive)*'Intl Economy Base'!C84)*(1+International_Fuel_Surcharge),2)))*(1+FedEx_Markup),2)</f>
        <v>150.67</v>
      </c>
      <c r="D87" s="295">
        <f>ROUND((IF('Intl Economy Base'!$D$105&gt;ROUND(((1-IntEconomyDiscount-IntEoncomyIncentive)*'Intl Economy Base'!D84),2),ROUND('Intl Economy Base'!$D$105*(1+International_Fuel_Surcharge),2),ROUND(((1-IntEconomyDiscount-IntEoncomyIncentive)*'Intl Economy Base'!D84)*(1+International_Fuel_Surcharge),2)))*(1+FedEx_Markup),2)</f>
        <v>108.56</v>
      </c>
      <c r="E87" s="295">
        <f>ROUND((IF('Intl Economy Base'!$E$105&gt;ROUND(((1-IntEconomyDiscount-IntEoncomyIncentive)*'Intl Economy Base'!E84),2),ROUND('Intl Economy Base'!$E$105*(1+International_Fuel_Surcharge),2),ROUND(((1-IntEconomyDiscount-IntEoncomyIncentive)*'Intl Economy Base'!E84)*(1+International_Fuel_Surcharge),2)))*(1+FedEx_Markup),2)</f>
        <v>204.59</v>
      </c>
      <c r="F87" s="295">
        <f>ROUND((IF('Intl Economy Base'!$F$105&gt;ROUND(((1-IntEconomyDiscount-IntEoncomyIncentive)*'Intl Economy Base'!F84),2),ROUND('Intl Economy Base'!$F$105*(1+International_Fuel_Surcharge),2),ROUND(((1-IntEconomyDiscount-IntEoncomyIncentive)*'Intl Economy Base'!F84)*(1+International_Fuel_Surcharge),2)))*(1+FedEx_Markup),2)</f>
        <v>366.06</v>
      </c>
      <c r="G87" s="295">
        <f>ROUND((IF('Intl Economy Base'!$G$105&gt;ROUND(((1-IntEconomyDiscount-IntEoncomyIncentive)*'Intl Economy Base'!G84),2),ROUND('Intl Economy Base'!$G$105*(1+International_Fuel_Surcharge),2),ROUND(((1-IntEconomyDiscount-IntEoncomyIncentive)*'Intl Economy Base'!G84)*(1+International_Fuel_Surcharge),2)))*(1+FedEx_Markup),2)</f>
        <v>226.81</v>
      </c>
      <c r="H87" s="295">
        <f>ROUND((IF('Intl Economy Base'!$H$105&gt;ROUND(((1-IntEconomyDiscount-IntEoncomyIncentive)*'Intl Economy Base'!H84),2),ROUND('Intl Economy Base'!$H$105*(1+International_Fuel_Surcharge),2),ROUND(((1-IntEconomyDiscount-IntEoncomyIncentive)*'Intl Economy Base'!H84)*(1+International_Fuel_Surcharge),2)))*(1+FedEx_Markup),2)</f>
        <v>220.03</v>
      </c>
      <c r="I87" s="295">
        <f>ROUND((IF('Intl Economy Base'!$I$105&gt;ROUND(((1-IntEconomyDiscount-IntEoncomyIncentive)*'Intl Economy Base'!I84),2),ROUND('Intl Economy Base'!$I$105*(1+International_Fuel_Surcharge),2),ROUND(((1-IntEconomyDiscount-IntEoncomyIncentive)*'Intl Economy Base'!I84)*(1+International_Fuel_Surcharge),2)))*(1+FedEx_Markup),2)</f>
        <v>248.02</v>
      </c>
      <c r="J87" s="295">
        <f>ROUND((IF('Intl Economy Base'!$J$105&gt;ROUND(((1-IntEconomyDiscount-IntEoncomyIncentive)*'Intl Economy Base'!J84),2),ROUND('Intl Economy Base'!$J$105*(1+International_Fuel_Surcharge),2),ROUND(((1-IntEconomyDiscount-IntEoncomyIncentive)*'Intl Economy Base'!J84)*(1+International_Fuel_Surcharge),2)))*(1+FedEx_Markup),2)</f>
        <v>161.08</v>
      </c>
      <c r="K87" s="295">
        <f>ROUND((IF('Intl Economy Base'!$K$105&gt;ROUND(((1-IntEconomyDiscount-IntEoncomyIncentive)*'Intl Economy Base'!K84),2),ROUND('Intl Economy Base'!$K$105*(1+International_Fuel_Surcharge),2),ROUND(((1-IntEconomyDiscount-IntEoncomyIncentive)*'Intl Economy Base'!K84)*(1+International_Fuel_Surcharge),2)))*(1+FedEx_Markup),2)</f>
        <v>318.48</v>
      </c>
      <c r="L87" s="295">
        <f>ROUND((IF('Intl Economy Base'!$L$105&gt;ROUND(((1-IntEconomyDiscount-IntEoncomyIncentive)*'Intl Economy Base'!L84),2),ROUND('Intl Economy Base'!$L$105*(1+International_Fuel_Surcharge),2),ROUND(((1-IntEconomyDiscount-IntEoncomyIncentive)*'Intl Economy Base'!L84)*(1+International_Fuel_Surcharge),2)))*(1+FedEx_Markup),2)</f>
        <v>268.16</v>
      </c>
      <c r="M87" s="295">
        <f>ROUND((IF('Intl Economy Base'!$M$105&gt;ROUND(((1-IntEconomyDiscount-IntEoncomyIncentive)*'Intl Economy Base'!M84),2),ROUND('Intl Economy Base'!$M$105*(1+International_Fuel_Surcharge),2),ROUND(((1-IntEconomyDiscount-IntEoncomyIncentive)*'Intl Economy Base'!M84)*(1+International_Fuel_Surcharge),2)))*(1+FedEx_Markup),2)</f>
        <v>348.93</v>
      </c>
      <c r="N87" s="295">
        <f>ROUND((IF('Intl Economy Base'!$N$105&gt;ROUND(((1-IntEconomyDiscount-IntEoncomyIncentive)*'Intl Economy Base'!N84),2),ROUND('Intl Economy Base'!$N$105*(1+International_Fuel_Surcharge),2),ROUND(((1-IntEconomyDiscount-IntEoncomyIncentive)*'Intl Economy Base'!N84)*(1+International_Fuel_Surcharge),2)))*(1+FedEx_Markup),2)</f>
        <v>366.34</v>
      </c>
      <c r="O87" s="295">
        <f>ROUND((IF('Intl Economy Base'!$O$105&gt;ROUND(((1-IntEconomyDiscount-IntEoncomyIncentive)*'Intl Economy Base'!O84),2),ROUND('Intl Economy Base'!$O$105*(1+International_Fuel_Surcharge),2),ROUND(((1-IntEconomyDiscount-IntEoncomyIncentive)*'Intl Economy Base'!O84)*(1+International_Fuel_Surcharge),2)))*(1+FedEx_Markup),2)</f>
        <v>237.76</v>
      </c>
      <c r="P87" s="295">
        <f>ROUND((IF('Intl Economy Base'!$P$105&gt;ROUND(((1-IntEconomyDiscount-IntEoncomyIncentive)*'Intl Economy Base'!P84),2),ROUND('Intl Economy Base'!$P$105*(1+International_Fuel_Surcharge),2),ROUND(((1-IntEconomyDiscount-IntEoncomyIncentive)*'Intl Economy Base'!P84)*(1+International_Fuel_Surcharge),2)))*(1+FedEx_Markup),2)</f>
        <v>289.62</v>
      </c>
      <c r="Q87" s="295">
        <f>ROUND((IF('Intl Economy Base'!$Q$105&gt;ROUND(((1-PuertoRicoDiscount)*'Intl Economy Base'!Q84),2),ROUND('Intl Economy Base'!$Q$105*(1+International_Fuel_Surcharge),2),ROUND(((1-PuertoRicoDiscount)*'Intl Economy Base'!Q84)*(1+International_Fuel_Surcharge),2)))*(1+FedEx_Markup),2)</f>
        <v>440.55</v>
      </c>
      <c r="R87" s="138"/>
      <c r="S87" s="138"/>
      <c r="T87" s="138"/>
      <c r="U87" s="138"/>
      <c r="V87" s="138"/>
      <c r="W87" s="138"/>
      <c r="X87" s="138"/>
      <c r="Y87" s="138"/>
      <c r="Z87" s="138"/>
    </row>
    <row r="88" ht="12.75" customHeight="1">
      <c r="A88" s="294">
        <v>140.0</v>
      </c>
      <c r="B88" s="295">
        <f>ROUND((IF('Intl Economy Base'!$B$105&gt;ROUND(((1-IntEconomyDiscount-IntEoncomyIncentive)*'Intl Economy Base'!B85),2),ROUND('Intl Economy Base'!$B$105*(1+International_Fuel_Surcharge),2),ROUND(((1-IntEconomyDiscount-IntEoncomyIncentive)*'Intl Economy Base'!B85)*(1+International_Fuel_Surcharge),2)))*(1+FedEx_Markup),2)</f>
        <v>144.43</v>
      </c>
      <c r="C88" s="295">
        <f>ROUND((IF('Intl Economy Base'!$C$105&gt;ROUND(((1-IntEconomyDiscount-IntEoncomyIncentive)*'Intl Economy Base'!C85),2),ROUND('Intl Economy Base'!$C$105*(1+International_Fuel_Surcharge),2),ROUND(((1-IntEconomyDiscount-IntEoncomyIncentive)*'Intl Economy Base'!C85)*(1+International_Fuel_Surcharge),2)))*(1+FedEx_Markup),2)</f>
        <v>150.72</v>
      </c>
      <c r="D88" s="295">
        <f>ROUND((IF('Intl Economy Base'!$D$105&gt;ROUND(((1-IntEconomyDiscount-IntEoncomyIncentive)*'Intl Economy Base'!D85),2),ROUND('Intl Economy Base'!$D$105*(1+International_Fuel_Surcharge),2),ROUND(((1-IntEconomyDiscount-IntEoncomyIncentive)*'Intl Economy Base'!D85)*(1+International_Fuel_Surcharge),2)))*(1+FedEx_Markup),2)</f>
        <v>110.41</v>
      </c>
      <c r="E88" s="295">
        <f>ROUND((IF('Intl Economy Base'!$E$105&gt;ROUND(((1-IntEconomyDiscount-IntEoncomyIncentive)*'Intl Economy Base'!E85),2),ROUND('Intl Economy Base'!$E$105*(1+International_Fuel_Surcharge),2),ROUND(((1-IntEconomyDiscount-IntEoncomyIncentive)*'Intl Economy Base'!E85)*(1+International_Fuel_Surcharge),2)))*(1+FedEx_Markup),2)</f>
        <v>204.88</v>
      </c>
      <c r="F88" s="295">
        <f>ROUND((IF('Intl Economy Base'!$F$105&gt;ROUND(((1-IntEconomyDiscount-IntEoncomyIncentive)*'Intl Economy Base'!F85),2),ROUND('Intl Economy Base'!$F$105*(1+International_Fuel_Surcharge),2),ROUND(((1-IntEconomyDiscount-IntEoncomyIncentive)*'Intl Economy Base'!F85)*(1+International_Fuel_Surcharge),2)))*(1+FedEx_Markup),2)</f>
        <v>366.13</v>
      </c>
      <c r="G88" s="295">
        <f>ROUND((IF('Intl Economy Base'!$G$105&gt;ROUND(((1-IntEconomyDiscount-IntEoncomyIncentive)*'Intl Economy Base'!G85),2),ROUND('Intl Economy Base'!$G$105*(1+International_Fuel_Surcharge),2),ROUND(((1-IntEconomyDiscount-IntEoncomyIncentive)*'Intl Economy Base'!G85)*(1+International_Fuel_Surcharge),2)))*(1+FedEx_Markup),2)</f>
        <v>226.87</v>
      </c>
      <c r="H88" s="295">
        <f>ROUND((IF('Intl Economy Base'!$H$105&gt;ROUND(((1-IntEconomyDiscount-IntEoncomyIncentive)*'Intl Economy Base'!H85),2),ROUND('Intl Economy Base'!$H$105*(1+International_Fuel_Surcharge),2),ROUND(((1-IntEconomyDiscount-IntEoncomyIncentive)*'Intl Economy Base'!H85)*(1+International_Fuel_Surcharge),2)))*(1+FedEx_Markup),2)</f>
        <v>220.29</v>
      </c>
      <c r="I88" s="295">
        <f>ROUND((IF('Intl Economy Base'!$I$105&gt;ROUND(((1-IntEconomyDiscount-IntEoncomyIncentive)*'Intl Economy Base'!I85),2),ROUND('Intl Economy Base'!$I$105*(1+International_Fuel_Surcharge),2),ROUND(((1-IntEconomyDiscount-IntEoncomyIncentive)*'Intl Economy Base'!I85)*(1+International_Fuel_Surcharge),2)))*(1+FedEx_Markup),2)</f>
        <v>248.08</v>
      </c>
      <c r="J88" s="295">
        <f>ROUND((IF('Intl Economy Base'!$J$105&gt;ROUND(((1-IntEconomyDiscount-IntEoncomyIncentive)*'Intl Economy Base'!J85),2),ROUND('Intl Economy Base'!$J$105*(1+International_Fuel_Surcharge),2),ROUND(((1-IntEconomyDiscount-IntEoncomyIncentive)*'Intl Economy Base'!J85)*(1+International_Fuel_Surcharge),2)))*(1+FedEx_Markup),2)</f>
        <v>161.38</v>
      </c>
      <c r="K88" s="295">
        <f>ROUND((IF('Intl Economy Base'!$K$105&gt;ROUND(((1-IntEconomyDiscount-IntEoncomyIncentive)*'Intl Economy Base'!K85),2),ROUND('Intl Economy Base'!$K$105*(1+International_Fuel_Surcharge),2),ROUND(((1-IntEconomyDiscount-IntEoncomyIncentive)*'Intl Economy Base'!K85)*(1+International_Fuel_Surcharge),2)))*(1+FedEx_Markup),2)</f>
        <v>318.53</v>
      </c>
      <c r="L88" s="295">
        <f>ROUND((IF('Intl Economy Base'!$L$105&gt;ROUND(((1-IntEconomyDiscount-IntEoncomyIncentive)*'Intl Economy Base'!L85),2),ROUND('Intl Economy Base'!$L$105*(1+International_Fuel_Surcharge),2),ROUND(((1-IntEconomyDiscount-IntEoncomyIncentive)*'Intl Economy Base'!L85)*(1+International_Fuel_Surcharge),2)))*(1+FedEx_Markup),2)</f>
        <v>268.21</v>
      </c>
      <c r="M88" s="295">
        <f>ROUND((IF('Intl Economy Base'!$M$105&gt;ROUND(((1-IntEconomyDiscount-IntEoncomyIncentive)*'Intl Economy Base'!M85),2),ROUND('Intl Economy Base'!$M$105*(1+International_Fuel_Surcharge),2),ROUND(((1-IntEconomyDiscount-IntEoncomyIncentive)*'Intl Economy Base'!M85)*(1+International_Fuel_Surcharge),2)))*(1+FedEx_Markup),2)</f>
        <v>349</v>
      </c>
      <c r="N88" s="295">
        <f>ROUND((IF('Intl Economy Base'!$N$105&gt;ROUND(((1-IntEconomyDiscount-IntEoncomyIncentive)*'Intl Economy Base'!N85),2),ROUND('Intl Economy Base'!$N$105*(1+International_Fuel_Surcharge),2),ROUND(((1-IntEconomyDiscount-IntEoncomyIncentive)*'Intl Economy Base'!N85)*(1+International_Fuel_Surcharge),2)))*(1+FedEx_Markup),2)</f>
        <v>366.4</v>
      </c>
      <c r="O88" s="295">
        <f>ROUND((IF('Intl Economy Base'!$O$105&gt;ROUND(((1-IntEconomyDiscount-IntEoncomyIncentive)*'Intl Economy Base'!O85),2),ROUND('Intl Economy Base'!$O$105*(1+International_Fuel_Surcharge),2),ROUND(((1-IntEconomyDiscount-IntEoncomyIncentive)*'Intl Economy Base'!O85)*(1+International_Fuel_Surcharge),2)))*(1+FedEx_Markup),2)</f>
        <v>237.82</v>
      </c>
      <c r="P88" s="295">
        <f>ROUND((IF('Intl Economy Base'!$P$105&gt;ROUND(((1-IntEconomyDiscount-IntEoncomyIncentive)*'Intl Economy Base'!P85),2),ROUND('Intl Economy Base'!$P$105*(1+International_Fuel_Surcharge),2),ROUND(((1-IntEconomyDiscount-IntEoncomyIncentive)*'Intl Economy Base'!P85)*(1+International_Fuel_Surcharge),2)))*(1+FedEx_Markup),2)</f>
        <v>289.66</v>
      </c>
      <c r="Q88" s="295">
        <f>ROUND((IF('Intl Economy Base'!$Q$105&gt;ROUND(((1-PuertoRicoDiscount)*'Intl Economy Base'!Q85),2),ROUND('Intl Economy Base'!$Q$105*(1+International_Fuel_Surcharge),2),ROUND(((1-PuertoRicoDiscount)*'Intl Economy Base'!Q85)*(1+International_Fuel_Surcharge),2)))*(1+FedEx_Markup),2)</f>
        <v>443.84</v>
      </c>
      <c r="R88" s="138"/>
      <c r="S88" s="138"/>
      <c r="T88" s="138"/>
      <c r="U88" s="138"/>
      <c r="V88" s="138"/>
      <c r="W88" s="138"/>
      <c r="X88" s="138"/>
      <c r="Y88" s="138"/>
      <c r="Z88" s="138"/>
    </row>
    <row r="89" ht="12.75" customHeight="1">
      <c r="A89" s="294">
        <v>145.0</v>
      </c>
      <c r="B89" s="295">
        <f>ROUND((IF('Intl Economy Base'!$B$105&gt;ROUND(((1-IntEconomyDiscount-IntEoncomyIncentive)*'Intl Economy Base'!B86),2),ROUND('Intl Economy Base'!$B$105*(1+International_Fuel_Surcharge),2),ROUND(((1-IntEconomyDiscount-IntEoncomyIncentive)*'Intl Economy Base'!B86)*(1+International_Fuel_Surcharge),2)))*(1+FedEx_Markup),2)</f>
        <v>144.47</v>
      </c>
      <c r="C89" s="295">
        <f>ROUND((IF('Intl Economy Base'!$C$105&gt;ROUND(((1-IntEconomyDiscount-IntEoncomyIncentive)*'Intl Economy Base'!C86),2),ROUND('Intl Economy Base'!$C$105*(1+International_Fuel_Surcharge),2),ROUND(((1-IntEconomyDiscount-IntEoncomyIncentive)*'Intl Economy Base'!C86)*(1+International_Fuel_Surcharge),2)))*(1+FedEx_Markup),2)</f>
        <v>150.77</v>
      </c>
      <c r="D89" s="295">
        <f>ROUND((IF('Intl Economy Base'!$D$105&gt;ROUND(((1-IntEconomyDiscount-IntEoncomyIncentive)*'Intl Economy Base'!D86),2),ROUND('Intl Economy Base'!$D$105*(1+International_Fuel_Surcharge),2),ROUND(((1-IntEconomyDiscount-IntEoncomyIncentive)*'Intl Economy Base'!D86)*(1+International_Fuel_Surcharge),2)))*(1+FedEx_Markup),2)</f>
        <v>110.61</v>
      </c>
      <c r="E89" s="295">
        <f>ROUND((IF('Intl Economy Base'!$E$105&gt;ROUND(((1-IntEconomyDiscount-IntEoncomyIncentive)*'Intl Economy Base'!E86),2),ROUND('Intl Economy Base'!$E$105*(1+International_Fuel_Surcharge),2),ROUND(((1-IntEconomyDiscount-IntEoncomyIncentive)*'Intl Economy Base'!E86)*(1+International_Fuel_Surcharge),2)))*(1+FedEx_Markup),2)</f>
        <v>205.19</v>
      </c>
      <c r="F89" s="295">
        <f>ROUND((IF('Intl Economy Base'!$F$105&gt;ROUND(((1-IntEconomyDiscount-IntEoncomyIncentive)*'Intl Economy Base'!F86),2),ROUND('Intl Economy Base'!$F$105*(1+International_Fuel_Surcharge),2),ROUND(((1-IntEconomyDiscount-IntEoncomyIncentive)*'Intl Economy Base'!F86)*(1+International_Fuel_Surcharge),2)))*(1+FedEx_Markup),2)</f>
        <v>366.18</v>
      </c>
      <c r="G89" s="295">
        <f>ROUND((IF('Intl Economy Base'!$G$105&gt;ROUND(((1-IntEconomyDiscount-IntEoncomyIncentive)*'Intl Economy Base'!G86),2),ROUND('Intl Economy Base'!$G$105*(1+International_Fuel_Surcharge),2),ROUND(((1-IntEconomyDiscount-IntEoncomyIncentive)*'Intl Economy Base'!G86)*(1+International_Fuel_Surcharge),2)))*(1+FedEx_Markup),2)</f>
        <v>226.92</v>
      </c>
      <c r="H89" s="295">
        <f>ROUND((IF('Intl Economy Base'!$H$105&gt;ROUND(((1-IntEconomyDiscount-IntEoncomyIncentive)*'Intl Economy Base'!H86),2),ROUND('Intl Economy Base'!$H$105*(1+International_Fuel_Surcharge),2),ROUND(((1-IntEconomyDiscount-IntEoncomyIncentive)*'Intl Economy Base'!H86)*(1+International_Fuel_Surcharge),2)))*(1+FedEx_Markup),2)</f>
        <v>225.66</v>
      </c>
      <c r="I89" s="295">
        <f>ROUND((IF('Intl Economy Base'!$I$105&gt;ROUND(((1-IntEconomyDiscount-IntEoncomyIncentive)*'Intl Economy Base'!I86),2),ROUND('Intl Economy Base'!$I$105*(1+International_Fuel_Surcharge),2),ROUND(((1-IntEconomyDiscount-IntEoncomyIncentive)*'Intl Economy Base'!I86)*(1+International_Fuel_Surcharge),2)))*(1+FedEx_Markup),2)</f>
        <v>248.12</v>
      </c>
      <c r="J89" s="295">
        <f>ROUND((IF('Intl Economy Base'!$J$105&gt;ROUND(((1-IntEconomyDiscount-IntEoncomyIncentive)*'Intl Economy Base'!J86),2),ROUND('Intl Economy Base'!$J$105*(1+International_Fuel_Surcharge),2),ROUND(((1-IntEconomyDiscount-IntEoncomyIncentive)*'Intl Economy Base'!J86)*(1+International_Fuel_Surcharge),2)))*(1+FedEx_Markup),2)</f>
        <v>161.48</v>
      </c>
      <c r="K89" s="295">
        <f>ROUND((IF('Intl Economy Base'!$K$105&gt;ROUND(((1-IntEconomyDiscount-IntEoncomyIncentive)*'Intl Economy Base'!K86),2),ROUND('Intl Economy Base'!$K$105*(1+International_Fuel_Surcharge),2),ROUND(((1-IntEconomyDiscount-IntEoncomyIncentive)*'Intl Economy Base'!K86)*(1+International_Fuel_Surcharge),2)))*(1+FedEx_Markup),2)</f>
        <v>318.58</v>
      </c>
      <c r="L89" s="295">
        <f>ROUND((IF('Intl Economy Base'!$L$105&gt;ROUND(((1-IntEconomyDiscount-IntEoncomyIncentive)*'Intl Economy Base'!L86),2),ROUND('Intl Economy Base'!$L$105*(1+International_Fuel_Surcharge),2),ROUND(((1-IntEconomyDiscount-IntEoncomyIncentive)*'Intl Economy Base'!L86)*(1+International_Fuel_Surcharge),2)))*(1+FedEx_Markup),2)</f>
        <v>268.28</v>
      </c>
      <c r="M89" s="295">
        <f>ROUND((IF('Intl Economy Base'!$M$105&gt;ROUND(((1-IntEconomyDiscount-IntEoncomyIncentive)*'Intl Economy Base'!M86),2),ROUND('Intl Economy Base'!$M$105*(1+International_Fuel_Surcharge),2),ROUND(((1-IntEconomyDiscount-IntEoncomyIncentive)*'Intl Economy Base'!M86)*(1+International_Fuel_Surcharge),2)))*(1+FedEx_Markup),2)</f>
        <v>349.07</v>
      </c>
      <c r="N89" s="295">
        <f>ROUND((IF('Intl Economy Base'!$N$105&gt;ROUND(((1-IntEconomyDiscount-IntEoncomyIncentive)*'Intl Economy Base'!N86),2),ROUND('Intl Economy Base'!$N$105*(1+International_Fuel_Surcharge),2),ROUND(((1-IntEconomyDiscount-IntEoncomyIncentive)*'Intl Economy Base'!N86)*(1+International_Fuel_Surcharge),2)))*(1+FedEx_Markup),2)</f>
        <v>366.47</v>
      </c>
      <c r="O89" s="295">
        <f>ROUND((IF('Intl Economy Base'!$O$105&gt;ROUND(((1-IntEconomyDiscount-IntEoncomyIncentive)*'Intl Economy Base'!O86),2),ROUND('Intl Economy Base'!$O$105*(1+International_Fuel_Surcharge),2),ROUND(((1-IntEconomyDiscount-IntEoncomyIncentive)*'Intl Economy Base'!O86)*(1+International_Fuel_Surcharge),2)))*(1+FedEx_Markup),2)</f>
        <v>237.88</v>
      </c>
      <c r="P89" s="295">
        <f>ROUND((IF('Intl Economy Base'!$P$105&gt;ROUND(((1-IntEconomyDiscount-IntEoncomyIncentive)*'Intl Economy Base'!P86),2),ROUND('Intl Economy Base'!$P$105*(1+International_Fuel_Surcharge),2),ROUND(((1-IntEconomyDiscount-IntEoncomyIncentive)*'Intl Economy Base'!P86)*(1+International_Fuel_Surcharge),2)))*(1+FedEx_Markup),2)</f>
        <v>289.72</v>
      </c>
      <c r="Q89" s="295">
        <f>ROUND((IF('Intl Economy Base'!$Q$105&gt;ROUND(((1-PuertoRicoDiscount)*'Intl Economy Base'!Q86),2),ROUND('Intl Economy Base'!$Q$105*(1+International_Fuel_Surcharge),2),ROUND(((1-PuertoRicoDiscount)*'Intl Economy Base'!Q86)*(1+International_Fuel_Surcharge),2)))*(1+FedEx_Markup),2)</f>
        <v>443.95</v>
      </c>
      <c r="R89" s="138"/>
      <c r="S89" s="138"/>
      <c r="T89" s="138"/>
      <c r="U89" s="138"/>
      <c r="V89" s="138"/>
      <c r="W89" s="138"/>
      <c r="X89" s="138"/>
      <c r="Y89" s="138"/>
      <c r="Z89" s="138"/>
    </row>
    <row r="90" ht="12.75" customHeight="1">
      <c r="A90" s="294">
        <v>150.0</v>
      </c>
      <c r="B90" s="295">
        <f>ROUND((IF('Intl Economy Base'!$B$105&gt;ROUND(((1-IntEconomyDiscount-IntEoncomyIncentive)*'Intl Economy Base'!B87),2),ROUND('Intl Economy Base'!$B$105*(1+International_Fuel_Surcharge),2),ROUND(((1-IntEconomyDiscount-IntEoncomyIncentive)*'Intl Economy Base'!B87)*(1+International_Fuel_Surcharge),2)))*(1+FedEx_Markup),2)</f>
        <v>144.52</v>
      </c>
      <c r="C90" s="295">
        <f>ROUND((IF('Intl Economy Base'!$C$105&gt;ROUND(((1-IntEconomyDiscount-IntEoncomyIncentive)*'Intl Economy Base'!C87),2),ROUND('Intl Economy Base'!$C$105*(1+International_Fuel_Surcharge),2),ROUND(((1-IntEconomyDiscount-IntEoncomyIncentive)*'Intl Economy Base'!C87)*(1+International_Fuel_Surcharge),2)))*(1+FedEx_Markup),2)</f>
        <v>150.82</v>
      </c>
      <c r="D90" s="295">
        <f>ROUND((IF('Intl Economy Base'!$D$105&gt;ROUND(((1-IntEconomyDiscount-IntEoncomyIncentive)*'Intl Economy Base'!D87),2),ROUND('Intl Economy Base'!$D$105*(1+International_Fuel_Surcharge),2),ROUND(((1-IntEconomyDiscount-IntEoncomyIncentive)*'Intl Economy Base'!D87)*(1+International_Fuel_Surcharge),2)))*(1+FedEx_Markup),2)</f>
        <v>113.56</v>
      </c>
      <c r="E90" s="295">
        <f>ROUND((IF('Intl Economy Base'!$E$105&gt;ROUND(((1-IntEconomyDiscount-IntEoncomyIncentive)*'Intl Economy Base'!E87),2),ROUND('Intl Economy Base'!$E$105*(1+International_Fuel_Surcharge),2),ROUND(((1-IntEconomyDiscount-IntEoncomyIncentive)*'Intl Economy Base'!E87)*(1+International_Fuel_Surcharge),2)))*(1+FedEx_Markup),2)</f>
        <v>207.01</v>
      </c>
      <c r="F90" s="295">
        <f>ROUND((IF('Intl Economy Base'!$F$105&gt;ROUND(((1-IntEconomyDiscount-IntEoncomyIncentive)*'Intl Economy Base'!F87),2),ROUND('Intl Economy Base'!$F$105*(1+International_Fuel_Surcharge),2),ROUND(((1-IntEconomyDiscount-IntEoncomyIncentive)*'Intl Economy Base'!F87)*(1+International_Fuel_Surcharge),2)))*(1+FedEx_Markup),2)</f>
        <v>366.24</v>
      </c>
      <c r="G90" s="295">
        <f>ROUND((IF('Intl Economy Base'!$G$105&gt;ROUND(((1-IntEconomyDiscount-IntEoncomyIncentive)*'Intl Economy Base'!G87),2),ROUND('Intl Economy Base'!$G$105*(1+International_Fuel_Surcharge),2),ROUND(((1-IntEconomyDiscount-IntEoncomyIncentive)*'Intl Economy Base'!G87)*(1+International_Fuel_Surcharge),2)))*(1+FedEx_Markup),2)</f>
        <v>227.02</v>
      </c>
      <c r="H90" s="295">
        <f>ROUND((IF('Intl Economy Base'!$H$105&gt;ROUND(((1-IntEconomyDiscount-IntEoncomyIncentive)*'Intl Economy Base'!H87),2),ROUND('Intl Economy Base'!$H$105*(1+International_Fuel_Surcharge),2),ROUND(((1-IntEconomyDiscount-IntEoncomyIncentive)*'Intl Economy Base'!H87)*(1+International_Fuel_Surcharge),2)))*(1+FedEx_Markup),2)</f>
        <v>227.13</v>
      </c>
      <c r="I90" s="295">
        <f>ROUND((IF('Intl Economy Base'!$I$105&gt;ROUND(((1-IntEconomyDiscount-IntEoncomyIncentive)*'Intl Economy Base'!I87),2),ROUND('Intl Economy Base'!$I$105*(1+International_Fuel_Surcharge),2),ROUND(((1-IntEconomyDiscount-IntEoncomyIncentive)*'Intl Economy Base'!I87)*(1+International_Fuel_Surcharge),2)))*(1+FedEx_Markup),2)</f>
        <v>248.18</v>
      </c>
      <c r="J90" s="295">
        <f>ROUND((IF('Intl Economy Base'!$J$105&gt;ROUND(((1-IntEconomyDiscount-IntEoncomyIncentive)*'Intl Economy Base'!J87),2),ROUND('Intl Economy Base'!$J$105*(1+International_Fuel_Surcharge),2),ROUND(((1-IntEconomyDiscount-IntEoncomyIncentive)*'Intl Economy Base'!J87)*(1+International_Fuel_Surcharge),2)))*(1+FedEx_Markup),2)</f>
        <v>163.56</v>
      </c>
      <c r="K90" s="295">
        <f>ROUND((IF('Intl Economy Base'!$K$105&gt;ROUND(((1-IntEconomyDiscount-IntEoncomyIncentive)*'Intl Economy Base'!K87),2),ROUND('Intl Economy Base'!$K$105*(1+International_Fuel_Surcharge),2),ROUND(((1-IntEconomyDiscount-IntEoncomyIncentive)*'Intl Economy Base'!K87)*(1+International_Fuel_Surcharge),2)))*(1+FedEx_Markup),2)</f>
        <v>318.64</v>
      </c>
      <c r="L90" s="295">
        <f>ROUND((IF('Intl Economy Base'!$L$105&gt;ROUND(((1-IntEconomyDiscount-IntEoncomyIncentive)*'Intl Economy Base'!L87),2),ROUND('Intl Economy Base'!$L$105*(1+International_Fuel_Surcharge),2),ROUND(((1-IntEconomyDiscount-IntEoncomyIncentive)*'Intl Economy Base'!L87)*(1+International_Fuel_Surcharge),2)))*(1+FedEx_Markup),2)</f>
        <v>268.35</v>
      </c>
      <c r="M90" s="295">
        <f>ROUND((IF('Intl Economy Base'!$M$105&gt;ROUND(((1-IntEconomyDiscount-IntEoncomyIncentive)*'Intl Economy Base'!M87),2),ROUND('Intl Economy Base'!$M$105*(1+International_Fuel_Surcharge),2),ROUND(((1-IntEconomyDiscount-IntEoncomyIncentive)*'Intl Economy Base'!M87)*(1+International_Fuel_Surcharge),2)))*(1+FedEx_Markup),2)</f>
        <v>349.14</v>
      </c>
      <c r="N90" s="295">
        <f>ROUND((IF('Intl Economy Base'!$N$105&gt;ROUND(((1-IntEconomyDiscount-IntEoncomyIncentive)*'Intl Economy Base'!N87),2),ROUND('Intl Economy Base'!$N$105*(1+International_Fuel_Surcharge),2),ROUND(((1-IntEconomyDiscount-IntEoncomyIncentive)*'Intl Economy Base'!N87)*(1+International_Fuel_Surcharge),2)))*(1+FedEx_Markup),2)</f>
        <v>366.53</v>
      </c>
      <c r="O90" s="295">
        <f>ROUND((IF('Intl Economy Base'!$O$105&gt;ROUND(((1-IntEconomyDiscount-IntEoncomyIncentive)*'Intl Economy Base'!O87),2),ROUND('Intl Economy Base'!$O$105*(1+International_Fuel_Surcharge),2),ROUND(((1-IntEconomyDiscount-IntEoncomyIncentive)*'Intl Economy Base'!O87)*(1+International_Fuel_Surcharge),2)))*(1+FedEx_Markup),2)</f>
        <v>237.94</v>
      </c>
      <c r="P90" s="295">
        <f>ROUND((IF('Intl Economy Base'!$P$105&gt;ROUND(((1-IntEconomyDiscount-IntEoncomyIncentive)*'Intl Economy Base'!P87),2),ROUND('Intl Economy Base'!$P$105*(1+International_Fuel_Surcharge),2),ROUND(((1-IntEconomyDiscount-IntEoncomyIncentive)*'Intl Economy Base'!P87)*(1+International_Fuel_Surcharge),2)))*(1+FedEx_Markup),2)</f>
        <v>290.21</v>
      </c>
      <c r="Q90" s="295">
        <f>ROUND((IF('Intl Economy Base'!$Q$105&gt;ROUND(((1-PuertoRicoDiscount)*'Intl Economy Base'!Q87),2),ROUND('Intl Economy Base'!$Q$105*(1+International_Fuel_Surcharge),2),ROUND(((1-PuertoRicoDiscount)*'Intl Economy Base'!Q87)*(1+International_Fuel_Surcharge),2)))*(1+FedEx_Markup),2)</f>
        <v>445.17</v>
      </c>
      <c r="R90" s="138"/>
      <c r="S90" s="138"/>
      <c r="T90" s="138"/>
      <c r="U90" s="138"/>
      <c r="V90" s="138"/>
      <c r="W90" s="138"/>
      <c r="X90" s="138"/>
      <c r="Y90" s="138"/>
      <c r="Z90" s="138"/>
    </row>
    <row r="91" ht="13.5" customHeight="1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</row>
    <row r="92" ht="12.75" customHeight="1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</row>
    <row r="93" ht="12.75" customHeight="1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</row>
    <row r="94" ht="12.75" customHeight="1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</row>
    <row r="95" ht="12.75" customHeight="1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</row>
    <row r="96" ht="12.75" customHeight="1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</row>
    <row r="97" ht="12.75" customHeight="1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</row>
    <row r="98" ht="12.75" customHeight="1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ht="12.75" customHeight="1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ht="12.75" customHeight="1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ht="12.75" customHeight="1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ht="12.75" customHeight="1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ht="12.75" customHeight="1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ht="12.75" customHeight="1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ht="12.75" customHeight="1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ht="12.75" customHeight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ht="12.75" customHeight="1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ht="12.75" customHeight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ht="12.75" customHeight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ht="12.75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ht="12.75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ht="12.75" customHeight="1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ht="12.75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</row>
    <row r="114" ht="12.75" customHeight="1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</row>
    <row r="115" ht="12.75" customHeigh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ht="12.7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ht="12.7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ht="12.75" customHeight="1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</row>
    <row r="119" ht="12.75" customHeight="1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</row>
    <row r="120" ht="12.75" customHeight="1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</row>
    <row r="121" ht="12.7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</row>
    <row r="122" ht="12.75" customHeight="1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</row>
    <row r="123" ht="12.7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</row>
    <row r="124" ht="12.75" customHeight="1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ht="12.7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ht="12.75" customHeight="1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</row>
    <row r="127" ht="12.75" customHeight="1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</row>
    <row r="128" ht="12.75" customHeight="1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</row>
    <row r="129" ht="12.75" customHeight="1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</row>
    <row r="130" ht="12.75" customHeight="1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</row>
    <row r="131" ht="12.75" customHeight="1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</row>
    <row r="132" ht="12.75" customHeight="1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</row>
    <row r="133" ht="12.75" customHeight="1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</row>
    <row r="134" ht="12.75" customHeigh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</row>
    <row r="135" ht="12.75" customHeight="1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</row>
    <row r="136" ht="12.75" customHeight="1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</row>
    <row r="137" ht="12.75" customHeight="1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</row>
    <row r="138" ht="12.75" customHeight="1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</row>
    <row r="139" ht="12.75" customHeight="1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</row>
    <row r="140" ht="12.75" customHeight="1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</row>
    <row r="141" ht="12.75" customHeight="1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</row>
    <row r="142" ht="12.75" customHeight="1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</row>
    <row r="143" ht="12.75" customHeight="1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</row>
    <row r="144" ht="12.75" customHeigh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</row>
    <row r="145" ht="12.75" customHeight="1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</row>
    <row r="146" ht="12.75" customHeight="1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</row>
    <row r="147" ht="12.75" customHeight="1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</row>
    <row r="148" ht="12.75" customHeight="1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</row>
    <row r="149" ht="12.75" customHeight="1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</row>
    <row r="150" ht="12.7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</row>
    <row r="151" ht="12.75" customHeight="1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</row>
    <row r="152" ht="12.7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</row>
    <row r="153" ht="12.75" customHeight="1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</row>
    <row r="154" ht="12.75" customHeight="1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</row>
    <row r="155" ht="12.75" customHeight="1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</row>
    <row r="156" ht="12.75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</row>
    <row r="157" ht="12.75" customHeight="1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</row>
    <row r="158" ht="12.75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</row>
    <row r="159" ht="12.75" customHeight="1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</row>
    <row r="160" ht="12.75" customHeigh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</row>
    <row r="161" ht="12.75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</row>
    <row r="162" ht="12.75" customHeight="1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</row>
    <row r="163" ht="12.75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</row>
    <row r="164" ht="12.75" customHeight="1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</row>
    <row r="165" ht="12.75" customHeight="1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</row>
    <row r="166" ht="12.75" customHeight="1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</row>
    <row r="167" ht="12.75" customHeight="1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</row>
    <row r="168" ht="12.75" customHeight="1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</row>
    <row r="169" ht="12.75" customHeight="1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</row>
    <row r="170" ht="12.7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</row>
    <row r="171" ht="12.75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</row>
    <row r="172" ht="12.75" customHeight="1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</row>
    <row r="173" ht="12.75" customHeight="1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</row>
    <row r="174" ht="12.75" customHeight="1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</row>
    <row r="175" ht="12.7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</row>
    <row r="176" ht="12.75" customHeight="1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</row>
    <row r="177" ht="12.7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</row>
    <row r="178" ht="12.75" customHeigh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</row>
    <row r="179" ht="12.75" customHeight="1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</row>
    <row r="180" ht="12.75" customHeight="1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</row>
    <row r="181" ht="12.75" customHeight="1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</row>
    <row r="182" ht="12.75" customHeight="1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</row>
    <row r="183" ht="12.7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</row>
    <row r="184" ht="12.75" customHeight="1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</row>
    <row r="185" ht="12.75" customHeight="1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</row>
    <row r="186" ht="12.75" customHeight="1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</row>
    <row r="187" ht="12.75" customHeight="1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</row>
    <row r="188" ht="12.7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</row>
    <row r="189" ht="12.75" customHeight="1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</row>
    <row r="190" ht="12.75" customHeight="1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</row>
    <row r="191" ht="12.75" customHeight="1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</row>
    <row r="192" ht="12.7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</row>
    <row r="193" ht="12.75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</row>
    <row r="194" ht="12.75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</row>
    <row r="195" ht="12.7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</row>
    <row r="196" ht="12.7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</row>
    <row r="197" ht="12.7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</row>
    <row r="198" ht="12.7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</row>
    <row r="199" ht="12.75" customHeight="1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</row>
    <row r="200" ht="12.75" customHeight="1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</row>
    <row r="201" ht="12.75" customHeight="1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</row>
    <row r="202" ht="12.75" customHeight="1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</row>
    <row r="203" ht="12.75" customHeight="1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</row>
    <row r="204" ht="12.75" customHeight="1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</row>
    <row r="205" ht="12.75" customHeight="1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</row>
    <row r="206" ht="12.75" customHeight="1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</row>
    <row r="207" ht="12.75" customHeight="1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</row>
    <row r="208" ht="12.7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</row>
    <row r="209" ht="12.75" customHeight="1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</row>
    <row r="210" ht="12.75" customHeight="1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</row>
    <row r="211" ht="12.75" customHeight="1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</row>
    <row r="212" ht="12.75" customHeight="1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</row>
    <row r="213" ht="12.75" customHeight="1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</row>
    <row r="214" ht="12.75" customHeight="1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</row>
    <row r="215" ht="12.75" customHeight="1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</row>
    <row r="216" ht="12.75" customHeight="1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</row>
    <row r="217" ht="12.75" customHeight="1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</row>
    <row r="218" ht="12.75" customHeight="1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</row>
    <row r="219" ht="12.75" customHeight="1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</row>
    <row r="220" ht="12.75" customHeight="1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</row>
    <row r="221" ht="12.75" customHeight="1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</row>
    <row r="222" ht="12.75" customHeight="1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</row>
    <row r="223" ht="12.75" customHeight="1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</row>
    <row r="224" ht="12.75" customHeight="1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</row>
    <row r="225" ht="12.75" customHeight="1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</row>
    <row r="226" ht="12.75" customHeight="1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</row>
    <row r="227" ht="12.75" customHeight="1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</row>
    <row r="228" ht="12.75" customHeight="1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</row>
    <row r="229" ht="12.75" customHeight="1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</row>
    <row r="230" ht="12.75" customHeight="1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</row>
    <row r="231" ht="12.75" customHeight="1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</row>
    <row r="232" ht="12.75" customHeight="1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</row>
    <row r="233" ht="12.75" customHeight="1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</row>
    <row r="234" ht="12.75" customHeight="1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</row>
    <row r="235" ht="12.75" customHeight="1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</row>
    <row r="236" ht="12.75" customHeight="1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</row>
    <row r="237" ht="12.75" customHeight="1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</row>
    <row r="238" ht="12.75" customHeight="1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</row>
    <row r="239" ht="12.75" customHeight="1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</row>
    <row r="240" ht="12.75" customHeight="1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</row>
    <row r="241" ht="12.75" customHeight="1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</row>
    <row r="242" ht="12.75" customHeight="1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</row>
    <row r="243" ht="12.75" customHeight="1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</row>
    <row r="244" ht="12.75" customHeight="1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</row>
    <row r="245" ht="12.75" customHeight="1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</row>
    <row r="246" ht="12.75" customHeight="1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</row>
    <row r="247" ht="12.75" customHeight="1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</row>
    <row r="248" ht="12.75" customHeight="1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</row>
    <row r="249" ht="12.75" customHeight="1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</row>
    <row r="250" ht="12.75" customHeight="1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</row>
    <row r="251" ht="12.75" customHeight="1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</row>
    <row r="252" ht="12.75" customHeight="1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</row>
    <row r="253" ht="12.75" customHeight="1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</row>
    <row r="254" ht="12.75" customHeight="1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</row>
    <row r="255" ht="12.75" customHeight="1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</row>
    <row r="256" ht="12.75" customHeight="1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</row>
    <row r="257" ht="12.75" customHeight="1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</row>
    <row r="258" ht="12.75" customHeight="1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</row>
    <row r="259" ht="12.75" customHeight="1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</row>
    <row r="260" ht="12.75" customHeight="1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</row>
    <row r="261" ht="12.75" customHeight="1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</row>
    <row r="262" ht="12.75" customHeight="1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</row>
    <row r="263" ht="12.75" customHeight="1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</row>
    <row r="264" ht="12.75" customHeight="1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</row>
    <row r="265" ht="12.75" customHeight="1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</row>
    <row r="266" ht="12.75" customHeight="1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</row>
    <row r="267" ht="12.75" customHeight="1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</row>
    <row r="268" ht="12.75" customHeight="1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</row>
    <row r="269" ht="12.75" customHeight="1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</row>
    <row r="270" ht="12.75" customHeight="1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</row>
    <row r="271" ht="12.75" customHeight="1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</row>
    <row r="272" ht="12.75" customHeight="1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</row>
    <row r="273" ht="12.75" customHeight="1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</row>
    <row r="274" ht="12.75" customHeight="1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</row>
    <row r="275" ht="12.75" customHeight="1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</row>
    <row r="276" ht="12.75" customHeight="1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</row>
    <row r="277" ht="12.75" customHeight="1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</row>
    <row r="278" ht="12.75" customHeight="1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</row>
    <row r="279" ht="12.75" customHeight="1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</row>
    <row r="280" ht="12.75" customHeight="1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</row>
    <row r="281" ht="12.75" customHeight="1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</row>
    <row r="282" ht="12.75" customHeight="1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</row>
    <row r="283" ht="12.75" customHeight="1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</row>
    <row r="284" ht="12.75" customHeight="1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</row>
    <row r="285" ht="12.75" customHeight="1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</row>
    <row r="286" ht="12.75" customHeight="1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</row>
    <row r="287" ht="12.75" customHeight="1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</row>
    <row r="288" ht="12.75" customHeight="1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</row>
    <row r="289" ht="12.75" customHeight="1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</row>
    <row r="290" ht="12.75" customHeight="1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</row>
    <row r="291" ht="12.75" customHeight="1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</row>
    <row r="292" ht="12.75" customHeight="1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</row>
    <row r="293" ht="12.75" customHeight="1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</row>
    <row r="294" ht="12.75" customHeight="1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</row>
    <row r="295" ht="12.75" customHeight="1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</row>
    <row r="296" ht="12.75" customHeight="1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</row>
    <row r="297" ht="12.75" customHeight="1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</row>
    <row r="298" ht="12.75" customHeight="1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</row>
    <row r="299" ht="12.75" customHeight="1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</row>
    <row r="300" ht="12.75" customHeight="1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</row>
    <row r="301" ht="12.75" customHeight="1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</row>
    <row r="302" ht="12.75" customHeight="1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</row>
    <row r="303" ht="12.75" customHeight="1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</row>
    <row r="304" ht="12.75" customHeight="1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</row>
    <row r="305" ht="12.75" customHeight="1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</row>
    <row r="306" ht="12.75" customHeight="1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</row>
    <row r="307" ht="12.75" customHeight="1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</row>
    <row r="308" ht="12.75" customHeight="1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</row>
    <row r="309" ht="12.75" customHeight="1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</row>
    <row r="310" ht="12.75" customHeight="1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</row>
    <row r="311" ht="12.75" customHeight="1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</row>
    <row r="312" ht="12.75" customHeight="1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</row>
    <row r="313" ht="12.75" customHeight="1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</row>
    <row r="314" ht="12.75" customHeight="1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</row>
    <row r="315" ht="12.75" customHeight="1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</row>
    <row r="316" ht="12.75" customHeight="1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</row>
    <row r="317" ht="12.75" customHeight="1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</row>
    <row r="318" ht="12.75" customHeight="1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</row>
    <row r="319" ht="12.75" customHeight="1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</row>
    <row r="320" ht="12.75" customHeight="1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</row>
    <row r="321" ht="12.75" customHeight="1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</row>
    <row r="322" ht="12.75" customHeight="1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</row>
    <row r="323" ht="12.75" customHeight="1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</row>
    <row r="324" ht="12.75" customHeight="1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</row>
    <row r="325" ht="12.75" customHeight="1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</row>
    <row r="326" ht="12.75" customHeight="1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</row>
    <row r="327" ht="12.75" customHeight="1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</row>
    <row r="328" ht="12.75" customHeight="1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</row>
    <row r="329" ht="12.75" customHeight="1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</row>
    <row r="330" ht="12.75" customHeight="1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</row>
    <row r="331" ht="12.75" customHeight="1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</row>
    <row r="332" ht="12.75" customHeight="1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</row>
    <row r="333" ht="12.75" customHeight="1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</row>
    <row r="334" ht="12.75" customHeight="1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</row>
    <row r="335" ht="12.75" customHeight="1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</row>
    <row r="336" ht="12.75" customHeight="1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</row>
    <row r="337" ht="12.75" customHeight="1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</row>
    <row r="338" ht="12.75" customHeight="1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</row>
    <row r="339" ht="12.75" customHeight="1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</row>
    <row r="340" ht="12.75" customHeight="1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</row>
    <row r="341" ht="12.75" customHeight="1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</row>
    <row r="342" ht="12.75" customHeight="1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</row>
    <row r="343" ht="12.75" customHeight="1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</row>
    <row r="344" ht="12.75" customHeight="1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</row>
    <row r="345" ht="12.75" customHeight="1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</row>
    <row r="346" ht="12.75" customHeight="1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</row>
    <row r="347" ht="12.75" customHeight="1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</row>
    <row r="348" ht="12.75" customHeight="1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</row>
    <row r="349" ht="12.75" customHeight="1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</row>
    <row r="350" ht="12.75" customHeight="1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</row>
    <row r="351" ht="12.75" customHeight="1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</row>
    <row r="352" ht="12.75" customHeight="1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</row>
    <row r="353" ht="12.75" customHeight="1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</row>
    <row r="354" ht="12.75" customHeight="1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</row>
    <row r="355" ht="12.75" customHeight="1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</row>
    <row r="356" ht="12.75" customHeight="1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</row>
    <row r="357" ht="12.75" customHeight="1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</row>
    <row r="358" ht="12.75" customHeight="1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</row>
    <row r="359" ht="12.75" customHeight="1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</row>
    <row r="360" ht="12.75" customHeight="1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</row>
    <row r="361" ht="12.75" customHeight="1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</row>
    <row r="362" ht="12.75" customHeight="1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</row>
    <row r="363" ht="12.75" customHeight="1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</row>
    <row r="364" ht="12.75" customHeight="1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</row>
    <row r="365" ht="12.75" customHeight="1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</row>
    <row r="366" ht="12.75" customHeight="1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</row>
    <row r="367" ht="12.75" customHeight="1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</row>
    <row r="368" ht="12.75" customHeight="1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</row>
    <row r="369" ht="12.75" customHeight="1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</row>
    <row r="370" ht="12.75" customHeight="1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</row>
    <row r="371" ht="12.75" customHeight="1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</row>
    <row r="372" ht="12.75" customHeight="1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</row>
    <row r="373" ht="12.75" customHeight="1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</row>
    <row r="374" ht="12.75" customHeight="1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</row>
    <row r="375" ht="12.75" customHeight="1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</row>
    <row r="376" ht="12.75" customHeight="1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</row>
    <row r="377" ht="12.75" customHeight="1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</row>
    <row r="378" ht="12.75" customHeight="1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</row>
    <row r="379" ht="12.75" customHeight="1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</row>
    <row r="380" ht="12.75" customHeight="1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</row>
    <row r="381" ht="12.75" customHeight="1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</row>
    <row r="382" ht="12.75" customHeight="1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</row>
    <row r="383" ht="12.75" customHeight="1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</row>
    <row r="384" ht="12.75" customHeight="1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</row>
    <row r="385" ht="12.75" customHeight="1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</row>
    <row r="386" ht="12.75" customHeight="1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</row>
    <row r="387" ht="12.75" customHeight="1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</row>
    <row r="388" ht="12.75" customHeight="1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</row>
    <row r="389" ht="12.75" customHeight="1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</row>
    <row r="390" ht="12.75" customHeight="1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</row>
    <row r="391" ht="12.75" customHeight="1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</row>
    <row r="392" ht="12.75" customHeight="1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</row>
    <row r="393" ht="12.75" customHeight="1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</row>
    <row r="394" ht="12.75" customHeight="1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</row>
    <row r="395" ht="12.75" customHeight="1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</row>
    <row r="396" ht="12.75" customHeight="1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</row>
    <row r="397" ht="12.75" customHeight="1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</row>
    <row r="398" ht="12.75" customHeight="1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</row>
    <row r="399" ht="12.75" customHeight="1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</row>
    <row r="400" ht="12.75" customHeight="1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</row>
    <row r="401" ht="12.75" customHeight="1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</row>
    <row r="402" ht="12.75" customHeight="1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</row>
    <row r="403" ht="12.75" customHeight="1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</row>
    <row r="404" ht="12.75" customHeight="1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</row>
    <row r="405" ht="12.75" customHeight="1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</row>
    <row r="406" ht="12.75" customHeight="1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</row>
    <row r="407" ht="12.75" customHeight="1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</row>
    <row r="408" ht="12.75" customHeight="1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</row>
    <row r="409" ht="12.75" customHeight="1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</row>
    <row r="410" ht="12.75" customHeight="1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</row>
    <row r="411" ht="12.75" customHeight="1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</row>
    <row r="412" ht="12.75" customHeight="1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</row>
    <row r="413" ht="12.75" customHeight="1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</row>
    <row r="414" ht="12.75" customHeight="1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</row>
    <row r="415" ht="12.75" customHeight="1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</row>
    <row r="416" ht="12.75" customHeight="1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</row>
    <row r="417" ht="12.75" customHeight="1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</row>
    <row r="418" ht="12.75" customHeight="1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</row>
    <row r="419" ht="12.75" customHeight="1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</row>
    <row r="420" ht="12.75" customHeight="1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</row>
    <row r="421" ht="12.75" customHeight="1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</row>
    <row r="422" ht="12.75" customHeight="1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</row>
    <row r="423" ht="12.75" customHeight="1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</row>
    <row r="424" ht="12.75" customHeight="1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</row>
    <row r="425" ht="12.75" customHeight="1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</row>
    <row r="426" ht="12.75" customHeight="1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</row>
    <row r="427" ht="12.75" customHeight="1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</row>
    <row r="428" ht="12.75" customHeight="1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</row>
    <row r="429" ht="12.75" customHeight="1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</row>
    <row r="430" ht="12.75" customHeight="1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</row>
    <row r="431" ht="12.75" customHeight="1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</row>
    <row r="432" ht="12.75" customHeight="1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</row>
    <row r="433" ht="12.75" customHeight="1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</row>
    <row r="434" ht="12.75" customHeight="1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</row>
    <row r="435" ht="12.75" customHeight="1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</row>
    <row r="436" ht="12.75" customHeight="1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</row>
    <row r="437" ht="12.75" customHeight="1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</row>
    <row r="438" ht="12.75" customHeight="1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</row>
    <row r="439" ht="12.75" customHeight="1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</row>
    <row r="440" ht="12.75" customHeight="1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</row>
    <row r="441" ht="12.75" customHeight="1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</row>
    <row r="442" ht="12.75" customHeight="1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</row>
    <row r="443" ht="12.75" customHeight="1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</row>
    <row r="444" ht="12.75" customHeight="1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</row>
    <row r="445" ht="12.75" customHeight="1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</row>
    <row r="446" ht="12.75" customHeight="1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</row>
    <row r="447" ht="12.75" customHeight="1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</row>
    <row r="448" ht="12.75" customHeight="1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</row>
    <row r="449" ht="12.75" customHeight="1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</row>
    <row r="450" ht="12.75" customHeight="1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</row>
    <row r="451" ht="12.75" customHeight="1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</row>
    <row r="452" ht="12.75" customHeight="1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</row>
    <row r="453" ht="12.75" customHeight="1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</row>
    <row r="454" ht="12.75" customHeight="1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</row>
    <row r="455" ht="12.75" customHeight="1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</row>
    <row r="456" ht="12.75" customHeight="1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</row>
    <row r="457" ht="12.75" customHeight="1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</row>
    <row r="458" ht="12.75" customHeight="1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</row>
    <row r="459" ht="12.75" customHeight="1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</row>
    <row r="460" ht="12.75" customHeight="1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</row>
    <row r="461" ht="12.75" customHeight="1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</row>
    <row r="462" ht="12.75" customHeight="1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</row>
    <row r="463" ht="12.75" customHeight="1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</row>
    <row r="464" ht="12.75" customHeight="1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</row>
    <row r="465" ht="12.75" customHeight="1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</row>
    <row r="466" ht="12.75" customHeight="1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</row>
    <row r="467" ht="12.75" customHeight="1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</row>
    <row r="468" ht="12.75" customHeight="1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</row>
    <row r="469" ht="12.75" customHeight="1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</row>
    <row r="470" ht="12.75" customHeight="1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</row>
    <row r="471" ht="12.75" customHeight="1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</row>
    <row r="472" ht="12.75" customHeight="1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</row>
    <row r="473" ht="12.75" customHeight="1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</row>
    <row r="474" ht="12.75" customHeight="1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</row>
    <row r="475" ht="12.75" customHeight="1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</row>
    <row r="476" ht="12.75" customHeight="1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</row>
    <row r="477" ht="12.75" customHeight="1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</row>
    <row r="478" ht="12.75" customHeight="1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</row>
    <row r="479" ht="12.75" customHeight="1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</row>
    <row r="480" ht="12.75" customHeight="1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</row>
    <row r="481" ht="12.75" customHeight="1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</row>
    <row r="482" ht="12.75" customHeight="1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</row>
    <row r="483" ht="12.75" customHeight="1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</row>
    <row r="484" ht="12.75" customHeight="1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</row>
    <row r="485" ht="12.75" customHeight="1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</row>
    <row r="486" ht="12.75" customHeight="1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</row>
    <row r="487" ht="12.75" customHeight="1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</row>
    <row r="488" ht="12.75" customHeight="1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</row>
    <row r="489" ht="12.75" customHeight="1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</row>
    <row r="490" ht="12.75" customHeight="1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</row>
    <row r="491" ht="12.75" customHeight="1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</row>
    <row r="492" ht="12.75" customHeight="1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</row>
    <row r="493" ht="12.75" customHeight="1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</row>
    <row r="494" ht="12.75" customHeight="1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</row>
    <row r="495" ht="12.75" customHeight="1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</row>
    <row r="496" ht="12.75" customHeight="1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</row>
    <row r="497" ht="12.75" customHeight="1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</row>
    <row r="498" ht="12.75" customHeight="1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</row>
    <row r="499" ht="12.75" customHeight="1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</row>
    <row r="500" ht="12.75" customHeight="1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</row>
    <row r="501" ht="12.75" customHeight="1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</row>
    <row r="502" ht="12.75" customHeight="1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</row>
    <row r="503" ht="12.75" customHeight="1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</row>
    <row r="504" ht="12.75" customHeight="1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</row>
    <row r="505" ht="12.75" customHeight="1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</row>
    <row r="506" ht="12.75" customHeight="1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</row>
    <row r="507" ht="12.75" customHeight="1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</row>
    <row r="508" ht="12.75" customHeight="1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</row>
    <row r="509" ht="12.75" customHeight="1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</row>
    <row r="510" ht="12.75" customHeight="1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</row>
    <row r="511" ht="12.75" customHeight="1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</row>
    <row r="512" ht="12.75" customHeight="1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</row>
    <row r="513" ht="12.75" customHeight="1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</row>
    <row r="514" ht="12.75" customHeight="1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</row>
    <row r="515" ht="12.75" customHeight="1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</row>
    <row r="516" ht="12.75" customHeight="1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</row>
    <row r="517" ht="12.75" customHeight="1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</row>
    <row r="518" ht="12.75" customHeight="1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</row>
    <row r="519" ht="12.75" customHeight="1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</row>
    <row r="520" ht="12.75" customHeight="1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</row>
    <row r="521" ht="12.75" customHeight="1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</row>
    <row r="522" ht="12.75" customHeight="1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</row>
    <row r="523" ht="12.75" customHeight="1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</row>
    <row r="524" ht="12.75" customHeight="1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</row>
    <row r="525" ht="12.75" customHeight="1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</row>
    <row r="526" ht="12.75" customHeight="1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</row>
    <row r="527" ht="12.75" customHeight="1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</row>
    <row r="528" ht="12.75" customHeight="1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</row>
    <row r="529" ht="12.75" customHeight="1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</row>
    <row r="530" ht="12.75" customHeight="1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</row>
    <row r="531" ht="12.75" customHeight="1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</row>
    <row r="532" ht="12.75" customHeight="1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</row>
    <row r="533" ht="12.75" customHeight="1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</row>
    <row r="534" ht="12.75" customHeight="1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</row>
    <row r="535" ht="12.75" customHeight="1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</row>
    <row r="536" ht="12.75" customHeight="1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</row>
    <row r="537" ht="12.75" customHeight="1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</row>
    <row r="538" ht="12.75" customHeight="1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</row>
    <row r="539" ht="12.75" customHeight="1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</row>
    <row r="540" ht="12.75" customHeight="1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</row>
    <row r="541" ht="12.75" customHeight="1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</row>
    <row r="542" ht="12.75" customHeight="1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</row>
    <row r="543" ht="12.75" customHeight="1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</row>
    <row r="544" ht="12.75" customHeight="1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</row>
    <row r="545" ht="12.75" customHeight="1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</row>
    <row r="546" ht="12.75" customHeight="1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</row>
    <row r="547" ht="12.75" customHeight="1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</row>
    <row r="548" ht="12.75" customHeight="1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</row>
    <row r="549" ht="12.75" customHeight="1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</row>
    <row r="550" ht="12.75" customHeight="1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</row>
    <row r="551" ht="12.75" customHeight="1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</row>
    <row r="552" ht="12.75" customHeight="1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</row>
    <row r="553" ht="12.75" customHeight="1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</row>
    <row r="554" ht="12.75" customHeight="1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</row>
    <row r="555" ht="12.75" customHeight="1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</row>
    <row r="556" ht="12.75" customHeight="1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</row>
    <row r="557" ht="12.75" customHeight="1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</row>
    <row r="558" ht="12.75" customHeight="1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</row>
    <row r="559" ht="12.75" customHeight="1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</row>
    <row r="560" ht="12.75" customHeight="1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</row>
    <row r="561" ht="12.75" customHeight="1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</row>
    <row r="562" ht="12.75" customHeight="1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</row>
    <row r="563" ht="12.75" customHeight="1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</row>
    <row r="564" ht="12.75" customHeight="1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</row>
    <row r="565" ht="12.75" customHeight="1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</row>
    <row r="566" ht="12.75" customHeight="1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</row>
    <row r="567" ht="12.75" customHeight="1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</row>
    <row r="568" ht="12.75" customHeight="1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</row>
    <row r="569" ht="12.75" customHeight="1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</row>
    <row r="570" ht="12.75" customHeight="1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</row>
    <row r="571" ht="12.75" customHeight="1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</row>
    <row r="572" ht="12.75" customHeight="1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</row>
    <row r="573" ht="12.75" customHeight="1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</row>
    <row r="574" ht="12.75" customHeight="1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</row>
    <row r="575" ht="12.75" customHeight="1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</row>
    <row r="576" ht="12.75" customHeight="1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</row>
    <row r="577" ht="12.75" customHeight="1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</row>
    <row r="578" ht="12.75" customHeight="1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</row>
    <row r="579" ht="12.75" customHeight="1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</row>
    <row r="580" ht="12.75" customHeight="1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</row>
    <row r="581" ht="12.75" customHeight="1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</row>
    <row r="582" ht="12.75" customHeight="1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</row>
    <row r="583" ht="12.75" customHeight="1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</row>
    <row r="584" ht="12.75" customHeight="1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</row>
    <row r="585" ht="12.75" customHeight="1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</row>
    <row r="586" ht="12.75" customHeight="1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</row>
    <row r="587" ht="12.75" customHeight="1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</row>
    <row r="588" ht="12.75" customHeight="1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</row>
    <row r="589" ht="12.75" customHeight="1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</row>
    <row r="590" ht="12.75" customHeight="1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</row>
    <row r="591" ht="12.75" customHeight="1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</row>
    <row r="592" ht="12.75" customHeight="1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</row>
    <row r="593" ht="12.75" customHeight="1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</row>
    <row r="594" ht="12.75" customHeight="1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</row>
    <row r="595" ht="12.75" customHeight="1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</row>
    <row r="596" ht="12.75" customHeight="1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</row>
    <row r="597" ht="12.75" customHeight="1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</row>
    <row r="598" ht="12.75" customHeight="1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</row>
    <row r="599" ht="12.75" customHeight="1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</row>
    <row r="600" ht="12.75" customHeight="1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</row>
    <row r="601" ht="12.75" customHeight="1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</row>
    <row r="602" ht="12.75" customHeight="1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</row>
    <row r="603" ht="12.75" customHeight="1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</row>
    <row r="604" ht="12.75" customHeight="1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</row>
    <row r="605" ht="12.75" customHeight="1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</row>
    <row r="606" ht="12.75" customHeight="1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</row>
    <row r="607" ht="12.75" customHeight="1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</row>
    <row r="608" ht="12.75" customHeight="1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</row>
    <row r="609" ht="12.75" customHeight="1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</row>
    <row r="610" ht="12.75" customHeight="1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</row>
    <row r="611" ht="12.75" customHeight="1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</row>
    <row r="612" ht="12.75" customHeight="1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</row>
    <row r="613" ht="12.75" customHeight="1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</row>
    <row r="614" ht="12.75" customHeight="1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</row>
    <row r="615" ht="12.75" customHeight="1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</row>
    <row r="616" ht="12.75" customHeight="1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</row>
    <row r="617" ht="12.75" customHeight="1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</row>
    <row r="618" ht="12.75" customHeight="1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</row>
    <row r="619" ht="12.75" customHeight="1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</row>
    <row r="620" ht="12.75" customHeight="1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</row>
    <row r="621" ht="12.75" customHeight="1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</row>
    <row r="622" ht="12.75" customHeight="1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</row>
    <row r="623" ht="12.75" customHeight="1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</row>
    <row r="624" ht="12.75" customHeight="1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</row>
    <row r="625" ht="12.75" customHeight="1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</row>
    <row r="626" ht="12.75" customHeight="1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</row>
    <row r="627" ht="12.75" customHeight="1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</row>
    <row r="628" ht="12.75" customHeight="1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</row>
    <row r="629" ht="12.75" customHeight="1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</row>
    <row r="630" ht="12.75" customHeight="1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</row>
    <row r="631" ht="12.75" customHeight="1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</row>
    <row r="632" ht="12.75" customHeight="1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</row>
    <row r="633" ht="12.75" customHeight="1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</row>
    <row r="634" ht="12.75" customHeight="1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</row>
    <row r="635" ht="12.75" customHeight="1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</row>
    <row r="636" ht="12.75" customHeight="1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</row>
    <row r="637" ht="12.75" customHeight="1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</row>
    <row r="638" ht="12.75" customHeight="1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</row>
    <row r="639" ht="12.75" customHeight="1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</row>
    <row r="640" ht="12.75" customHeight="1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</row>
    <row r="641" ht="12.75" customHeight="1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</row>
    <row r="642" ht="12.75" customHeight="1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</row>
    <row r="643" ht="12.75" customHeight="1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</row>
    <row r="644" ht="12.75" customHeight="1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</row>
    <row r="645" ht="12.75" customHeight="1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</row>
    <row r="646" ht="12.75" customHeight="1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</row>
    <row r="647" ht="12.75" customHeight="1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</row>
    <row r="648" ht="12.75" customHeight="1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</row>
    <row r="649" ht="12.75" customHeight="1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</row>
    <row r="650" ht="12.75" customHeight="1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</row>
    <row r="651" ht="12.75" customHeight="1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</row>
    <row r="652" ht="12.75" customHeight="1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</row>
    <row r="653" ht="12.75" customHeight="1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</row>
    <row r="654" ht="12.75" customHeight="1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</row>
    <row r="655" ht="12.75" customHeight="1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</row>
    <row r="656" ht="12.75" customHeight="1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</row>
    <row r="657" ht="12.75" customHeight="1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</row>
    <row r="658" ht="12.75" customHeight="1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</row>
    <row r="659" ht="12.75" customHeight="1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</row>
    <row r="660" ht="12.75" customHeight="1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</row>
    <row r="661" ht="12.75" customHeight="1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</row>
    <row r="662" ht="12.75" customHeight="1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</row>
    <row r="663" ht="12.75" customHeight="1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</row>
    <row r="664" ht="12.75" customHeight="1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</row>
    <row r="665" ht="12.75" customHeight="1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</row>
    <row r="666" ht="12.75" customHeight="1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</row>
    <row r="667" ht="12.75" customHeight="1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</row>
    <row r="668" ht="12.75" customHeight="1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</row>
    <row r="669" ht="12.75" customHeight="1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</row>
    <row r="670" ht="12.75" customHeight="1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</row>
    <row r="671" ht="12.75" customHeight="1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</row>
    <row r="672" ht="12.75" customHeight="1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</row>
    <row r="673" ht="12.75" customHeight="1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</row>
    <row r="674" ht="12.75" customHeight="1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</row>
    <row r="675" ht="12.75" customHeight="1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</row>
    <row r="676" ht="12.75" customHeight="1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</row>
    <row r="677" ht="12.75" customHeight="1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</row>
    <row r="678" ht="12.75" customHeight="1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</row>
    <row r="679" ht="12.75" customHeight="1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</row>
    <row r="680" ht="12.75" customHeight="1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</row>
    <row r="681" ht="12.75" customHeight="1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</row>
    <row r="682" ht="12.75" customHeight="1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</row>
    <row r="683" ht="12.75" customHeight="1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</row>
    <row r="684" ht="12.75" customHeight="1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</row>
    <row r="685" ht="12.75" customHeight="1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</row>
    <row r="686" ht="12.75" customHeight="1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</row>
    <row r="687" ht="12.75" customHeight="1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</row>
    <row r="688" ht="12.75" customHeight="1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</row>
    <row r="689" ht="12.75" customHeight="1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</row>
    <row r="690" ht="12.75" customHeight="1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</row>
    <row r="691" ht="12.75" customHeight="1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</row>
    <row r="692" ht="12.75" customHeight="1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</row>
    <row r="693" ht="12.75" customHeight="1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</row>
    <row r="694" ht="12.75" customHeight="1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</row>
    <row r="695" ht="12.75" customHeight="1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</row>
    <row r="696" ht="12.75" customHeight="1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</row>
    <row r="697" ht="12.75" customHeight="1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</row>
    <row r="698" ht="12.75" customHeight="1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</row>
    <row r="699" ht="12.75" customHeight="1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</row>
    <row r="700" ht="12.75" customHeight="1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</row>
    <row r="701" ht="12.75" customHeight="1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</row>
    <row r="702" ht="12.75" customHeight="1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</row>
    <row r="703" ht="12.75" customHeight="1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</row>
    <row r="704" ht="12.75" customHeight="1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</row>
    <row r="705" ht="12.75" customHeight="1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</row>
    <row r="706" ht="12.75" customHeight="1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</row>
    <row r="707" ht="12.75" customHeight="1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</row>
    <row r="708" ht="12.75" customHeight="1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</row>
    <row r="709" ht="12.75" customHeight="1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</row>
    <row r="710" ht="12.75" customHeight="1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</row>
    <row r="711" ht="12.75" customHeight="1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</row>
    <row r="712" ht="12.75" customHeight="1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</row>
    <row r="713" ht="12.75" customHeight="1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</row>
    <row r="714" ht="12.75" customHeight="1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</row>
    <row r="715" ht="12.75" customHeight="1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</row>
    <row r="716" ht="12.75" customHeight="1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</row>
    <row r="717" ht="12.75" customHeight="1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</row>
    <row r="718" ht="12.75" customHeight="1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</row>
    <row r="719" ht="12.75" customHeight="1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</row>
    <row r="720" ht="12.75" customHeight="1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</row>
    <row r="721" ht="12.75" customHeight="1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</row>
    <row r="722" ht="12.75" customHeight="1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</row>
    <row r="723" ht="12.75" customHeight="1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</row>
    <row r="724" ht="12.75" customHeight="1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</row>
    <row r="725" ht="12.75" customHeight="1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</row>
    <row r="726" ht="12.75" customHeight="1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</row>
    <row r="727" ht="12.75" customHeight="1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</row>
    <row r="728" ht="12.75" customHeight="1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</row>
    <row r="729" ht="12.75" customHeight="1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</row>
    <row r="730" ht="12.75" customHeight="1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</row>
    <row r="731" ht="12.75" customHeight="1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</row>
    <row r="732" ht="12.75" customHeight="1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</row>
    <row r="733" ht="12.75" customHeight="1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</row>
    <row r="734" ht="12.75" customHeight="1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</row>
    <row r="735" ht="12.75" customHeight="1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</row>
    <row r="736" ht="12.75" customHeight="1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</row>
    <row r="737" ht="12.75" customHeight="1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</row>
    <row r="738" ht="12.75" customHeight="1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</row>
    <row r="739" ht="12.75" customHeight="1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</row>
    <row r="740" ht="12.75" customHeight="1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</row>
    <row r="741" ht="12.75" customHeight="1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</row>
    <row r="742" ht="12.75" customHeight="1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</row>
    <row r="743" ht="12.75" customHeight="1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</row>
    <row r="744" ht="12.75" customHeight="1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</row>
    <row r="745" ht="12.75" customHeight="1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</row>
    <row r="746" ht="12.75" customHeight="1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</row>
    <row r="747" ht="12.75" customHeight="1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</row>
    <row r="748" ht="12.75" customHeight="1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</row>
    <row r="749" ht="12.75" customHeight="1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</row>
    <row r="750" ht="12.75" customHeight="1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</row>
    <row r="751" ht="12.75" customHeight="1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</row>
    <row r="752" ht="12.75" customHeight="1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</row>
    <row r="753" ht="12.75" customHeight="1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</row>
    <row r="754" ht="12.75" customHeight="1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</row>
    <row r="755" ht="12.75" customHeight="1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</row>
    <row r="756" ht="12.75" customHeight="1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</row>
    <row r="757" ht="12.75" customHeight="1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</row>
    <row r="758" ht="12.75" customHeight="1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</row>
    <row r="759" ht="12.75" customHeight="1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</row>
    <row r="760" ht="12.75" customHeight="1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</row>
    <row r="761" ht="12.75" customHeight="1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</row>
    <row r="762" ht="12.75" customHeight="1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</row>
    <row r="763" ht="12.75" customHeight="1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</row>
    <row r="764" ht="12.75" customHeight="1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</row>
    <row r="765" ht="12.75" customHeight="1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</row>
    <row r="766" ht="12.75" customHeight="1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</row>
    <row r="767" ht="12.75" customHeight="1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</row>
    <row r="768" ht="12.75" customHeight="1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</row>
    <row r="769" ht="12.75" customHeight="1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</row>
    <row r="770" ht="12.75" customHeight="1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</row>
    <row r="771" ht="12.75" customHeight="1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</row>
    <row r="772" ht="12.75" customHeight="1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</row>
    <row r="773" ht="12.75" customHeight="1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</row>
    <row r="774" ht="12.75" customHeight="1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</row>
    <row r="775" ht="12.75" customHeight="1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</row>
    <row r="776" ht="12.75" customHeight="1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</row>
    <row r="777" ht="12.75" customHeight="1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</row>
    <row r="778" ht="12.75" customHeight="1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</row>
    <row r="779" ht="12.75" customHeight="1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</row>
    <row r="780" ht="12.75" customHeight="1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</row>
    <row r="781" ht="12.75" customHeight="1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</row>
    <row r="782" ht="12.75" customHeight="1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</row>
    <row r="783" ht="12.75" customHeight="1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</row>
    <row r="784" ht="12.75" customHeight="1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</row>
    <row r="785" ht="12.75" customHeight="1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</row>
    <row r="786" ht="12.75" customHeight="1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</row>
    <row r="787" ht="12.75" customHeight="1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</row>
    <row r="788" ht="12.75" customHeight="1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</row>
    <row r="789" ht="12.75" customHeight="1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</row>
    <row r="790" ht="12.75" customHeight="1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</row>
    <row r="791" ht="12.75" customHeight="1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</row>
    <row r="792" ht="12.75" customHeight="1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</row>
    <row r="793" ht="12.75" customHeight="1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</row>
    <row r="794" ht="12.75" customHeight="1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</row>
    <row r="795" ht="12.75" customHeight="1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</row>
    <row r="796" ht="12.75" customHeight="1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</row>
    <row r="797" ht="12.75" customHeight="1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</row>
    <row r="798" ht="12.75" customHeight="1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</row>
    <row r="799" ht="12.75" customHeight="1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</row>
    <row r="800" ht="12.75" customHeight="1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</row>
    <row r="801" ht="12.75" customHeight="1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</row>
    <row r="802" ht="12.75" customHeight="1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</row>
    <row r="803" ht="12.75" customHeight="1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</row>
    <row r="804" ht="12.75" customHeight="1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</row>
    <row r="805" ht="12.75" customHeight="1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</row>
    <row r="806" ht="12.75" customHeight="1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</row>
    <row r="807" ht="12.75" customHeight="1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</row>
    <row r="808" ht="12.75" customHeight="1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</row>
    <row r="809" ht="12.75" customHeight="1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</row>
    <row r="810" ht="12.75" customHeight="1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</row>
    <row r="811" ht="12.75" customHeight="1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</row>
    <row r="812" ht="12.75" customHeight="1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</row>
    <row r="813" ht="12.75" customHeight="1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</row>
    <row r="814" ht="12.75" customHeight="1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</row>
    <row r="815" ht="12.75" customHeight="1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</row>
    <row r="816" ht="12.75" customHeight="1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</row>
    <row r="817" ht="12.75" customHeight="1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</row>
    <row r="818" ht="12.75" customHeight="1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</row>
    <row r="819" ht="12.75" customHeight="1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</row>
    <row r="820" ht="12.75" customHeight="1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</row>
    <row r="821" ht="12.75" customHeight="1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</row>
    <row r="822" ht="12.75" customHeight="1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</row>
    <row r="823" ht="12.75" customHeight="1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</row>
    <row r="824" ht="12.75" customHeight="1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</row>
    <row r="825" ht="12.75" customHeight="1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</row>
    <row r="826" ht="12.75" customHeight="1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</row>
    <row r="827" ht="12.75" customHeight="1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</row>
    <row r="828" ht="12.75" customHeight="1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</row>
    <row r="829" ht="12.75" customHeight="1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</row>
    <row r="830" ht="12.75" customHeight="1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</row>
    <row r="831" ht="12.75" customHeight="1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</row>
    <row r="832" ht="12.75" customHeight="1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</row>
    <row r="833" ht="12.75" customHeight="1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</row>
    <row r="834" ht="12.75" customHeight="1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</row>
    <row r="835" ht="12.75" customHeight="1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</row>
    <row r="836" ht="12.75" customHeight="1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</row>
    <row r="837" ht="12.75" customHeight="1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</row>
    <row r="838" ht="12.75" customHeight="1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</row>
    <row r="839" ht="12.75" customHeight="1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</row>
    <row r="840" ht="12.75" customHeight="1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</row>
    <row r="841" ht="12.75" customHeight="1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</row>
    <row r="842" ht="12.75" customHeight="1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</row>
    <row r="843" ht="12.75" customHeight="1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</row>
    <row r="844" ht="12.75" customHeight="1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</row>
    <row r="845" ht="12.75" customHeight="1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</row>
    <row r="846" ht="12.75" customHeight="1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</row>
    <row r="847" ht="12.75" customHeight="1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</row>
    <row r="848" ht="12.75" customHeight="1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</row>
    <row r="849" ht="12.75" customHeight="1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</row>
    <row r="850" ht="12.75" customHeight="1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</row>
    <row r="851" ht="12.75" customHeight="1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</row>
    <row r="852" ht="12.75" customHeight="1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</row>
    <row r="853" ht="12.75" customHeight="1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</row>
    <row r="854" ht="12.75" customHeight="1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</row>
    <row r="855" ht="12.75" customHeight="1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</row>
    <row r="856" ht="12.75" customHeight="1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</row>
    <row r="857" ht="12.75" customHeight="1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</row>
    <row r="858" ht="12.75" customHeight="1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</row>
    <row r="859" ht="12.75" customHeight="1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</row>
    <row r="860" ht="12.75" customHeight="1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</row>
    <row r="861" ht="12.75" customHeight="1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</row>
    <row r="862" ht="12.75" customHeight="1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</row>
    <row r="863" ht="12.75" customHeight="1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</row>
    <row r="864" ht="12.75" customHeight="1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</row>
    <row r="865" ht="12.75" customHeight="1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</row>
    <row r="866" ht="12.75" customHeight="1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</row>
    <row r="867" ht="12.75" customHeight="1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</row>
    <row r="868" ht="12.75" customHeight="1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</row>
    <row r="869" ht="12.75" customHeight="1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</row>
    <row r="870" ht="12.75" customHeight="1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</row>
    <row r="871" ht="12.75" customHeight="1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</row>
    <row r="872" ht="12.75" customHeight="1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</row>
    <row r="873" ht="12.75" customHeight="1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</row>
    <row r="874" ht="12.75" customHeight="1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</row>
    <row r="875" ht="12.75" customHeight="1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</row>
    <row r="876" ht="12.75" customHeight="1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</row>
    <row r="877" ht="12.75" customHeight="1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</row>
    <row r="878" ht="12.75" customHeight="1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</row>
    <row r="879" ht="12.75" customHeight="1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</row>
    <row r="880" ht="12.75" customHeight="1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</row>
    <row r="881" ht="12.75" customHeight="1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</row>
    <row r="882" ht="12.75" customHeight="1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</row>
    <row r="883" ht="12.75" customHeight="1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</row>
    <row r="884" ht="12.75" customHeight="1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</row>
    <row r="885" ht="12.75" customHeight="1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</row>
    <row r="886" ht="12.75" customHeight="1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</row>
    <row r="887" ht="12.75" customHeight="1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</row>
    <row r="888" ht="12.75" customHeight="1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</row>
    <row r="889" ht="12.75" customHeight="1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</row>
    <row r="890" ht="12.75" customHeight="1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</row>
    <row r="891" ht="12.75" customHeight="1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</row>
    <row r="892" ht="12.75" customHeight="1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</row>
    <row r="893" ht="12.75" customHeight="1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</row>
    <row r="894" ht="12.75" customHeight="1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</row>
    <row r="895" ht="12.75" customHeight="1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</row>
    <row r="896" ht="12.75" customHeight="1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</row>
    <row r="897" ht="12.75" customHeight="1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</row>
    <row r="898" ht="12.75" customHeight="1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</row>
    <row r="899" ht="12.75" customHeight="1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</row>
    <row r="900" ht="12.75" customHeight="1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</row>
    <row r="901" ht="12.75" customHeight="1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</row>
    <row r="902" ht="12.75" customHeight="1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</row>
    <row r="903" ht="12.75" customHeight="1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</row>
    <row r="904" ht="12.75" customHeight="1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</row>
    <row r="905" ht="12.75" customHeight="1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</row>
    <row r="906" ht="12.75" customHeight="1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</row>
    <row r="907" ht="12.75" customHeight="1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</row>
    <row r="908" ht="12.75" customHeight="1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</row>
    <row r="909" ht="12.75" customHeight="1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</row>
    <row r="910" ht="12.75" customHeight="1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</row>
    <row r="911" ht="12.75" customHeight="1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</row>
    <row r="912" ht="12.75" customHeight="1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</row>
    <row r="913" ht="12.75" customHeight="1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</row>
    <row r="914" ht="12.75" customHeight="1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</row>
    <row r="915" ht="12.75" customHeight="1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</row>
    <row r="916" ht="12.75" customHeight="1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</row>
    <row r="917" ht="12.75" customHeight="1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</row>
    <row r="918" ht="12.75" customHeight="1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</row>
    <row r="919" ht="12.75" customHeight="1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</row>
    <row r="920" ht="12.75" customHeight="1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</row>
    <row r="921" ht="12.75" customHeight="1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</row>
    <row r="922" ht="12.75" customHeight="1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</row>
    <row r="923" ht="12.75" customHeight="1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</row>
    <row r="924" ht="12.75" customHeight="1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</row>
    <row r="925" ht="12.75" customHeight="1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</row>
    <row r="926" ht="12.75" customHeight="1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</row>
    <row r="927" ht="12.75" customHeight="1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</row>
    <row r="928" ht="12.75" customHeight="1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</row>
    <row r="929" ht="12.75" customHeight="1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</row>
    <row r="930" ht="12.75" customHeight="1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</row>
    <row r="931" ht="12.75" customHeight="1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</row>
    <row r="932" ht="12.75" customHeight="1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</row>
    <row r="933" ht="12.75" customHeight="1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</row>
    <row r="934" ht="12.75" customHeight="1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</row>
    <row r="935" ht="12.75" customHeight="1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</row>
    <row r="936" ht="12.75" customHeight="1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</row>
    <row r="937" ht="12.75" customHeight="1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</row>
    <row r="938" ht="12.75" customHeight="1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</row>
    <row r="939" ht="12.75" customHeight="1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</row>
    <row r="940" ht="12.75" customHeight="1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</row>
    <row r="941" ht="12.75" customHeight="1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</row>
    <row r="942" ht="12.75" customHeight="1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</row>
    <row r="943" ht="12.75" customHeight="1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</row>
    <row r="944" ht="12.75" customHeight="1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</row>
    <row r="945" ht="12.75" customHeight="1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</row>
    <row r="946" ht="12.75" customHeight="1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</row>
    <row r="947" ht="12.75" customHeight="1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</row>
    <row r="948" ht="12.75" customHeight="1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</row>
    <row r="949" ht="12.75" customHeight="1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</row>
    <row r="950" ht="12.75" customHeight="1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</row>
    <row r="951" ht="12.75" customHeight="1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</row>
    <row r="952" ht="12.75" customHeight="1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</row>
    <row r="953" ht="12.75" customHeight="1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</row>
    <row r="954" ht="12.75" customHeight="1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</row>
    <row r="955" ht="12.75" customHeight="1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</row>
    <row r="956" ht="12.75" customHeight="1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</row>
    <row r="957" ht="12.75" customHeight="1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</row>
    <row r="958" ht="12.75" customHeight="1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</row>
    <row r="959" ht="12.75" customHeight="1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</row>
    <row r="960" ht="12.75" customHeight="1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</row>
    <row r="961" ht="12.75" customHeight="1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</row>
    <row r="962" ht="12.75" customHeight="1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</row>
    <row r="963" ht="12.75" customHeight="1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</row>
    <row r="964" ht="12.75" customHeight="1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</row>
    <row r="965" ht="12.75" customHeight="1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</row>
    <row r="966" ht="12.75" customHeight="1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</row>
    <row r="967" ht="12.75" customHeight="1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</row>
    <row r="968" ht="12.75" customHeight="1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</row>
    <row r="969" ht="12.75" customHeight="1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</row>
    <row r="970" ht="12.75" customHeight="1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</row>
    <row r="971" ht="12.75" customHeight="1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</row>
    <row r="972" ht="12.75" customHeight="1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</row>
    <row r="973" ht="12.75" customHeight="1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</row>
    <row r="974" ht="12.75" customHeight="1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</row>
    <row r="975" ht="12.75" customHeight="1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</row>
    <row r="976" ht="12.75" customHeight="1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</row>
    <row r="977" ht="12.75" customHeight="1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</row>
    <row r="978" ht="12.75" customHeight="1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</row>
    <row r="979" ht="12.75" customHeight="1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</row>
    <row r="980" ht="12.75" customHeight="1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</row>
    <row r="981" ht="12.75" customHeight="1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</row>
    <row r="982" ht="12.75" customHeight="1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</row>
    <row r="983" ht="12.75" customHeight="1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</row>
    <row r="984" ht="12.75" customHeight="1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</row>
    <row r="985" ht="12.75" customHeight="1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</row>
    <row r="986" ht="12.75" customHeight="1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</row>
    <row r="987" ht="12.75" customHeight="1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</row>
    <row r="988" ht="12.75" customHeight="1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</row>
    <row r="989" ht="12.75" customHeight="1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</row>
    <row r="990" ht="12.75" customHeight="1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</row>
    <row r="991" ht="12.75" customHeight="1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</row>
    <row r="992" ht="12.75" customHeight="1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  <c r="Z992" s="138"/>
    </row>
    <row r="993" ht="12.75" customHeight="1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  <c r="Z993" s="138"/>
    </row>
    <row r="994" ht="12.75" customHeight="1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  <c r="Z994" s="138"/>
    </row>
    <row r="995" ht="12.75" customHeight="1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</row>
    <row r="996" ht="12.75" customHeight="1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  <c r="Z996" s="138"/>
    </row>
    <row r="997" ht="12.75" customHeight="1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  <c r="Z997" s="138"/>
    </row>
    <row r="998" ht="12.75" customHeight="1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  <c r="Z998" s="138"/>
    </row>
    <row r="999" ht="12.75" customHeight="1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  <c r="Z999" s="138"/>
    </row>
    <row r="1000" ht="12.75" customHeight="1">
      <c r="A1000" s="138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</row>
  </sheetData>
  <conditionalFormatting sqref="A6:Q90">
    <cfRule type="expression" dxfId="0" priority="1">
      <formula>MOD(ROW(),2)=0</formula>
    </cfRule>
  </conditionalFormatting>
  <printOptions/>
  <pageMargins bottom="0.57" footer="0.0" header="0.0" left="0.75" right="0.75" top="0.51"/>
  <pageSetup scale="68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5A5A5"/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2.63" defaultRowHeight="15.0"/>
  <cols>
    <col customWidth="1" min="1" max="6" width="8.63"/>
    <col customWidth="1" min="7" max="7" width="10.13"/>
    <col customWidth="1" min="8" max="8" width="11.0"/>
    <col customWidth="1" min="9" max="12" width="8.63"/>
    <col customWidth="1" min="13" max="13" width="10.0"/>
    <col customWidth="1" min="14" max="16" width="8.63"/>
    <col customWidth="1" min="17" max="26" width="9.38"/>
  </cols>
  <sheetData>
    <row r="1" ht="12.75" customHeight="1">
      <c r="A1" s="138"/>
      <c r="B1" s="288" t="s">
        <v>135</v>
      </c>
      <c r="C1" s="284"/>
      <c r="D1" s="284"/>
      <c r="E1" s="289"/>
      <c r="F1" s="138"/>
      <c r="G1" s="264" t="s">
        <v>113</v>
      </c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ht="12.75" customHeight="1">
      <c r="A2" s="138"/>
      <c r="B2" s="270" t="s">
        <v>115</v>
      </c>
      <c r="C2" s="138"/>
      <c r="D2" s="138"/>
      <c r="E2" s="138"/>
      <c r="F2" s="138"/>
      <c r="G2" s="264" t="s">
        <v>132</v>
      </c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</row>
    <row r="3" ht="12.75" customHeight="1">
      <c r="A3" s="138"/>
      <c r="B3" s="270" t="s">
        <v>134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</row>
    <row r="4" ht="12.75" customHeight="1">
      <c r="A4" s="290"/>
      <c r="B4" s="291" t="s">
        <v>16</v>
      </c>
      <c r="C4" s="291" t="s">
        <v>16</v>
      </c>
      <c r="D4" s="291" t="s">
        <v>34</v>
      </c>
      <c r="E4" s="291" t="s">
        <v>35</v>
      </c>
      <c r="F4" s="291" t="s">
        <v>36</v>
      </c>
      <c r="G4" s="291" t="s">
        <v>37</v>
      </c>
      <c r="H4" s="291" t="s">
        <v>38</v>
      </c>
      <c r="I4" s="291" t="s">
        <v>39</v>
      </c>
      <c r="J4" s="291" t="s">
        <v>40</v>
      </c>
      <c r="K4" s="291" t="s">
        <v>41</v>
      </c>
      <c r="L4" s="291" t="s">
        <v>42</v>
      </c>
      <c r="M4" s="291" t="s">
        <v>43</v>
      </c>
      <c r="N4" s="291" t="s">
        <v>44</v>
      </c>
      <c r="O4" s="291" t="s">
        <v>45</v>
      </c>
      <c r="P4" s="291" t="s">
        <v>46</v>
      </c>
      <c r="Q4" s="138"/>
      <c r="R4" s="138"/>
      <c r="S4" s="138"/>
      <c r="T4" s="138"/>
      <c r="U4" s="138"/>
      <c r="V4" s="138"/>
      <c r="W4" s="138"/>
      <c r="X4" s="138"/>
      <c r="Y4" s="138"/>
      <c r="Z4" s="138"/>
    </row>
    <row r="5" ht="12.75" customHeight="1">
      <c r="A5" s="271" t="s">
        <v>1</v>
      </c>
      <c r="B5" s="272" t="s">
        <v>48</v>
      </c>
      <c r="C5" s="272" t="s">
        <v>49</v>
      </c>
      <c r="D5" s="272" t="s">
        <v>50</v>
      </c>
      <c r="E5" s="272" t="s">
        <v>51</v>
      </c>
      <c r="F5" s="272" t="s">
        <v>52</v>
      </c>
      <c r="G5" s="272" t="s">
        <v>53</v>
      </c>
      <c r="H5" s="272" t="s">
        <v>54</v>
      </c>
      <c r="I5" s="272" t="s">
        <v>55</v>
      </c>
      <c r="J5" s="272" t="s">
        <v>56</v>
      </c>
      <c r="K5" s="272" t="s">
        <v>57</v>
      </c>
      <c r="L5" s="272" t="s">
        <v>58</v>
      </c>
      <c r="M5" s="272" t="s">
        <v>59</v>
      </c>
      <c r="N5" s="272" t="s">
        <v>60</v>
      </c>
      <c r="O5" s="272" t="s">
        <v>61</v>
      </c>
      <c r="P5" s="272" t="s">
        <v>62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294">
        <v>1.0</v>
      </c>
      <c r="B6" s="295">
        <f>ROUND((IF('F Intl Con Plus Base'!$B$120&gt;ROUND(((1-'F Intl Con Plus Base'!B107)*'F Intl Con Plus Base'!B3),2),ROUND('F Intl Con Plus Base'!$B$120*(1+International_Fuel_Surcharge),2),ROUND(((1-'F Intl Con Plus Base'!B107)*'F Intl Con Plus Base'!B3)*(1+International_Fuel_Surcharge),2)))*(1+FedEx_Markup),2)</f>
        <v>26.5</v>
      </c>
      <c r="C6" s="295">
        <f>ROUND((IF('F Intl Con Plus Base'!$C$120&gt;ROUND(((1-'F Intl Con Plus Base'!C107)*'F Intl Con Plus Base'!C3),2),ROUND('F Intl Con Plus Base'!$C$120*(1+International_Fuel_Surcharge),2),ROUND(((1-'F Intl Con Plus Base'!C107)*'F Intl Con Plus Base'!C3)*(1+International_Fuel_Surcharge),2)))*(1+FedEx_Markup),2)</f>
        <v>28.46</v>
      </c>
      <c r="D6" s="295">
        <f>ROUND((IF('F Intl Con Plus Base'!$D$120&gt;ROUND(((1-'F Intl Con Plus Base'!D107)*'F Intl Con Plus Base'!D3),2),ROUND('F Intl Con Plus Base'!$D$120*(1+International_Fuel_Surcharge),2),ROUND(((1-'F Intl Con Plus Base'!D107)*'F Intl Con Plus Base'!D3)*(1+International_Fuel_Surcharge),2)))*(1+FedEx_Markup),2)</f>
        <v>23.2</v>
      </c>
      <c r="E6" s="295">
        <f>ROUND((IF('F Intl Con Plus Base'!$E$120&gt;ROUND(((1-'F Intl Con Plus Base'!E107)*'F Intl Con Plus Base'!E3),2),ROUND('F Intl Con Plus Base'!$E$120*(1+International_Fuel_Surcharge),2),ROUND(((1-'F Intl Con Plus Base'!E107)*'F Intl Con Plus Base'!E3)*(1+International_Fuel_Surcharge),2)))*(1+FedEx_Markup),2)</f>
        <v>28.09</v>
      </c>
      <c r="F6" s="295">
        <f>ROUND((IF('F Intl Con Plus Base'!$F$120&gt;ROUND(((1-'F Intl Con Plus Base'!F107)*'F Intl Con Plus Base'!F3),2),ROUND('F Intl Con Plus Base'!$F$120*(1+International_Fuel_Surcharge),2),ROUND(((1-'F Intl Con Plus Base'!F107)*'F Intl Con Plus Base'!F3)*(1+International_Fuel_Surcharge),2)))*(1+FedEx_Markup),2)</f>
        <v>30.03</v>
      </c>
      <c r="G6" s="295">
        <f>ROUND((IF('F Intl Con Plus Base'!$G$120&gt;ROUND(((1-'F Intl Con Plus Base'!G107)*'F Intl Con Plus Base'!G3),2),ROUND('F Intl Con Plus Base'!$G$120*(1+International_Fuel_Surcharge),2),ROUND(((1-'F Intl Con Plus Base'!G107)*'F Intl Con Plus Base'!G3)*(1+International_Fuel_Surcharge),2)))*(1+FedEx_Markup),2)</f>
        <v>29.31</v>
      </c>
      <c r="H6" s="295">
        <f>ROUND((IF('F Intl Con Plus Base'!$H$120&gt;ROUND(((1-'F Intl Con Plus Base'!H107)*'F Intl Con Plus Base'!H3),2),ROUND('F Intl Con Plus Base'!$H$120*(1+International_Fuel_Surcharge),2),ROUND(((1-'F Intl Con Plus Base'!H107)*'F Intl Con Plus Base'!H3)*(1+International_Fuel_Surcharge),2)))*(1+FedEx_Markup),2)</f>
        <v>27.38</v>
      </c>
      <c r="I6" s="295">
        <f>ROUND((IF('F Intl Con Plus Base'!$I$120&gt;ROUND(((1-'F Intl Con Plus Base'!I107)*'F Intl Con Plus Base'!I3),2),ROUND('F Intl Con Plus Base'!$I$120*(1+International_Fuel_Surcharge),2),ROUND(((1-'F Intl Con Plus Base'!I107)*'F Intl Con Plus Base'!I3)*(1+International_Fuel_Surcharge),2)))*(1+FedEx_Markup),2)</f>
        <v>29.06</v>
      </c>
      <c r="J6" s="295">
        <f>ROUND((IF('F Intl Con Plus Base'!$J$120&gt;ROUND(((1-'F Intl Con Plus Base'!J107)*'F Intl Con Plus Base'!J3),2),ROUND('F Intl Con Plus Base'!$J$120*(1+International_Fuel_Surcharge),2),ROUND(((1-'F Intl Con Plus Base'!J107)*'F Intl Con Plus Base'!J3)*(1+International_Fuel_Surcharge),2)))*(1+FedEx_Markup),2)</f>
        <v>23.15</v>
      </c>
      <c r="K6" s="295">
        <f>ROUND((IF('F Intl Con Plus Base'!$K$120&gt;ROUND(((1-'F Intl Con Plus Base'!K107)*'F Intl Con Plus Base'!K3),2),ROUND('F Intl Con Plus Base'!$K$120*(1+International_Fuel_Surcharge),2),ROUND(((1-'F Intl Con Plus Base'!K107)*'F Intl Con Plus Base'!K3)*(1+International_Fuel_Surcharge),2)))*(1+FedEx_Markup),2)</f>
        <v>32.82</v>
      </c>
      <c r="L6" s="295">
        <f>ROUND((IF('F Intl Con Plus Base'!$L$120&gt;ROUND(((1-'F Intl Con Plus Base'!L107)*'F Intl Con Plus Base'!L3),2),ROUND('F Intl Con Plus Base'!$L$120*(1+International_Fuel_Surcharge),2),ROUND(((1-'F Intl Con Plus Base'!L107)*'F Intl Con Plus Base'!L3)*(1+International_Fuel_Surcharge),2)))*(1+FedEx_Markup),2)</f>
        <v>30.13</v>
      </c>
      <c r="M6" s="295">
        <f>ROUND((IF('F Intl Con Plus Base'!$M$120&gt;ROUND(((1-'F Intl Con Plus Base'!M107)*'F Intl Con Plus Base'!M3),2),ROUND('F Intl Con Plus Base'!$M$120*(1+International_Fuel_Surcharge),2),ROUND(((1-'F Intl Con Plus Base'!M107)*'F Intl Con Plus Base'!M3)*(1+International_Fuel_Surcharge),2)))*(1+FedEx_Markup),2)</f>
        <v>41.57</v>
      </c>
      <c r="N6" s="295">
        <f>ROUND((IF('F Intl Con Plus Base'!$N$120&gt;ROUND(((1-'F Intl Con Plus Base'!N107)*'F Intl Con Plus Base'!N3),2),ROUND('F Intl Con Plus Base'!$N$120*(1+International_Fuel_Surcharge),2),ROUND(((1-'F Intl Con Plus Base'!N107)*'F Intl Con Plus Base'!N3)*(1+International_Fuel_Surcharge),2)))*(1+FedEx_Markup),2)</f>
        <v>29.28</v>
      </c>
      <c r="O6" s="295">
        <f>ROUND((IF('F Intl Con Plus Base'!$O$120&gt;ROUND(((1-'F Intl Con Plus Base'!O107)*'F Intl Con Plus Base'!O3),2),ROUND('F Intl Con Plus Base'!$O$120*(1+International_Fuel_Surcharge),2),ROUND(((1-'F Intl Con Plus Base'!O107)*'F Intl Con Plus Base'!O3)*(1+International_Fuel_Surcharge),2)))*(1+FedEx_Markup),2)</f>
        <v>31.28</v>
      </c>
      <c r="P6" s="295">
        <f>ROUND((IF('F Intl Con Plus Base'!$P$120&gt;ROUND(((1-'F Intl Con Plus Base'!P107)*'F Intl Con Plus Base'!P3),2),ROUND('F Intl Con Plus Base'!$P$120*(1+International_Fuel_Surcharge),2),ROUND(((1-'F Intl Con Plus Base'!P107)*'F Intl Con Plus Base'!P3)*(1+International_Fuel_Surcharge),2)))*(1+FedEx_Markup),2)</f>
        <v>31.64</v>
      </c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294">
        <v>2.0</v>
      </c>
      <c r="B7" s="295">
        <f>ROUND((IF('F Intl Con Plus Base'!$B$120&gt;ROUND(((1-'F Intl Con Plus Base'!B108)*'F Intl Con Plus Base'!B4),2),ROUND('F Intl Con Plus Base'!$B$120*(1+International_Fuel_Surcharge),2),ROUND(((1-'F Intl Con Plus Base'!B108)*'F Intl Con Plus Base'!B4)*(1+International_Fuel_Surcharge),2)))*(1+FedEx_Markup),2)</f>
        <v>26.5</v>
      </c>
      <c r="C7" s="295">
        <f>ROUND((IF('F Intl Con Plus Base'!$C$120&gt;ROUND(((1-'F Intl Con Plus Base'!C108)*'F Intl Con Plus Base'!C4),2),ROUND('F Intl Con Plus Base'!$C$120*(1+International_Fuel_Surcharge),2),ROUND(((1-'F Intl Con Plus Base'!C108)*'F Intl Con Plus Base'!C4)*(1+International_Fuel_Surcharge),2)))*(1+FedEx_Markup),2)</f>
        <v>28.46</v>
      </c>
      <c r="D7" s="295">
        <f>ROUND((IF('F Intl Con Plus Base'!$D$120&gt;ROUND(((1-'F Intl Con Plus Base'!D108)*'F Intl Con Plus Base'!D4),2),ROUND('F Intl Con Plus Base'!$D$120*(1+International_Fuel_Surcharge),2),ROUND(((1-'F Intl Con Plus Base'!D108)*'F Intl Con Plus Base'!D4)*(1+International_Fuel_Surcharge),2)))*(1+FedEx_Markup),2)</f>
        <v>23.2</v>
      </c>
      <c r="E7" s="295">
        <f>ROUND((IF('F Intl Con Plus Base'!$E$120&gt;ROUND(((1-'F Intl Con Plus Base'!E108)*'F Intl Con Plus Base'!E4),2),ROUND('F Intl Con Plus Base'!$E$120*(1+International_Fuel_Surcharge),2),ROUND(((1-'F Intl Con Plus Base'!E108)*'F Intl Con Plus Base'!E4)*(1+International_Fuel_Surcharge),2)))*(1+FedEx_Markup),2)</f>
        <v>28.09</v>
      </c>
      <c r="F7" s="295">
        <f>ROUND((IF('F Intl Con Plus Base'!$F$120&gt;ROUND(((1-'F Intl Con Plus Base'!F108)*'F Intl Con Plus Base'!F4),2),ROUND('F Intl Con Plus Base'!$F$120*(1+International_Fuel_Surcharge),2),ROUND(((1-'F Intl Con Plus Base'!F108)*'F Intl Con Plus Base'!F4)*(1+International_Fuel_Surcharge),2)))*(1+FedEx_Markup),2)</f>
        <v>34.07</v>
      </c>
      <c r="G7" s="295">
        <f>ROUND((IF('F Intl Con Plus Base'!$G$120&gt;ROUND(((1-'F Intl Con Plus Base'!G108)*'F Intl Con Plus Base'!G4),2),ROUND('F Intl Con Plus Base'!$G$120*(1+International_Fuel_Surcharge),2),ROUND(((1-'F Intl Con Plus Base'!G108)*'F Intl Con Plus Base'!G4)*(1+International_Fuel_Surcharge),2)))*(1+FedEx_Markup),2)</f>
        <v>29.31</v>
      </c>
      <c r="H7" s="295">
        <f>ROUND((IF('F Intl Con Plus Base'!$H$120&gt;ROUND(((1-'F Intl Con Plus Base'!H108)*'F Intl Con Plus Base'!H4),2),ROUND('F Intl Con Plus Base'!$H$120*(1+International_Fuel_Surcharge),2),ROUND(((1-'F Intl Con Plus Base'!H108)*'F Intl Con Plus Base'!H4)*(1+International_Fuel_Surcharge),2)))*(1+FedEx_Markup),2)</f>
        <v>27.38</v>
      </c>
      <c r="I7" s="295">
        <f>ROUND((IF('F Intl Con Plus Base'!$I$120&gt;ROUND(((1-'F Intl Con Plus Base'!I108)*'F Intl Con Plus Base'!I4),2),ROUND('F Intl Con Plus Base'!$I$120*(1+International_Fuel_Surcharge),2),ROUND(((1-'F Intl Con Plus Base'!I108)*'F Intl Con Plus Base'!I4)*(1+International_Fuel_Surcharge),2)))*(1+FedEx_Markup),2)</f>
        <v>30.18</v>
      </c>
      <c r="J7" s="295">
        <f>ROUND((IF('F Intl Con Plus Base'!$J$120&gt;ROUND(((1-'F Intl Con Plus Base'!J108)*'F Intl Con Plus Base'!J4),2),ROUND('F Intl Con Plus Base'!$J$120*(1+International_Fuel_Surcharge),2),ROUND(((1-'F Intl Con Plus Base'!J108)*'F Intl Con Plus Base'!J4)*(1+International_Fuel_Surcharge),2)))*(1+FedEx_Markup),2)</f>
        <v>23.15</v>
      </c>
      <c r="K7" s="295">
        <f>ROUND((IF('F Intl Con Plus Base'!$K$120&gt;ROUND(((1-'F Intl Con Plus Base'!K108)*'F Intl Con Plus Base'!K4),2),ROUND('F Intl Con Plus Base'!$K$120*(1+International_Fuel_Surcharge),2),ROUND(((1-'F Intl Con Plus Base'!K108)*'F Intl Con Plus Base'!K4)*(1+International_Fuel_Surcharge),2)))*(1+FedEx_Markup),2)</f>
        <v>32.82</v>
      </c>
      <c r="L7" s="295">
        <f>ROUND((IF('F Intl Con Plus Base'!$L$120&gt;ROUND(((1-'F Intl Con Plus Base'!L108)*'F Intl Con Plus Base'!L4),2),ROUND('F Intl Con Plus Base'!$L$120*(1+International_Fuel_Surcharge),2),ROUND(((1-'F Intl Con Plus Base'!L108)*'F Intl Con Plus Base'!L4)*(1+International_Fuel_Surcharge),2)))*(1+FedEx_Markup),2)</f>
        <v>30.13</v>
      </c>
      <c r="M7" s="295">
        <f>ROUND((IF('F Intl Con Plus Base'!$M$120&gt;ROUND(((1-'F Intl Con Plus Base'!M108)*'F Intl Con Plus Base'!M4),2),ROUND('F Intl Con Plus Base'!$M$120*(1+International_Fuel_Surcharge),2),ROUND(((1-'F Intl Con Plus Base'!M108)*'F Intl Con Plus Base'!M4)*(1+International_Fuel_Surcharge),2)))*(1+FedEx_Markup),2)</f>
        <v>41.57</v>
      </c>
      <c r="N7" s="295">
        <f>ROUND((IF('F Intl Con Plus Base'!$N$120&gt;ROUND(((1-'F Intl Con Plus Base'!N108)*'F Intl Con Plus Base'!N4),2),ROUND('F Intl Con Plus Base'!$N$120*(1+International_Fuel_Surcharge),2),ROUND(((1-'F Intl Con Plus Base'!N108)*'F Intl Con Plus Base'!N4)*(1+International_Fuel_Surcharge),2)))*(1+FedEx_Markup),2)</f>
        <v>32.19</v>
      </c>
      <c r="O7" s="295">
        <f>ROUND((IF('F Intl Con Plus Base'!$O$120&gt;ROUND(((1-'F Intl Con Plus Base'!O108)*'F Intl Con Plus Base'!O4),2),ROUND('F Intl Con Plus Base'!$O$120*(1+International_Fuel_Surcharge),2),ROUND(((1-'F Intl Con Plus Base'!O108)*'F Intl Con Plus Base'!O4)*(1+International_Fuel_Surcharge),2)))*(1+FedEx_Markup),2)</f>
        <v>31.28</v>
      </c>
      <c r="P7" s="295">
        <f>ROUND((IF('F Intl Con Plus Base'!$P$120&gt;ROUND(((1-'F Intl Con Plus Base'!P108)*'F Intl Con Plus Base'!P4),2),ROUND('F Intl Con Plus Base'!$P$120*(1+International_Fuel_Surcharge),2),ROUND(((1-'F Intl Con Plus Base'!P108)*'F Intl Con Plus Base'!P4)*(1+International_Fuel_Surcharge),2)))*(1+FedEx_Markup),2)</f>
        <v>31.64</v>
      </c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294">
        <v>3.0</v>
      </c>
      <c r="B8" s="295">
        <f>ROUND((IF('F Intl Con Plus Base'!$B$120&gt;ROUND(((1-'F Intl Con Plus Base'!B109)*'F Intl Con Plus Base'!B5),2),ROUND('F Intl Con Plus Base'!$B$120*(1+International_Fuel_Surcharge),2),ROUND(((1-'F Intl Con Plus Base'!B109)*'F Intl Con Plus Base'!B5)*(1+International_Fuel_Surcharge),2)))*(1+FedEx_Markup),2)</f>
        <v>26.5</v>
      </c>
      <c r="C8" s="295">
        <f>ROUND((IF('F Intl Con Plus Base'!$C$120&gt;ROUND(((1-'F Intl Con Plus Base'!C109)*'F Intl Con Plus Base'!C5),2),ROUND('F Intl Con Plus Base'!$C$120*(1+International_Fuel_Surcharge),2),ROUND(((1-'F Intl Con Plus Base'!C109)*'F Intl Con Plus Base'!C5)*(1+International_Fuel_Surcharge),2)))*(1+FedEx_Markup),2)</f>
        <v>28.46</v>
      </c>
      <c r="D8" s="295">
        <f>ROUND((IF('F Intl Con Plus Base'!$D$120&gt;ROUND(((1-'F Intl Con Plus Base'!D109)*'F Intl Con Plus Base'!D5),2),ROUND('F Intl Con Plus Base'!$D$120*(1+International_Fuel_Surcharge),2),ROUND(((1-'F Intl Con Plus Base'!D109)*'F Intl Con Plus Base'!D5)*(1+International_Fuel_Surcharge),2)))*(1+FedEx_Markup),2)</f>
        <v>23.49</v>
      </c>
      <c r="E8" s="295">
        <f>ROUND((IF('F Intl Con Plus Base'!$E$120&gt;ROUND(((1-'F Intl Con Plus Base'!E109)*'F Intl Con Plus Base'!E5),2),ROUND('F Intl Con Plus Base'!$E$120*(1+International_Fuel_Surcharge),2),ROUND(((1-'F Intl Con Plus Base'!E109)*'F Intl Con Plus Base'!E5)*(1+International_Fuel_Surcharge),2)))*(1+FedEx_Markup),2)</f>
        <v>28.09</v>
      </c>
      <c r="F8" s="295">
        <f>ROUND((IF('F Intl Con Plus Base'!$F$120&gt;ROUND(((1-'F Intl Con Plus Base'!F109)*'F Intl Con Plus Base'!F5),2),ROUND('F Intl Con Plus Base'!$F$120*(1+International_Fuel_Surcharge),2),ROUND(((1-'F Intl Con Plus Base'!F109)*'F Intl Con Plus Base'!F5)*(1+International_Fuel_Surcharge),2)))*(1+FedEx_Markup),2)</f>
        <v>40.15</v>
      </c>
      <c r="G8" s="295">
        <f>ROUND((IF('F Intl Con Plus Base'!$G$120&gt;ROUND(((1-'F Intl Con Plus Base'!G109)*'F Intl Con Plus Base'!G5),2),ROUND('F Intl Con Plus Base'!$G$120*(1+International_Fuel_Surcharge),2),ROUND(((1-'F Intl Con Plus Base'!G109)*'F Intl Con Plus Base'!G5)*(1+International_Fuel_Surcharge),2)))*(1+FedEx_Markup),2)</f>
        <v>31.68</v>
      </c>
      <c r="H8" s="295">
        <f>ROUND((IF('F Intl Con Plus Base'!$H$120&gt;ROUND(((1-'F Intl Con Plus Base'!H109)*'F Intl Con Plus Base'!H5),2),ROUND('F Intl Con Plus Base'!$H$120*(1+International_Fuel_Surcharge),2),ROUND(((1-'F Intl Con Plus Base'!H109)*'F Intl Con Plus Base'!H5)*(1+International_Fuel_Surcharge),2)))*(1+FedEx_Markup),2)</f>
        <v>29.6</v>
      </c>
      <c r="I8" s="295">
        <f>ROUND((IF('F Intl Con Plus Base'!$I$120&gt;ROUND(((1-'F Intl Con Plus Base'!I109)*'F Intl Con Plus Base'!I5),2),ROUND('F Intl Con Plus Base'!$I$120*(1+International_Fuel_Surcharge),2),ROUND(((1-'F Intl Con Plus Base'!I109)*'F Intl Con Plus Base'!I5)*(1+International_Fuel_Surcharge),2)))*(1+FedEx_Markup),2)</f>
        <v>33.57</v>
      </c>
      <c r="J8" s="295">
        <f>ROUND((IF('F Intl Con Plus Base'!$J$120&gt;ROUND(((1-'F Intl Con Plus Base'!J109)*'F Intl Con Plus Base'!J5),2),ROUND('F Intl Con Plus Base'!$J$120*(1+International_Fuel_Surcharge),2),ROUND(((1-'F Intl Con Plus Base'!J109)*'F Intl Con Plus Base'!J5)*(1+International_Fuel_Surcharge),2)))*(1+FedEx_Markup),2)</f>
        <v>25.06</v>
      </c>
      <c r="K8" s="295">
        <f>ROUND((IF('F Intl Con Plus Base'!$K$120&gt;ROUND(((1-'F Intl Con Plus Base'!K109)*'F Intl Con Plus Base'!K5),2),ROUND('F Intl Con Plus Base'!$K$120*(1+International_Fuel_Surcharge),2),ROUND(((1-'F Intl Con Plus Base'!K109)*'F Intl Con Plus Base'!K5)*(1+International_Fuel_Surcharge),2)))*(1+FedEx_Markup),2)</f>
        <v>32.82</v>
      </c>
      <c r="L8" s="295">
        <f>ROUND((IF('F Intl Con Plus Base'!$L$120&gt;ROUND(((1-'F Intl Con Plus Base'!L109)*'F Intl Con Plus Base'!L5),2),ROUND('F Intl Con Plus Base'!$L$120*(1+International_Fuel_Surcharge),2),ROUND(((1-'F Intl Con Plus Base'!L109)*'F Intl Con Plus Base'!L5)*(1+International_Fuel_Surcharge),2)))*(1+FedEx_Markup),2)</f>
        <v>33.11</v>
      </c>
      <c r="M8" s="295">
        <f>ROUND((IF('F Intl Con Plus Base'!$M$120&gt;ROUND(((1-'F Intl Con Plus Base'!M109)*'F Intl Con Plus Base'!M5),2),ROUND('F Intl Con Plus Base'!$M$120*(1+International_Fuel_Surcharge),2),ROUND(((1-'F Intl Con Plus Base'!M109)*'F Intl Con Plus Base'!M5)*(1+International_Fuel_Surcharge),2)))*(1+FedEx_Markup),2)</f>
        <v>42.52</v>
      </c>
      <c r="N8" s="295">
        <f>ROUND((IF('F Intl Con Plus Base'!$N$120&gt;ROUND(((1-'F Intl Con Plus Base'!N109)*'F Intl Con Plus Base'!N5),2),ROUND('F Intl Con Plus Base'!$N$120*(1+International_Fuel_Surcharge),2),ROUND(((1-'F Intl Con Plus Base'!N109)*'F Intl Con Plus Base'!N5)*(1+International_Fuel_Surcharge),2)))*(1+FedEx_Markup),2)</f>
        <v>40.65</v>
      </c>
      <c r="O8" s="295">
        <f>ROUND((IF('F Intl Con Plus Base'!$O$120&gt;ROUND(((1-'F Intl Con Plus Base'!O109)*'F Intl Con Plus Base'!O5),2),ROUND('F Intl Con Plus Base'!$O$120*(1+International_Fuel_Surcharge),2),ROUND(((1-'F Intl Con Plus Base'!O109)*'F Intl Con Plus Base'!O5)*(1+International_Fuel_Surcharge),2)))*(1+FedEx_Markup),2)</f>
        <v>33.89</v>
      </c>
      <c r="P8" s="295">
        <f>ROUND((IF('F Intl Con Plus Base'!$P$120&gt;ROUND(((1-'F Intl Con Plus Base'!P109)*'F Intl Con Plus Base'!P5),2),ROUND('F Intl Con Plus Base'!$P$120*(1+International_Fuel_Surcharge),2),ROUND(((1-'F Intl Con Plus Base'!P109)*'F Intl Con Plus Base'!P5)*(1+International_Fuel_Surcharge),2)))*(1+FedEx_Markup),2)</f>
        <v>36.57</v>
      </c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294">
        <v>4.0</v>
      </c>
      <c r="B9" s="295">
        <f>ROUND((IF('F Intl Con Plus Base'!$B$120&gt;ROUND(((1-'F Intl Con Plus Base'!B110)*'F Intl Con Plus Base'!B6),2),ROUND('F Intl Con Plus Base'!$B$120*(1+International_Fuel_Surcharge),2),ROUND(((1-'F Intl Con Plus Base'!B110)*'F Intl Con Plus Base'!B6)*(1+International_Fuel_Surcharge),2)))*(1+FedEx_Markup),2)</f>
        <v>26.5</v>
      </c>
      <c r="C9" s="295">
        <f>ROUND((IF('F Intl Con Plus Base'!$C$120&gt;ROUND(((1-'F Intl Con Plus Base'!C110)*'F Intl Con Plus Base'!C6),2),ROUND('F Intl Con Plus Base'!$C$120*(1+International_Fuel_Surcharge),2),ROUND(((1-'F Intl Con Plus Base'!C110)*'F Intl Con Plus Base'!C6)*(1+International_Fuel_Surcharge),2)))*(1+FedEx_Markup),2)</f>
        <v>28.59</v>
      </c>
      <c r="D9" s="295">
        <f>ROUND((IF('F Intl Con Plus Base'!$D$120&gt;ROUND(((1-'F Intl Con Plus Base'!D110)*'F Intl Con Plus Base'!D6),2),ROUND('F Intl Con Plus Base'!$D$120*(1+International_Fuel_Surcharge),2),ROUND(((1-'F Intl Con Plus Base'!D110)*'F Intl Con Plus Base'!D6)*(1+International_Fuel_Surcharge),2)))*(1+FedEx_Markup),2)</f>
        <v>23.89</v>
      </c>
      <c r="E9" s="295">
        <f>ROUND((IF('F Intl Con Plus Base'!$E$120&gt;ROUND(((1-'F Intl Con Plus Base'!E110)*'F Intl Con Plus Base'!E6),2),ROUND('F Intl Con Plus Base'!$E$120*(1+International_Fuel_Surcharge),2),ROUND(((1-'F Intl Con Plus Base'!E110)*'F Intl Con Plus Base'!E6)*(1+International_Fuel_Surcharge),2)))*(1+FedEx_Markup),2)</f>
        <v>28.26</v>
      </c>
      <c r="F9" s="295">
        <f>ROUND((IF('F Intl Con Plus Base'!$F$120&gt;ROUND(((1-'F Intl Con Plus Base'!F110)*'F Intl Con Plus Base'!F6),2),ROUND('F Intl Con Plus Base'!$F$120*(1+International_Fuel_Surcharge),2),ROUND(((1-'F Intl Con Plus Base'!F110)*'F Intl Con Plus Base'!F6)*(1+International_Fuel_Surcharge),2)))*(1+FedEx_Markup),2)</f>
        <v>49.01</v>
      </c>
      <c r="G9" s="295">
        <f>ROUND((IF('F Intl Con Plus Base'!$G$120&gt;ROUND(((1-'F Intl Con Plus Base'!G110)*'F Intl Con Plus Base'!G6),2),ROUND('F Intl Con Plus Base'!$G$120*(1+International_Fuel_Surcharge),2),ROUND(((1-'F Intl Con Plus Base'!G110)*'F Intl Con Plus Base'!G6)*(1+International_Fuel_Surcharge),2)))*(1+FedEx_Markup),2)</f>
        <v>35.93</v>
      </c>
      <c r="H9" s="295">
        <f>ROUND((IF('F Intl Con Plus Base'!$H$120&gt;ROUND(((1-'F Intl Con Plus Base'!H110)*'F Intl Con Plus Base'!H6),2),ROUND('F Intl Con Plus Base'!$H$120*(1+International_Fuel_Surcharge),2),ROUND(((1-'F Intl Con Plus Base'!H110)*'F Intl Con Plus Base'!H6)*(1+International_Fuel_Surcharge),2)))*(1+FedEx_Markup),2)</f>
        <v>33.38</v>
      </c>
      <c r="I9" s="295">
        <f>ROUND((IF('F Intl Con Plus Base'!$I$120&gt;ROUND(((1-'F Intl Con Plus Base'!I110)*'F Intl Con Plus Base'!I6),2),ROUND('F Intl Con Plus Base'!$I$120*(1+International_Fuel_Surcharge),2),ROUND(((1-'F Intl Con Plus Base'!I110)*'F Intl Con Plus Base'!I6)*(1+International_Fuel_Surcharge),2)))*(1+FedEx_Markup),2)</f>
        <v>37.7</v>
      </c>
      <c r="J9" s="295">
        <f>ROUND((IF('F Intl Con Plus Base'!$J$120&gt;ROUND(((1-'F Intl Con Plus Base'!J110)*'F Intl Con Plus Base'!J6),2),ROUND('F Intl Con Plus Base'!$J$120*(1+International_Fuel_Surcharge),2),ROUND(((1-'F Intl Con Plus Base'!J110)*'F Intl Con Plus Base'!J6)*(1+International_Fuel_Surcharge),2)))*(1+FedEx_Markup),2)</f>
        <v>27.75</v>
      </c>
      <c r="K9" s="295">
        <f>ROUND((IF('F Intl Con Plus Base'!$K$120&gt;ROUND(((1-'F Intl Con Plus Base'!K110)*'F Intl Con Plus Base'!K6),2),ROUND('F Intl Con Plus Base'!$K$120*(1+International_Fuel_Surcharge),2),ROUND(((1-'F Intl Con Plus Base'!K110)*'F Intl Con Plus Base'!K6)*(1+International_Fuel_Surcharge),2)))*(1+FedEx_Markup),2)</f>
        <v>33.14</v>
      </c>
      <c r="L9" s="295">
        <f>ROUND((IF('F Intl Con Plus Base'!$L$120&gt;ROUND(((1-'F Intl Con Plus Base'!L110)*'F Intl Con Plus Base'!L6),2),ROUND('F Intl Con Plus Base'!$L$120*(1+International_Fuel_Surcharge),2),ROUND(((1-'F Intl Con Plus Base'!L110)*'F Intl Con Plus Base'!L6)*(1+International_Fuel_Surcharge),2)))*(1+FedEx_Markup),2)</f>
        <v>37.06</v>
      </c>
      <c r="M9" s="295">
        <f>ROUND((IF('F Intl Con Plus Base'!$M$120&gt;ROUND(((1-'F Intl Con Plus Base'!M110)*'F Intl Con Plus Base'!M6),2),ROUND('F Intl Con Plus Base'!$M$120*(1+International_Fuel_Surcharge),2),ROUND(((1-'F Intl Con Plus Base'!M110)*'F Intl Con Plus Base'!M6)*(1+International_Fuel_Surcharge),2)))*(1+FedEx_Markup),2)</f>
        <v>49.35</v>
      </c>
      <c r="N9" s="295">
        <f>ROUND((IF('F Intl Con Plus Base'!$N$120&gt;ROUND(((1-'F Intl Con Plus Base'!N110)*'F Intl Con Plus Base'!N6),2),ROUND('F Intl Con Plus Base'!$N$120*(1+International_Fuel_Surcharge),2),ROUND(((1-'F Intl Con Plus Base'!N110)*'F Intl Con Plus Base'!N6)*(1+International_Fuel_Surcharge),2)))*(1+FedEx_Markup),2)</f>
        <v>46.68</v>
      </c>
      <c r="O9" s="295">
        <f>ROUND((IF('F Intl Con Plus Base'!$O$120&gt;ROUND(((1-'F Intl Con Plus Base'!O110)*'F Intl Con Plus Base'!O6),2),ROUND('F Intl Con Plus Base'!$O$120*(1+International_Fuel_Surcharge),2),ROUND(((1-'F Intl Con Plus Base'!O110)*'F Intl Con Plus Base'!O6)*(1+International_Fuel_Surcharge),2)))*(1+FedEx_Markup),2)</f>
        <v>37.29</v>
      </c>
      <c r="P9" s="295">
        <f>ROUND((IF('F Intl Con Plus Base'!$P$120&gt;ROUND(((1-'F Intl Con Plus Base'!P110)*'F Intl Con Plus Base'!P6),2),ROUND('F Intl Con Plus Base'!$P$120*(1+International_Fuel_Surcharge),2),ROUND(((1-'F Intl Con Plus Base'!P110)*'F Intl Con Plus Base'!P6)*(1+International_Fuel_Surcharge),2)))*(1+FedEx_Markup),2)</f>
        <v>37.55</v>
      </c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2.75" customHeight="1">
      <c r="A10" s="294">
        <v>5.0</v>
      </c>
      <c r="B10" s="295">
        <f>ROUND((IF('F Intl Con Plus Base'!$B$120&gt;ROUND(((1-'F Intl Con Plus Base'!B111)*'F Intl Con Plus Base'!B7),2),ROUND('F Intl Con Plus Base'!$B$120*(1+International_Fuel_Surcharge),2),ROUND(((1-'F Intl Con Plus Base'!B111)*'F Intl Con Plus Base'!B7)*(1+International_Fuel_Surcharge),2)))*(1+FedEx_Markup),2)</f>
        <v>26.5</v>
      </c>
      <c r="C10" s="295">
        <f>ROUND((IF('F Intl Con Plus Base'!$C$120&gt;ROUND(((1-'F Intl Con Plus Base'!C111)*'F Intl Con Plus Base'!C7),2),ROUND('F Intl Con Plus Base'!$C$120*(1+International_Fuel_Surcharge),2),ROUND(((1-'F Intl Con Plus Base'!C111)*'F Intl Con Plus Base'!C7)*(1+International_Fuel_Surcharge),2)))*(1+FedEx_Markup),2)</f>
        <v>30.61</v>
      </c>
      <c r="D10" s="295">
        <f>ROUND((IF('F Intl Con Plus Base'!$D$120&gt;ROUND(((1-'F Intl Con Plus Base'!D111)*'F Intl Con Plus Base'!D7),2),ROUND('F Intl Con Plus Base'!$D$120*(1+International_Fuel_Surcharge),2),ROUND(((1-'F Intl Con Plus Base'!D111)*'F Intl Con Plus Base'!D7)*(1+International_Fuel_Surcharge),2)))*(1+FedEx_Markup),2)</f>
        <v>27.95</v>
      </c>
      <c r="E10" s="295">
        <f>ROUND((IF('F Intl Con Plus Base'!$E$120&gt;ROUND(((1-'F Intl Con Plus Base'!E111)*'F Intl Con Plus Base'!E7),2),ROUND('F Intl Con Plus Base'!$E$120*(1+International_Fuel_Surcharge),2),ROUND(((1-'F Intl Con Plus Base'!E111)*'F Intl Con Plus Base'!E7)*(1+International_Fuel_Surcharge),2)))*(1+FedEx_Markup),2)</f>
        <v>30.56</v>
      </c>
      <c r="F10" s="295">
        <f>ROUND((IF('F Intl Con Plus Base'!$F$120&gt;ROUND(((1-'F Intl Con Plus Base'!F111)*'F Intl Con Plus Base'!F7),2),ROUND('F Intl Con Plus Base'!$F$120*(1+International_Fuel_Surcharge),2),ROUND(((1-'F Intl Con Plus Base'!F111)*'F Intl Con Plus Base'!F7)*(1+International_Fuel_Surcharge),2)))*(1+FedEx_Markup),2)</f>
        <v>56.42</v>
      </c>
      <c r="G10" s="295">
        <f>ROUND((IF('F Intl Con Plus Base'!$G$120&gt;ROUND(((1-'F Intl Con Plus Base'!G111)*'F Intl Con Plus Base'!G7),2),ROUND('F Intl Con Plus Base'!$G$120*(1+International_Fuel_Surcharge),2),ROUND(((1-'F Intl Con Plus Base'!G111)*'F Intl Con Plus Base'!G7)*(1+International_Fuel_Surcharge),2)))*(1+FedEx_Markup),2)</f>
        <v>39.33</v>
      </c>
      <c r="H10" s="295">
        <f>ROUND((IF('F Intl Con Plus Base'!$H$120&gt;ROUND(((1-'F Intl Con Plus Base'!H111)*'F Intl Con Plus Base'!H7),2),ROUND('F Intl Con Plus Base'!$H$120*(1+International_Fuel_Surcharge),2),ROUND(((1-'F Intl Con Plus Base'!H111)*'F Intl Con Plus Base'!H7)*(1+International_Fuel_Surcharge),2)))*(1+FedEx_Markup),2)</f>
        <v>39.33</v>
      </c>
      <c r="I10" s="295">
        <f>ROUND((IF('F Intl Con Plus Base'!$I$120&gt;ROUND(((1-'F Intl Con Plus Base'!I111)*'F Intl Con Plus Base'!I7),2),ROUND('F Intl Con Plus Base'!$I$120*(1+International_Fuel_Surcharge),2),ROUND(((1-'F Intl Con Plus Base'!I111)*'F Intl Con Plus Base'!I7)*(1+International_Fuel_Surcharge),2)))*(1+FedEx_Markup),2)</f>
        <v>44.82</v>
      </c>
      <c r="J10" s="295">
        <f>ROUND((IF('F Intl Con Plus Base'!$J$120&gt;ROUND(((1-'F Intl Con Plus Base'!J111)*'F Intl Con Plus Base'!J7),2),ROUND('F Intl Con Plus Base'!$J$120*(1+International_Fuel_Surcharge),2),ROUND(((1-'F Intl Con Plus Base'!J111)*'F Intl Con Plus Base'!J7)*(1+International_Fuel_Surcharge),2)))*(1+FedEx_Markup),2)</f>
        <v>29.37</v>
      </c>
      <c r="K10" s="295">
        <f>ROUND((IF('F Intl Con Plus Base'!$K$120&gt;ROUND(((1-'F Intl Con Plus Base'!K111)*'F Intl Con Plus Base'!K7),2),ROUND('F Intl Con Plus Base'!$K$120*(1+International_Fuel_Surcharge),2),ROUND(((1-'F Intl Con Plus Base'!K111)*'F Intl Con Plus Base'!K7)*(1+International_Fuel_Surcharge),2)))*(1+FedEx_Markup),2)</f>
        <v>36.29</v>
      </c>
      <c r="L10" s="295">
        <f>ROUND((IF('F Intl Con Plus Base'!$L$120&gt;ROUND(((1-'F Intl Con Plus Base'!L111)*'F Intl Con Plus Base'!L7),2),ROUND('F Intl Con Plus Base'!$L$120*(1+International_Fuel_Surcharge),2),ROUND(((1-'F Intl Con Plus Base'!L111)*'F Intl Con Plus Base'!L7)*(1+International_Fuel_Surcharge),2)))*(1+FedEx_Markup),2)</f>
        <v>41.72</v>
      </c>
      <c r="M10" s="295">
        <f>ROUND((IF('F Intl Con Plus Base'!$M$120&gt;ROUND(((1-'F Intl Con Plus Base'!M111)*'F Intl Con Plus Base'!M7),2),ROUND('F Intl Con Plus Base'!$M$120*(1+International_Fuel_Surcharge),2),ROUND(((1-'F Intl Con Plus Base'!M111)*'F Intl Con Plus Base'!M7)*(1+International_Fuel_Surcharge),2)))*(1+FedEx_Markup),2)</f>
        <v>53.3</v>
      </c>
      <c r="N10" s="295">
        <f>ROUND((IF('F Intl Con Plus Base'!$N$120&gt;ROUND(((1-'F Intl Con Plus Base'!N111)*'F Intl Con Plus Base'!N7),2),ROUND('F Intl Con Plus Base'!$N$120*(1+International_Fuel_Surcharge),2),ROUND(((1-'F Intl Con Plus Base'!N111)*'F Intl Con Plus Base'!N7)*(1+International_Fuel_Surcharge),2)))*(1+FedEx_Markup),2)</f>
        <v>53.48</v>
      </c>
      <c r="O10" s="295">
        <f>ROUND((IF('F Intl Con Plus Base'!$O$120&gt;ROUND(((1-'F Intl Con Plus Base'!O111)*'F Intl Con Plus Base'!O7),2),ROUND('F Intl Con Plus Base'!$O$120*(1+International_Fuel_Surcharge),2),ROUND(((1-'F Intl Con Plus Base'!O111)*'F Intl Con Plus Base'!O7)*(1+International_Fuel_Surcharge),2)))*(1+FedEx_Markup),2)</f>
        <v>39.18</v>
      </c>
      <c r="P10" s="295">
        <f>ROUND((IF('F Intl Con Plus Base'!$P$120&gt;ROUND(((1-'F Intl Con Plus Base'!P111)*'F Intl Con Plus Base'!P7),2),ROUND('F Intl Con Plus Base'!$P$120*(1+International_Fuel_Surcharge),2),ROUND(((1-'F Intl Con Plus Base'!P111)*'F Intl Con Plus Base'!P7)*(1+International_Fuel_Surcharge),2)))*(1+FedEx_Markup),2)</f>
        <v>39.77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294">
        <v>6.0</v>
      </c>
      <c r="B11" s="295">
        <f>ROUND((IF('F Intl Con Plus Base'!$B$120&gt;ROUND(((1-'F Intl Con Plus Base'!B112)*'F Intl Con Plus Base'!B8),2),ROUND('F Intl Con Plus Base'!$B$120*(1+International_Fuel_Surcharge),2),ROUND(((1-'F Intl Con Plus Base'!B112)*'F Intl Con Plus Base'!B8)*(1+International_Fuel_Surcharge),2)))*(1+FedEx_Markup),2)</f>
        <v>26.5</v>
      </c>
      <c r="C11" s="295">
        <f>ROUND((IF('F Intl Con Plus Base'!$C$120&gt;ROUND(((1-'F Intl Con Plus Base'!C112)*'F Intl Con Plus Base'!C8),2),ROUND('F Intl Con Plus Base'!$C$120*(1+International_Fuel_Surcharge),2),ROUND(((1-'F Intl Con Plus Base'!C112)*'F Intl Con Plus Base'!C8)*(1+International_Fuel_Surcharge),2)))*(1+FedEx_Markup),2)</f>
        <v>30.71</v>
      </c>
      <c r="D11" s="295">
        <f>ROUND((IF('F Intl Con Plus Base'!$D$120&gt;ROUND(((1-'F Intl Con Plus Base'!D112)*'F Intl Con Plus Base'!D8),2),ROUND('F Intl Con Plus Base'!$D$120*(1+International_Fuel_Surcharge),2),ROUND(((1-'F Intl Con Plus Base'!D112)*'F Intl Con Plus Base'!D8)*(1+International_Fuel_Surcharge),2)))*(1+FedEx_Markup),2)</f>
        <v>29.03</v>
      </c>
      <c r="E11" s="295">
        <f>ROUND((IF('F Intl Con Plus Base'!$E$120&gt;ROUND(((1-'F Intl Con Plus Base'!E112)*'F Intl Con Plus Base'!E8),2),ROUND('F Intl Con Plus Base'!$E$120*(1+International_Fuel_Surcharge),2),ROUND(((1-'F Intl Con Plus Base'!E112)*'F Intl Con Plus Base'!E8)*(1+International_Fuel_Surcharge),2)))*(1+FedEx_Markup),2)</f>
        <v>30.72</v>
      </c>
      <c r="F11" s="295">
        <f>ROUND((IF('F Intl Con Plus Base'!$F$120&gt;ROUND(((1-'F Intl Con Plus Base'!F112)*'F Intl Con Plus Base'!F8),2),ROUND('F Intl Con Plus Base'!$F$120*(1+International_Fuel_Surcharge),2),ROUND(((1-'F Intl Con Plus Base'!F112)*'F Intl Con Plus Base'!F8)*(1+International_Fuel_Surcharge),2)))*(1+FedEx_Markup),2)</f>
        <v>59.83</v>
      </c>
      <c r="G11" s="295">
        <f>ROUND((IF('F Intl Con Plus Base'!$G$120&gt;ROUND(((1-'F Intl Con Plus Base'!G112)*'F Intl Con Plus Base'!G8),2),ROUND('F Intl Con Plus Base'!$G$120*(1+International_Fuel_Surcharge),2),ROUND(((1-'F Intl Con Plus Base'!G112)*'F Intl Con Plus Base'!G8)*(1+International_Fuel_Surcharge),2)))*(1+FedEx_Markup),2)</f>
        <v>46.17</v>
      </c>
      <c r="H11" s="295">
        <f>ROUND((IF('F Intl Con Plus Base'!$H$120&gt;ROUND(((1-'F Intl Con Plus Base'!H112)*'F Intl Con Plus Base'!H8),2),ROUND('F Intl Con Plus Base'!$H$120*(1+International_Fuel_Surcharge),2),ROUND(((1-'F Intl Con Plus Base'!H112)*'F Intl Con Plus Base'!H8)*(1+International_Fuel_Surcharge),2)))*(1+FedEx_Markup),2)</f>
        <v>42.44</v>
      </c>
      <c r="I11" s="295">
        <f>ROUND((IF('F Intl Con Plus Base'!$I$120&gt;ROUND(((1-'F Intl Con Plus Base'!I112)*'F Intl Con Plus Base'!I8),2),ROUND('F Intl Con Plus Base'!$I$120*(1+International_Fuel_Surcharge),2),ROUND(((1-'F Intl Con Plus Base'!I112)*'F Intl Con Plus Base'!I8)*(1+International_Fuel_Surcharge),2)))*(1+FedEx_Markup),2)</f>
        <v>47.6</v>
      </c>
      <c r="J11" s="295">
        <f>ROUND((IF('F Intl Con Plus Base'!$J$120&gt;ROUND(((1-'F Intl Con Plus Base'!J112)*'F Intl Con Plus Base'!J8),2),ROUND('F Intl Con Plus Base'!$J$120*(1+International_Fuel_Surcharge),2),ROUND(((1-'F Intl Con Plus Base'!J112)*'F Intl Con Plus Base'!J8)*(1+International_Fuel_Surcharge),2)))*(1+FedEx_Markup),2)</f>
        <v>32.81</v>
      </c>
      <c r="K11" s="295">
        <f>ROUND((IF('F Intl Con Plus Base'!$K$120&gt;ROUND(((1-'F Intl Con Plus Base'!K112)*'F Intl Con Plus Base'!K8),2),ROUND('F Intl Con Plus Base'!$K$120*(1+International_Fuel_Surcharge),2),ROUND(((1-'F Intl Con Plus Base'!K112)*'F Intl Con Plus Base'!K8)*(1+International_Fuel_Surcharge),2)))*(1+FedEx_Markup),2)</f>
        <v>35.01</v>
      </c>
      <c r="L11" s="295">
        <f>ROUND((IF('F Intl Con Plus Base'!$L$120&gt;ROUND(((1-'F Intl Con Plus Base'!L112)*'F Intl Con Plus Base'!L8),2),ROUND('F Intl Con Plus Base'!$L$120*(1+International_Fuel_Surcharge),2),ROUND(((1-'F Intl Con Plus Base'!L112)*'F Intl Con Plus Base'!L8)*(1+International_Fuel_Surcharge),2)))*(1+FedEx_Markup),2)</f>
        <v>44.06</v>
      </c>
      <c r="M11" s="295">
        <f>ROUND((IF('F Intl Con Plus Base'!$M$120&gt;ROUND(((1-'F Intl Con Plus Base'!M112)*'F Intl Con Plus Base'!M8),2),ROUND('F Intl Con Plus Base'!$M$120*(1+International_Fuel_Surcharge),2),ROUND(((1-'F Intl Con Plus Base'!M112)*'F Intl Con Plus Base'!M8)*(1+International_Fuel_Surcharge),2)))*(1+FedEx_Markup),2)</f>
        <v>66.21</v>
      </c>
      <c r="N11" s="295">
        <f>ROUND((IF('F Intl Con Plus Base'!$N$120&gt;ROUND(((1-'F Intl Con Plus Base'!N112)*'F Intl Con Plus Base'!N8),2),ROUND('F Intl Con Plus Base'!$N$120*(1+International_Fuel_Surcharge),2),ROUND(((1-'F Intl Con Plus Base'!N112)*'F Intl Con Plus Base'!N8)*(1+International_Fuel_Surcharge),2)))*(1+FedEx_Markup),2)</f>
        <v>61.51</v>
      </c>
      <c r="O11" s="295">
        <f>ROUND((IF('F Intl Con Plus Base'!$O$120&gt;ROUND(((1-'F Intl Con Plus Base'!O112)*'F Intl Con Plus Base'!O8),2),ROUND('F Intl Con Plus Base'!$O$120*(1+International_Fuel_Surcharge),2),ROUND(((1-'F Intl Con Plus Base'!O112)*'F Intl Con Plus Base'!O8)*(1+International_Fuel_Surcharge),2)))*(1+FedEx_Markup),2)</f>
        <v>45.82</v>
      </c>
      <c r="P11" s="295">
        <f>ROUND((IF('F Intl Con Plus Base'!$P$120&gt;ROUND(((1-'F Intl Con Plus Base'!P112)*'F Intl Con Plus Base'!P8),2),ROUND('F Intl Con Plus Base'!$P$120*(1+International_Fuel_Surcharge),2),ROUND(((1-'F Intl Con Plus Base'!P112)*'F Intl Con Plus Base'!P8)*(1+International_Fuel_Surcharge),2)))*(1+FedEx_Markup),2)</f>
        <v>42.7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2.75" customHeight="1">
      <c r="A12" s="294">
        <v>7.0</v>
      </c>
      <c r="B12" s="295">
        <f>ROUND((IF('F Intl Con Plus Base'!$B$120&gt;ROUND(((1-'F Intl Con Plus Base'!B113)*'F Intl Con Plus Base'!B9),2),ROUND('F Intl Con Plus Base'!$B$120*(1+International_Fuel_Surcharge),2),ROUND(((1-'F Intl Con Plus Base'!B113)*'F Intl Con Plus Base'!B9)*(1+International_Fuel_Surcharge),2)))*(1+FedEx_Markup),2)</f>
        <v>27.5</v>
      </c>
      <c r="C12" s="295">
        <f>ROUND((IF('F Intl Con Plus Base'!$C$120&gt;ROUND(((1-'F Intl Con Plus Base'!C113)*'F Intl Con Plus Base'!C9),2),ROUND('F Intl Con Plus Base'!$C$120*(1+International_Fuel_Surcharge),2),ROUND(((1-'F Intl Con Plus Base'!C113)*'F Intl Con Plus Base'!C9)*(1+International_Fuel_Surcharge),2)))*(1+FedEx_Markup),2)</f>
        <v>31.94</v>
      </c>
      <c r="D12" s="295">
        <f>ROUND((IF('F Intl Con Plus Base'!$D$120&gt;ROUND(((1-'F Intl Con Plus Base'!D113)*'F Intl Con Plus Base'!D9),2),ROUND('F Intl Con Plus Base'!$D$120*(1+International_Fuel_Surcharge),2),ROUND(((1-'F Intl Con Plus Base'!D113)*'F Intl Con Plus Base'!D9)*(1+International_Fuel_Surcharge),2)))*(1+FedEx_Markup),2)</f>
        <v>32.89</v>
      </c>
      <c r="E12" s="295">
        <f>ROUND((IF('F Intl Con Plus Base'!$E$120&gt;ROUND(((1-'F Intl Con Plus Base'!E113)*'F Intl Con Plus Base'!E9),2),ROUND('F Intl Con Plus Base'!$E$120*(1+International_Fuel_Surcharge),2),ROUND(((1-'F Intl Con Plus Base'!E113)*'F Intl Con Plus Base'!E9)*(1+International_Fuel_Surcharge),2)))*(1+FedEx_Markup),2)</f>
        <v>31.31</v>
      </c>
      <c r="F12" s="295">
        <f>ROUND((IF('F Intl Con Plus Base'!$F$120&gt;ROUND(((1-'F Intl Con Plus Base'!F113)*'F Intl Con Plus Base'!F9),2),ROUND('F Intl Con Plus Base'!$F$120*(1+International_Fuel_Surcharge),2),ROUND(((1-'F Intl Con Plus Base'!F113)*'F Intl Con Plus Base'!F9)*(1+International_Fuel_Surcharge),2)))*(1+FedEx_Markup),2)</f>
        <v>66.68</v>
      </c>
      <c r="G12" s="295">
        <f>ROUND((IF('F Intl Con Plus Base'!$G$120&gt;ROUND(((1-'F Intl Con Plus Base'!G113)*'F Intl Con Plus Base'!G9),2),ROUND('F Intl Con Plus Base'!$G$120*(1+International_Fuel_Surcharge),2),ROUND(((1-'F Intl Con Plus Base'!G113)*'F Intl Con Plus Base'!G9)*(1+International_Fuel_Surcharge),2)))*(1+FedEx_Markup),2)</f>
        <v>47.27</v>
      </c>
      <c r="H12" s="295">
        <f>ROUND((IF('F Intl Con Plus Base'!$H$120&gt;ROUND(((1-'F Intl Con Plus Base'!H113)*'F Intl Con Plus Base'!H9),2),ROUND('F Intl Con Plus Base'!$H$120*(1+International_Fuel_Surcharge),2),ROUND(((1-'F Intl Con Plus Base'!H113)*'F Intl Con Plus Base'!H9)*(1+International_Fuel_Surcharge),2)))*(1+FedEx_Markup),2)</f>
        <v>42.88</v>
      </c>
      <c r="I12" s="295">
        <f>ROUND((IF('F Intl Con Plus Base'!$I$120&gt;ROUND(((1-'F Intl Con Plus Base'!I113)*'F Intl Con Plus Base'!I9),2),ROUND('F Intl Con Plus Base'!$I$120*(1+International_Fuel_Surcharge),2),ROUND(((1-'F Intl Con Plus Base'!I113)*'F Intl Con Plus Base'!I9)*(1+International_Fuel_Surcharge),2)))*(1+FedEx_Markup),2)</f>
        <v>48.9</v>
      </c>
      <c r="J12" s="295">
        <f>ROUND((IF('F Intl Con Plus Base'!$J$120&gt;ROUND(((1-'F Intl Con Plus Base'!J113)*'F Intl Con Plus Base'!J9),2),ROUND('F Intl Con Plus Base'!$J$120*(1+International_Fuel_Surcharge),2),ROUND(((1-'F Intl Con Plus Base'!J113)*'F Intl Con Plus Base'!J9)*(1+International_Fuel_Surcharge),2)))*(1+FedEx_Markup),2)</f>
        <v>35.68</v>
      </c>
      <c r="K12" s="295">
        <f>ROUND((IF('F Intl Con Plus Base'!$K$120&gt;ROUND(((1-'F Intl Con Plus Base'!K113)*'F Intl Con Plus Base'!K9),2),ROUND('F Intl Con Plus Base'!$K$120*(1+International_Fuel_Surcharge),2),ROUND(((1-'F Intl Con Plus Base'!K113)*'F Intl Con Plus Base'!K9)*(1+International_Fuel_Surcharge),2)))*(1+FedEx_Markup),2)</f>
        <v>38.51</v>
      </c>
      <c r="L12" s="295">
        <f>ROUND((IF('F Intl Con Plus Base'!$L$120&gt;ROUND(((1-'F Intl Con Plus Base'!L113)*'F Intl Con Plus Base'!L9),2),ROUND('F Intl Con Plus Base'!$L$120*(1+International_Fuel_Surcharge),2),ROUND(((1-'F Intl Con Plus Base'!L113)*'F Intl Con Plus Base'!L9)*(1+International_Fuel_Surcharge),2)))*(1+FedEx_Markup),2)</f>
        <v>51</v>
      </c>
      <c r="M12" s="295">
        <f>ROUND((IF('F Intl Con Plus Base'!$M$120&gt;ROUND(((1-'F Intl Con Plus Base'!M113)*'F Intl Con Plus Base'!M9),2),ROUND('F Intl Con Plus Base'!$M$120*(1+International_Fuel_Surcharge),2),ROUND(((1-'F Intl Con Plus Base'!M113)*'F Intl Con Plus Base'!M9)*(1+International_Fuel_Surcharge),2)))*(1+FedEx_Markup),2)</f>
        <v>67.49</v>
      </c>
      <c r="N12" s="295">
        <f>ROUND((IF('F Intl Con Plus Base'!$N$120&gt;ROUND(((1-'F Intl Con Plus Base'!N113)*'F Intl Con Plus Base'!N9),2),ROUND('F Intl Con Plus Base'!$N$120*(1+International_Fuel_Surcharge),2),ROUND(((1-'F Intl Con Plus Base'!N113)*'F Intl Con Plus Base'!N9)*(1+International_Fuel_Surcharge),2)))*(1+FedEx_Markup),2)</f>
        <v>64.42</v>
      </c>
      <c r="O12" s="295">
        <f>ROUND((IF('F Intl Con Plus Base'!$O$120&gt;ROUND(((1-'F Intl Con Plus Base'!O113)*'F Intl Con Plus Base'!O9),2),ROUND('F Intl Con Plus Base'!$O$120*(1+International_Fuel_Surcharge),2),ROUND(((1-'F Intl Con Plus Base'!O113)*'F Intl Con Plus Base'!O9)*(1+International_Fuel_Surcharge),2)))*(1+FedEx_Markup),2)</f>
        <v>46.48</v>
      </c>
      <c r="P12" s="295">
        <f>ROUND((IF('F Intl Con Plus Base'!$P$120&gt;ROUND(((1-'F Intl Con Plus Base'!P113)*'F Intl Con Plus Base'!P9),2),ROUND('F Intl Con Plus Base'!$P$120*(1+International_Fuel_Surcharge),2),ROUND(((1-'F Intl Con Plus Base'!P113)*'F Intl Con Plus Base'!P9)*(1+International_Fuel_Surcharge),2)))*(1+FedEx_Markup),2)</f>
        <v>47.23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294">
        <v>8.0</v>
      </c>
      <c r="B13" s="295">
        <f>ROUND((IF('F Intl Con Plus Base'!$B$120&gt;ROUND(((1-'F Intl Con Plus Base'!B114)*'F Intl Con Plus Base'!B10),2),ROUND('F Intl Con Plus Base'!$B$120*(1+International_Fuel_Surcharge),2),ROUND(((1-'F Intl Con Plus Base'!B114)*'F Intl Con Plus Base'!B10)*(1+International_Fuel_Surcharge),2)))*(1+FedEx_Markup),2)</f>
        <v>28.7</v>
      </c>
      <c r="C13" s="295">
        <f>ROUND((IF('F Intl Con Plus Base'!$C$120&gt;ROUND(((1-'F Intl Con Plus Base'!C114)*'F Intl Con Plus Base'!C10),2),ROUND('F Intl Con Plus Base'!$C$120*(1+International_Fuel_Surcharge),2),ROUND(((1-'F Intl Con Plus Base'!C114)*'F Intl Con Plus Base'!C10)*(1+International_Fuel_Surcharge),2)))*(1+FedEx_Markup),2)</f>
        <v>33.18</v>
      </c>
      <c r="D13" s="295">
        <f>ROUND((IF('F Intl Con Plus Base'!$D$120&gt;ROUND(((1-'F Intl Con Plus Base'!D114)*'F Intl Con Plus Base'!D10),2),ROUND('F Intl Con Plus Base'!$D$120*(1+International_Fuel_Surcharge),2),ROUND(((1-'F Intl Con Plus Base'!D114)*'F Intl Con Plus Base'!D10)*(1+International_Fuel_Surcharge),2)))*(1+FedEx_Markup),2)</f>
        <v>34.93</v>
      </c>
      <c r="E13" s="295">
        <f>ROUND((IF('F Intl Con Plus Base'!$E$120&gt;ROUND(((1-'F Intl Con Plus Base'!E114)*'F Intl Con Plus Base'!E10),2),ROUND('F Intl Con Plus Base'!$E$120*(1+International_Fuel_Surcharge),2),ROUND(((1-'F Intl Con Plus Base'!E114)*'F Intl Con Plus Base'!E10)*(1+International_Fuel_Surcharge),2)))*(1+FedEx_Markup),2)</f>
        <v>32.45</v>
      </c>
      <c r="F13" s="295">
        <f>ROUND((IF('F Intl Con Plus Base'!$F$120&gt;ROUND(((1-'F Intl Con Plus Base'!F114)*'F Intl Con Plus Base'!F10),2),ROUND('F Intl Con Plus Base'!$F$120*(1+International_Fuel_Surcharge),2),ROUND(((1-'F Intl Con Plus Base'!F114)*'F Intl Con Plus Base'!F10)*(1+International_Fuel_Surcharge),2)))*(1+FedEx_Markup),2)</f>
        <v>67.37</v>
      </c>
      <c r="G13" s="295">
        <f>ROUND((IF('F Intl Con Plus Base'!$G$120&gt;ROUND(((1-'F Intl Con Plus Base'!G114)*'F Intl Con Plus Base'!G10),2),ROUND('F Intl Con Plus Base'!$G$120*(1+International_Fuel_Surcharge),2),ROUND(((1-'F Intl Con Plus Base'!G114)*'F Intl Con Plus Base'!G10)*(1+International_Fuel_Surcharge),2)))*(1+FedEx_Markup),2)</f>
        <v>48.92</v>
      </c>
      <c r="H13" s="295">
        <f>ROUND((IF('F Intl Con Plus Base'!$H$120&gt;ROUND(((1-'F Intl Con Plus Base'!H114)*'F Intl Con Plus Base'!H10),2),ROUND('F Intl Con Plus Base'!$H$120*(1+International_Fuel_Surcharge),2),ROUND(((1-'F Intl Con Plus Base'!H114)*'F Intl Con Plus Base'!H10)*(1+International_Fuel_Surcharge),2)))*(1+FedEx_Markup),2)</f>
        <v>43.25</v>
      </c>
      <c r="I13" s="295">
        <f>ROUND((IF('F Intl Con Plus Base'!$I$120&gt;ROUND(((1-'F Intl Con Plus Base'!I114)*'F Intl Con Plus Base'!I10),2),ROUND('F Intl Con Plus Base'!$I$120*(1+International_Fuel_Surcharge),2),ROUND(((1-'F Intl Con Plus Base'!I114)*'F Intl Con Plus Base'!I10)*(1+International_Fuel_Surcharge),2)))*(1+FedEx_Markup),2)</f>
        <v>51.98</v>
      </c>
      <c r="J13" s="295">
        <f>ROUND((IF('F Intl Con Plus Base'!$J$120&gt;ROUND(((1-'F Intl Con Plus Base'!J114)*'F Intl Con Plus Base'!J10),2),ROUND('F Intl Con Plus Base'!$J$120*(1+International_Fuel_Surcharge),2),ROUND(((1-'F Intl Con Plus Base'!J114)*'F Intl Con Plus Base'!J10)*(1+International_Fuel_Surcharge),2)))*(1+FedEx_Markup),2)</f>
        <v>35.97</v>
      </c>
      <c r="K13" s="295">
        <f>ROUND((IF('F Intl Con Plus Base'!$K$120&gt;ROUND(((1-'F Intl Con Plus Base'!K114)*'F Intl Con Plus Base'!K10),2),ROUND('F Intl Con Plus Base'!$K$120*(1+International_Fuel_Surcharge),2),ROUND(((1-'F Intl Con Plus Base'!K114)*'F Intl Con Plus Base'!K10)*(1+International_Fuel_Surcharge),2)))*(1+FedEx_Markup),2)</f>
        <v>39.58</v>
      </c>
      <c r="L13" s="295">
        <f>ROUND((IF('F Intl Con Plus Base'!$L$120&gt;ROUND(((1-'F Intl Con Plus Base'!L114)*'F Intl Con Plus Base'!L10),2),ROUND('F Intl Con Plus Base'!$L$120*(1+International_Fuel_Surcharge),2),ROUND(((1-'F Intl Con Plus Base'!L114)*'F Intl Con Plus Base'!L10)*(1+International_Fuel_Surcharge),2)))*(1+FedEx_Markup),2)</f>
        <v>51.7</v>
      </c>
      <c r="M13" s="295">
        <f>ROUND((IF('F Intl Con Plus Base'!$M$120&gt;ROUND(((1-'F Intl Con Plus Base'!M114)*'F Intl Con Plus Base'!M10),2),ROUND('F Intl Con Plus Base'!$M$120*(1+International_Fuel_Surcharge),2),ROUND(((1-'F Intl Con Plus Base'!M114)*'F Intl Con Plus Base'!M10)*(1+International_Fuel_Surcharge),2)))*(1+FedEx_Markup),2)</f>
        <v>76.41</v>
      </c>
      <c r="N13" s="295">
        <f>ROUND((IF('F Intl Con Plus Base'!$N$120&gt;ROUND(((1-'F Intl Con Plus Base'!N114)*'F Intl Con Plus Base'!N10),2),ROUND('F Intl Con Plus Base'!$N$120*(1+International_Fuel_Surcharge),2),ROUND(((1-'F Intl Con Plus Base'!N114)*'F Intl Con Plus Base'!N10)*(1+International_Fuel_Surcharge),2)))*(1+FedEx_Markup),2)</f>
        <v>71.98</v>
      </c>
      <c r="O13" s="295">
        <f>ROUND((IF('F Intl Con Plus Base'!$O$120&gt;ROUND(((1-'F Intl Con Plus Base'!O114)*'F Intl Con Plus Base'!O10),2),ROUND('F Intl Con Plus Base'!$O$120*(1+International_Fuel_Surcharge),2),ROUND(((1-'F Intl Con Plus Base'!O114)*'F Intl Con Plus Base'!O10)*(1+International_Fuel_Surcharge),2)))*(1+FedEx_Markup),2)</f>
        <v>53.61</v>
      </c>
      <c r="P13" s="295">
        <f>ROUND((IF('F Intl Con Plus Base'!$P$120&gt;ROUND(((1-'F Intl Con Plus Base'!P114)*'F Intl Con Plus Base'!P10),2),ROUND('F Intl Con Plus Base'!$P$120*(1+International_Fuel_Surcharge),2),ROUND(((1-'F Intl Con Plus Base'!P114)*'F Intl Con Plus Base'!P10)*(1+International_Fuel_Surcharge),2)))*(1+FedEx_Markup),2)</f>
        <v>51.74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2.75" customHeight="1">
      <c r="A14" s="294">
        <v>9.0</v>
      </c>
      <c r="B14" s="295">
        <f>ROUND((IF('F Intl Con Plus Base'!$B$120&gt;ROUND(((1-'F Intl Con Plus Base'!B115)*'F Intl Con Plus Base'!B11),2),ROUND('F Intl Con Plus Base'!$B$120*(1+International_Fuel_Surcharge),2),ROUND(((1-'F Intl Con Plus Base'!B115)*'F Intl Con Plus Base'!B11)*(1+International_Fuel_Surcharge),2)))*(1+FedEx_Markup),2)</f>
        <v>29.05</v>
      </c>
      <c r="C14" s="295">
        <f>ROUND((IF('F Intl Con Plus Base'!$C$120&gt;ROUND(((1-'F Intl Con Plus Base'!C115)*'F Intl Con Plus Base'!C11),2),ROUND('F Intl Con Plus Base'!$C$120*(1+International_Fuel_Surcharge),2),ROUND(((1-'F Intl Con Plus Base'!C115)*'F Intl Con Plus Base'!C11)*(1+International_Fuel_Surcharge),2)))*(1+FedEx_Markup),2)</f>
        <v>34.94</v>
      </c>
      <c r="D14" s="295">
        <f>ROUND((IF('F Intl Con Plus Base'!$D$120&gt;ROUND(((1-'F Intl Con Plus Base'!D115)*'F Intl Con Plus Base'!D11),2),ROUND('F Intl Con Plus Base'!$D$120*(1+International_Fuel_Surcharge),2),ROUND(((1-'F Intl Con Plus Base'!D115)*'F Intl Con Plus Base'!D11)*(1+International_Fuel_Surcharge),2)))*(1+FedEx_Markup),2)</f>
        <v>35.13</v>
      </c>
      <c r="E14" s="295">
        <f>ROUND((IF('F Intl Con Plus Base'!$E$120&gt;ROUND(((1-'F Intl Con Plus Base'!E115)*'F Intl Con Plus Base'!E11),2),ROUND('F Intl Con Plus Base'!$E$120*(1+International_Fuel_Surcharge),2),ROUND(((1-'F Intl Con Plus Base'!E115)*'F Intl Con Plus Base'!E11)*(1+International_Fuel_Surcharge),2)))*(1+FedEx_Markup),2)</f>
        <v>33.41</v>
      </c>
      <c r="F14" s="295">
        <f>ROUND((IF('F Intl Con Plus Base'!$F$120&gt;ROUND(((1-'F Intl Con Plus Base'!F115)*'F Intl Con Plus Base'!F11),2),ROUND('F Intl Con Plus Base'!$F$120*(1+International_Fuel_Surcharge),2),ROUND(((1-'F Intl Con Plus Base'!F115)*'F Intl Con Plus Base'!F11)*(1+International_Fuel_Surcharge),2)))*(1+FedEx_Markup),2)</f>
        <v>75.37</v>
      </c>
      <c r="G14" s="295">
        <f>ROUND((IF('F Intl Con Plus Base'!$G$120&gt;ROUND(((1-'F Intl Con Plus Base'!G115)*'F Intl Con Plus Base'!G11),2),ROUND('F Intl Con Plus Base'!$G$120*(1+International_Fuel_Surcharge),2),ROUND(((1-'F Intl Con Plus Base'!G115)*'F Intl Con Plus Base'!G11)*(1+International_Fuel_Surcharge),2)))*(1+FedEx_Markup),2)</f>
        <v>50.16</v>
      </c>
      <c r="H14" s="295">
        <f>ROUND((IF('F Intl Con Plus Base'!$H$120&gt;ROUND(((1-'F Intl Con Plus Base'!H115)*'F Intl Con Plus Base'!H11),2),ROUND('F Intl Con Plus Base'!$H$120*(1+International_Fuel_Surcharge),2),ROUND(((1-'F Intl Con Plus Base'!H115)*'F Intl Con Plus Base'!H11)*(1+International_Fuel_Surcharge),2)))*(1+FedEx_Markup),2)</f>
        <v>50.65</v>
      </c>
      <c r="I14" s="295">
        <f>ROUND((IF('F Intl Con Plus Base'!$I$120&gt;ROUND(((1-'F Intl Con Plus Base'!I115)*'F Intl Con Plus Base'!I11),2),ROUND('F Intl Con Plus Base'!$I$120*(1+International_Fuel_Surcharge),2),ROUND(((1-'F Intl Con Plus Base'!I115)*'F Intl Con Plus Base'!I11)*(1+International_Fuel_Surcharge),2)))*(1+FedEx_Markup),2)</f>
        <v>55.09</v>
      </c>
      <c r="J14" s="295">
        <f>ROUND((IF('F Intl Con Plus Base'!$J$120&gt;ROUND(((1-'F Intl Con Plus Base'!J115)*'F Intl Con Plus Base'!J11),2),ROUND('F Intl Con Plus Base'!$J$120*(1+International_Fuel_Surcharge),2),ROUND(((1-'F Intl Con Plus Base'!J115)*'F Intl Con Plus Base'!J11)*(1+International_Fuel_Surcharge),2)))*(1+FedEx_Markup),2)</f>
        <v>37.75</v>
      </c>
      <c r="K14" s="295">
        <f>ROUND((IF('F Intl Con Plus Base'!$K$120&gt;ROUND(((1-'F Intl Con Plus Base'!K115)*'F Intl Con Plus Base'!K11),2),ROUND('F Intl Con Plus Base'!$K$120*(1+International_Fuel_Surcharge),2),ROUND(((1-'F Intl Con Plus Base'!K115)*'F Intl Con Plus Base'!K11)*(1+International_Fuel_Surcharge),2)))*(1+FedEx_Markup),2)</f>
        <v>43.21</v>
      </c>
      <c r="L14" s="295">
        <f>ROUND((IF('F Intl Con Plus Base'!$L$120&gt;ROUND(((1-'F Intl Con Plus Base'!L115)*'F Intl Con Plus Base'!L11),2),ROUND('F Intl Con Plus Base'!$L$120*(1+International_Fuel_Surcharge),2),ROUND(((1-'F Intl Con Plus Base'!L115)*'F Intl Con Plus Base'!L11)*(1+International_Fuel_Surcharge),2)))*(1+FedEx_Markup),2)</f>
        <v>58.34</v>
      </c>
      <c r="M14" s="295">
        <f>ROUND((IF('F Intl Con Plus Base'!$M$120&gt;ROUND(((1-'F Intl Con Plus Base'!M115)*'F Intl Con Plus Base'!M11),2),ROUND('F Intl Con Plus Base'!$M$120*(1+International_Fuel_Surcharge),2),ROUND(((1-'F Intl Con Plus Base'!M115)*'F Intl Con Plus Base'!M11)*(1+International_Fuel_Surcharge),2)))*(1+FedEx_Markup),2)</f>
        <v>85.94</v>
      </c>
      <c r="N14" s="295">
        <f>ROUND((IF('F Intl Con Plus Base'!$N$120&gt;ROUND(((1-'F Intl Con Plus Base'!N115)*'F Intl Con Plus Base'!N11),2),ROUND('F Intl Con Plus Base'!$N$120*(1+International_Fuel_Surcharge),2),ROUND(((1-'F Intl Con Plus Base'!N115)*'F Intl Con Plus Base'!N11)*(1+International_Fuel_Surcharge),2)))*(1+FedEx_Markup),2)</f>
        <v>83.31</v>
      </c>
      <c r="O14" s="295">
        <f>ROUND((IF('F Intl Con Plus Base'!$O$120&gt;ROUND(((1-'F Intl Con Plus Base'!O115)*'F Intl Con Plus Base'!O11),2),ROUND('F Intl Con Plus Base'!$O$120*(1+International_Fuel_Surcharge),2),ROUND(((1-'F Intl Con Plus Base'!O115)*'F Intl Con Plus Base'!O11)*(1+International_Fuel_Surcharge),2)))*(1+FedEx_Markup),2)</f>
        <v>55.98</v>
      </c>
      <c r="P14" s="295">
        <f>ROUND((IF('F Intl Con Plus Base'!$P$120&gt;ROUND(((1-'F Intl Con Plus Base'!P115)*'F Intl Con Plus Base'!P11),2),ROUND('F Intl Con Plus Base'!$P$120*(1+International_Fuel_Surcharge),2),ROUND(((1-'F Intl Con Plus Base'!P115)*'F Intl Con Plus Base'!P11)*(1+International_Fuel_Surcharge),2)))*(1+FedEx_Markup),2)</f>
        <v>56.87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294">
        <v>10.0</v>
      </c>
      <c r="B15" s="295">
        <f>ROUND((IF('F Intl Con Plus Base'!$B$120&gt;ROUND(((1-'F Intl Con Plus Base'!B116)*'F Intl Con Plus Base'!B12),2),ROUND('F Intl Con Plus Base'!$B$120*(1+International_Fuel_Surcharge),2),ROUND(((1-'F Intl Con Plus Base'!B116)*'F Intl Con Plus Base'!B12)*(1+International_Fuel_Surcharge),2)))*(1+FedEx_Markup),2)</f>
        <v>29.9</v>
      </c>
      <c r="C15" s="295">
        <f>ROUND((IF('F Intl Con Plus Base'!$C$120&gt;ROUND(((1-'F Intl Con Plus Base'!C116)*'F Intl Con Plus Base'!C12),2),ROUND('F Intl Con Plus Base'!$C$120*(1+International_Fuel_Surcharge),2),ROUND(((1-'F Intl Con Plus Base'!C116)*'F Intl Con Plus Base'!C12)*(1+International_Fuel_Surcharge),2)))*(1+FedEx_Markup),2)</f>
        <v>36.04</v>
      </c>
      <c r="D15" s="295">
        <f>ROUND((IF('F Intl Con Plus Base'!$D$120&gt;ROUND(((1-'F Intl Con Plus Base'!D116)*'F Intl Con Plus Base'!D12),2),ROUND('F Intl Con Plus Base'!$D$120*(1+International_Fuel_Surcharge),2),ROUND(((1-'F Intl Con Plus Base'!D116)*'F Intl Con Plus Base'!D12)*(1+International_Fuel_Surcharge),2)))*(1+FedEx_Markup),2)</f>
        <v>35.36</v>
      </c>
      <c r="E15" s="295">
        <f>ROUND((IF('F Intl Con Plus Base'!$E$120&gt;ROUND(((1-'F Intl Con Plus Base'!E116)*'F Intl Con Plus Base'!E12),2),ROUND('F Intl Con Plus Base'!$E$120*(1+International_Fuel_Surcharge),2),ROUND(((1-'F Intl Con Plus Base'!E116)*'F Intl Con Plus Base'!E12)*(1+International_Fuel_Surcharge),2)))*(1+FedEx_Markup),2)</f>
        <v>34.72</v>
      </c>
      <c r="F15" s="295">
        <f>ROUND((IF('F Intl Con Plus Base'!$F$120&gt;ROUND(((1-'F Intl Con Plus Base'!F116)*'F Intl Con Plus Base'!F12),2),ROUND('F Intl Con Plus Base'!$F$120*(1+International_Fuel_Surcharge),2),ROUND(((1-'F Intl Con Plus Base'!F116)*'F Intl Con Plus Base'!F12)*(1+International_Fuel_Surcharge),2)))*(1+FedEx_Markup),2)</f>
        <v>76.18</v>
      </c>
      <c r="G15" s="295">
        <f>ROUND((IF('F Intl Con Plus Base'!$G$120&gt;ROUND(((1-'F Intl Con Plus Base'!G116)*'F Intl Con Plus Base'!G12),2),ROUND('F Intl Con Plus Base'!$G$120*(1+International_Fuel_Surcharge),2),ROUND(((1-'F Intl Con Plus Base'!G116)*'F Intl Con Plus Base'!G12)*(1+International_Fuel_Surcharge),2)))*(1+FedEx_Markup),2)</f>
        <v>50.29</v>
      </c>
      <c r="H15" s="295">
        <f>ROUND((IF('F Intl Con Plus Base'!$H$120&gt;ROUND(((1-'F Intl Con Plus Base'!H116)*'F Intl Con Plus Base'!H12),2),ROUND('F Intl Con Plus Base'!$H$120*(1+International_Fuel_Surcharge),2),ROUND(((1-'F Intl Con Plus Base'!H116)*'F Intl Con Plus Base'!H12)*(1+International_Fuel_Surcharge),2)))*(1+FedEx_Markup),2)</f>
        <v>51.38</v>
      </c>
      <c r="I15" s="295">
        <f>ROUND((IF('F Intl Con Plus Base'!$I$120&gt;ROUND(((1-'F Intl Con Plus Base'!I116)*'F Intl Con Plus Base'!I12),2),ROUND('F Intl Con Plus Base'!$I$120*(1+International_Fuel_Surcharge),2),ROUND(((1-'F Intl Con Plus Base'!I116)*'F Intl Con Plus Base'!I12)*(1+International_Fuel_Surcharge),2)))*(1+FedEx_Markup),2)</f>
        <v>55.4</v>
      </c>
      <c r="J15" s="295">
        <f>ROUND((IF('F Intl Con Plus Base'!$J$120&gt;ROUND(((1-'F Intl Con Plus Base'!J116)*'F Intl Con Plus Base'!J12),2),ROUND('F Intl Con Plus Base'!$J$120*(1+International_Fuel_Surcharge),2),ROUND(((1-'F Intl Con Plus Base'!J116)*'F Intl Con Plus Base'!J12)*(1+International_Fuel_Surcharge),2)))*(1+FedEx_Markup),2)</f>
        <v>39.61</v>
      </c>
      <c r="K15" s="295">
        <f>ROUND((IF('F Intl Con Plus Base'!$K$120&gt;ROUND(((1-'F Intl Con Plus Base'!K116)*'F Intl Con Plus Base'!K12),2),ROUND('F Intl Con Plus Base'!$K$120*(1+International_Fuel_Surcharge),2),ROUND(((1-'F Intl Con Plus Base'!K116)*'F Intl Con Plus Base'!K12)*(1+International_Fuel_Surcharge),2)))*(1+FedEx_Markup),2)</f>
        <v>43.6</v>
      </c>
      <c r="L15" s="295">
        <f>ROUND((IF('F Intl Con Plus Base'!$L$120&gt;ROUND(((1-'F Intl Con Plus Base'!L116)*'F Intl Con Plus Base'!L12),2),ROUND('F Intl Con Plus Base'!$L$120*(1+International_Fuel_Surcharge),2),ROUND(((1-'F Intl Con Plus Base'!L116)*'F Intl Con Plus Base'!L12)*(1+International_Fuel_Surcharge),2)))*(1+FedEx_Markup),2)</f>
        <v>59.01</v>
      </c>
      <c r="M15" s="295">
        <f>ROUND((IF('F Intl Con Plus Base'!$M$120&gt;ROUND(((1-'F Intl Con Plus Base'!M116)*'F Intl Con Plus Base'!M12),2),ROUND('F Intl Con Plus Base'!$M$120*(1+International_Fuel_Surcharge),2),ROUND(((1-'F Intl Con Plus Base'!M116)*'F Intl Con Plus Base'!M12)*(1+International_Fuel_Surcharge),2)))*(1+FedEx_Markup),2)</f>
        <v>86.89</v>
      </c>
      <c r="N15" s="295">
        <f>ROUND((IF('F Intl Con Plus Base'!$N$120&gt;ROUND(((1-'F Intl Con Plus Base'!N116)*'F Intl Con Plus Base'!N12),2),ROUND('F Intl Con Plus Base'!$N$120*(1+International_Fuel_Surcharge),2),ROUND(((1-'F Intl Con Plus Base'!N116)*'F Intl Con Plus Base'!N12)*(1+International_Fuel_Surcharge),2)))*(1+FedEx_Markup),2)</f>
        <v>84.44</v>
      </c>
      <c r="O15" s="295">
        <f>ROUND((IF('F Intl Con Plus Base'!$O$120&gt;ROUND(((1-'F Intl Con Plus Base'!O116)*'F Intl Con Plus Base'!O12),2),ROUND('F Intl Con Plus Base'!$O$120*(1+International_Fuel_Surcharge),2),ROUND(((1-'F Intl Con Plus Base'!O116)*'F Intl Con Plus Base'!O12)*(1+International_Fuel_Surcharge),2)))*(1+FedEx_Markup),2)</f>
        <v>57.97</v>
      </c>
      <c r="P15" s="295">
        <f>ROUND((IF('F Intl Con Plus Base'!$P$120&gt;ROUND(((1-'F Intl Con Plus Base'!P116)*'F Intl Con Plus Base'!P12),2),ROUND('F Intl Con Plus Base'!$P$120*(1+International_Fuel_Surcharge),2),ROUND(((1-'F Intl Con Plus Base'!P116)*'F Intl Con Plus Base'!P12)*(1+International_Fuel_Surcharge),2)))*(1+FedEx_Markup),2)</f>
        <v>57.37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294">
        <v>11.0</v>
      </c>
      <c r="B16" s="295">
        <f>ROUND((IF('F Intl Con Plus Base'!$B$120&gt;ROUND(((1-'F Intl Con Plus Base'!$B$117)*'F Intl Con Plus Base'!B13),2),ROUND('F Intl Con Plus Base'!$B$120*(1+International_Fuel_Surcharge),2),ROUND(((1-'F Intl Con Plus Base'!$B$117)*'F Intl Con Plus Base'!B13)*(1+International_Fuel_Surcharge),2)))*(1+FedEx_Markup),2)</f>
        <v>35.29</v>
      </c>
      <c r="C16" s="295">
        <f>ROUND((IF('F Intl Con Plus Base'!$C$120&gt;ROUND(((1-'F Intl Con Plus Base'!$C$117)*'F Intl Con Plus Base'!C13),2),ROUND('F Intl Con Plus Base'!$C$120*(1+International_Fuel_Surcharge),2),ROUND(((1-'F Intl Con Plus Base'!$C$117)*'F Intl Con Plus Base'!C13)*(1+International_Fuel_Surcharge),2)))*(1+FedEx_Markup),2)</f>
        <v>42.46</v>
      </c>
      <c r="D16" s="295">
        <f>ROUND((IF('F Intl Con Plus Base'!$D$120&gt;ROUND(((1-'F Intl Con Plus Base'!$D$117)*'F Intl Con Plus Base'!D13),2),ROUND('F Intl Con Plus Base'!$D$120*(1+International_Fuel_Surcharge),2),ROUND(((1-'F Intl Con Plus Base'!$D$117)*'F Intl Con Plus Base'!D13)*(1+International_Fuel_Surcharge),2)))*(1+FedEx_Markup),2)</f>
        <v>41.75</v>
      </c>
      <c r="E16" s="295">
        <f>ROUND((IF('F Intl Con Plus Base'!$E$120&gt;ROUND(((1-'F Intl Con Plus Base'!$E$117)*'F Intl Con Plus Base'!E13),2),ROUND('F Intl Con Plus Base'!$E$120*(1+International_Fuel_Surcharge),2),ROUND(((1-'F Intl Con Plus Base'!$E$117)*'F Intl Con Plus Base'!E13)*(1+International_Fuel_Surcharge),2)))*(1+FedEx_Markup),2)</f>
        <v>50.2</v>
      </c>
      <c r="F16" s="295">
        <f>ROUND((IF('F Intl Con Plus Base'!$F$120&gt;ROUND(((1-'F Intl Con Plus Base'!$F$117)*'F Intl Con Plus Base'!F13),2),ROUND('F Intl Con Plus Base'!$F$120*(1+International_Fuel_Surcharge),2),ROUND(((1-'F Intl Con Plus Base'!$F$117)*'F Intl Con Plus Base'!F13)*(1+International_Fuel_Surcharge),2)))*(1+FedEx_Markup),2)</f>
        <v>80.63</v>
      </c>
      <c r="G16" s="295">
        <f>ROUND((IF('F Intl Con Plus Base'!$G$120&gt;ROUND(((1-'F Intl Con Plus Base'!$G$117)*'F Intl Con Plus Base'!G13),2),ROUND('F Intl Con Plus Base'!$G$120*(1+International_Fuel_Surcharge),2),ROUND(((1-'F Intl Con Plus Base'!$G$117)*'F Intl Con Plus Base'!G13)*(1+International_Fuel_Surcharge),2)))*(1+FedEx_Markup),2)</f>
        <v>53.74</v>
      </c>
      <c r="H16" s="295">
        <f>ROUND((IF('F Intl Con Plus Base'!$H$120&gt;ROUND(((1-'F Intl Con Plus Base'!$H$117)*'F Intl Con Plus Base'!H13),2),ROUND('F Intl Con Plus Base'!$H$120*(1+International_Fuel_Surcharge),2),ROUND(((1-'F Intl Con Plus Base'!$H$117)*'F Intl Con Plus Base'!H13)*(1+International_Fuel_Surcharge),2)))*(1+FedEx_Markup),2)</f>
        <v>54.4</v>
      </c>
      <c r="I16" s="295">
        <f>ROUND((IF('F Intl Con Plus Base'!$I$120&gt;ROUND(((1-'F Intl Con Plus Base'!$I$117)*'F Intl Con Plus Base'!I13),2),ROUND('F Intl Con Plus Base'!$I$120*(1+International_Fuel_Surcharge),2),ROUND(((1-'F Intl Con Plus Base'!$I$117)*'F Intl Con Plus Base'!I13)*(1+International_Fuel_Surcharge),2)))*(1+FedEx_Markup),2)</f>
        <v>59.48</v>
      </c>
      <c r="J16" s="295">
        <f>ROUND((IF('F Intl Con Plus Base'!$J$120&gt;ROUND(((1-'F Intl Con Plus Base'!$J$117)*'F Intl Con Plus Base'!J13),2),ROUND('F Intl Con Plus Base'!$J$120*(1+International_Fuel_Surcharge),2),ROUND(((1-'F Intl Con Plus Base'!$J$117)*'F Intl Con Plus Base'!J13)*(1+International_Fuel_Surcharge),2)))*(1+FedEx_Markup),2)</f>
        <v>45.4</v>
      </c>
      <c r="K16" s="295">
        <f>ROUND((IF('F Intl Con Plus Base'!$K$120&gt;ROUND(((1-'F Intl Con Plus Base'!$K$117)*'F Intl Con Plus Base'!K13),2),ROUND('F Intl Con Plus Base'!$K$120*(1+International_Fuel_Surcharge),2),ROUND(((1-'F Intl Con Plus Base'!$K$117)*'F Intl Con Plus Base'!K13)*(1+International_Fuel_Surcharge),2)))*(1+FedEx_Markup),2)</f>
        <v>67.28</v>
      </c>
      <c r="L16" s="295">
        <f>ROUND((IF('F Intl Con Plus Base'!$L$120&gt;ROUND(((1-'F Intl Con Plus Base'!$L$117)*'F Intl Con Plus Base'!L13),2),ROUND('F Intl Con Plus Base'!$L$120*(1+International_Fuel_Surcharge),2),ROUND(((1-'F Intl Con Plus Base'!$L$117)*'F Intl Con Plus Base'!L13)*(1+International_Fuel_Surcharge),2)))*(1+FedEx_Markup),2)</f>
        <v>63</v>
      </c>
      <c r="M16" s="295">
        <f>ROUND((IF('F Intl Con Plus Base'!$M$120&gt;ROUND(((1-'F Intl Con Plus Base'!$M$117)*'F Intl Con Plus Base'!M13),2),ROUND('F Intl Con Plus Base'!$M$120*(1+International_Fuel_Surcharge),2),ROUND(((1-'F Intl Con Plus Base'!$M$117)*'F Intl Con Plus Base'!M13)*(1+International_Fuel_Surcharge),2)))*(1+FedEx_Markup),2)</f>
        <v>96.34</v>
      </c>
      <c r="N16" s="295">
        <f>ROUND((IF('F Intl Con Plus Base'!$N$120&gt;ROUND(((1-'F Intl Con Plus Base'!$N$117)*'F Intl Con Plus Base'!N13),2),ROUND('F Intl Con Plus Base'!$N$120*(1+International_Fuel_Surcharge),2),ROUND(((1-'F Intl Con Plus Base'!$N$117)*'F Intl Con Plus Base'!N13)*(1+International_Fuel_Surcharge),2)))*(1+FedEx_Markup),2)</f>
        <v>89.39</v>
      </c>
      <c r="O16" s="295">
        <f>ROUND((IF('F Intl Con Plus Base'!$O$120&gt;ROUND(((1-'F Intl Con Plus Base'!$O$117)*'F Intl Con Plus Base'!O13),2),ROUND('F Intl Con Plus Base'!$O$120*(1+International_Fuel_Surcharge),2),ROUND(((1-'F Intl Con Plus Base'!$O$117)*'F Intl Con Plus Base'!O13)*(1+International_Fuel_Surcharge),2)))*(1+FedEx_Markup),2)</f>
        <v>61.44</v>
      </c>
      <c r="P16" s="295">
        <f>ROUND((IF('F Intl Con Plus Base'!$P$120&gt;ROUND(((1-'F Intl Con Plus Base'!$P$117)*'F Intl Con Plus Base'!P13),2),ROUND('F Intl Con Plus Base'!$P$120*(1+International_Fuel_Surcharge),2),ROUND(((1-'F Intl Con Plus Base'!$P$117)*'F Intl Con Plus Base'!P13)*(1+International_Fuel_Surcharge),2)))*(1+FedEx_Markup),2)</f>
        <v>64.03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2.75" customHeight="1">
      <c r="A17" s="294">
        <v>12.0</v>
      </c>
      <c r="B17" s="295">
        <f>ROUND((IF('F Intl Con Plus Base'!$B$120&gt;ROUND(((1-'F Intl Con Plus Base'!$B$117)*'F Intl Con Plus Base'!B14),2),ROUND('F Intl Con Plus Base'!$B$120*(1+International_Fuel_Surcharge),2),ROUND(((1-'F Intl Con Plus Base'!$B$117)*'F Intl Con Plus Base'!B14)*(1+International_Fuel_Surcharge),2)))*(1+FedEx_Markup),2)</f>
        <v>35.64</v>
      </c>
      <c r="C17" s="295">
        <f>ROUND((IF('F Intl Con Plus Base'!$C$120&gt;ROUND(((1-'F Intl Con Plus Base'!$C$117)*'F Intl Con Plus Base'!C14),2),ROUND('F Intl Con Plus Base'!$C$120*(1+International_Fuel_Surcharge),2),ROUND(((1-'F Intl Con Plus Base'!$C$117)*'F Intl Con Plus Base'!C14)*(1+International_Fuel_Surcharge),2)))*(1+FedEx_Markup),2)</f>
        <v>44.93</v>
      </c>
      <c r="D17" s="295">
        <f>ROUND((IF('F Intl Con Plus Base'!$D$120&gt;ROUND(((1-'F Intl Con Plus Base'!$D$117)*'F Intl Con Plus Base'!D14),2),ROUND('F Intl Con Plus Base'!$D$120*(1+International_Fuel_Surcharge),2),ROUND(((1-'F Intl Con Plus Base'!$D$117)*'F Intl Con Plus Base'!D14)*(1+International_Fuel_Surcharge),2)))*(1+FedEx_Markup),2)</f>
        <v>42.6</v>
      </c>
      <c r="E17" s="295">
        <f>ROUND((IF('F Intl Con Plus Base'!$E$120&gt;ROUND(((1-'F Intl Con Plus Base'!$E$117)*'F Intl Con Plus Base'!E14),2),ROUND('F Intl Con Plus Base'!$E$120*(1+International_Fuel_Surcharge),2),ROUND(((1-'F Intl Con Plus Base'!$E$117)*'F Intl Con Plus Base'!E14)*(1+International_Fuel_Surcharge),2)))*(1+FedEx_Markup),2)</f>
        <v>51.5</v>
      </c>
      <c r="F17" s="295">
        <f>ROUND((IF('F Intl Con Plus Base'!$F$120&gt;ROUND(((1-'F Intl Con Plus Base'!$F$117)*'F Intl Con Plus Base'!F14),2),ROUND('F Intl Con Plus Base'!$F$120*(1+International_Fuel_Surcharge),2),ROUND(((1-'F Intl Con Plus Base'!$F$117)*'F Intl Con Plus Base'!F14)*(1+International_Fuel_Surcharge),2)))*(1+FedEx_Markup),2)</f>
        <v>83.48</v>
      </c>
      <c r="G17" s="295">
        <f>ROUND((IF('F Intl Con Plus Base'!$G$120&gt;ROUND(((1-'F Intl Con Plus Base'!$G$117)*'F Intl Con Plus Base'!G14),2),ROUND('F Intl Con Plus Base'!$G$120*(1+International_Fuel_Surcharge),2),ROUND(((1-'F Intl Con Plus Base'!$G$117)*'F Intl Con Plus Base'!G14)*(1+International_Fuel_Surcharge),2)))*(1+FedEx_Markup),2)</f>
        <v>54.58</v>
      </c>
      <c r="H17" s="295">
        <f>ROUND((IF('F Intl Con Plus Base'!$H$120&gt;ROUND(((1-'F Intl Con Plus Base'!$H$117)*'F Intl Con Plus Base'!H14),2),ROUND('F Intl Con Plus Base'!$H$120*(1+International_Fuel_Surcharge),2),ROUND(((1-'F Intl Con Plus Base'!$H$117)*'F Intl Con Plus Base'!H14)*(1+International_Fuel_Surcharge),2)))*(1+FedEx_Markup),2)</f>
        <v>55.34</v>
      </c>
      <c r="I17" s="295">
        <f>ROUND((IF('F Intl Con Plus Base'!$I$120&gt;ROUND(((1-'F Intl Con Plus Base'!$I$117)*'F Intl Con Plus Base'!I14),2),ROUND('F Intl Con Plus Base'!$I$120*(1+International_Fuel_Surcharge),2),ROUND(((1-'F Intl Con Plus Base'!$I$117)*'F Intl Con Plus Base'!I14)*(1+International_Fuel_Surcharge),2)))*(1+FedEx_Markup),2)</f>
        <v>60.1</v>
      </c>
      <c r="J17" s="295">
        <f>ROUND((IF('F Intl Con Plus Base'!$J$120&gt;ROUND(((1-'F Intl Con Plus Base'!$J$117)*'F Intl Con Plus Base'!J14),2),ROUND('F Intl Con Plus Base'!$J$120*(1+International_Fuel_Surcharge),2),ROUND(((1-'F Intl Con Plus Base'!$J$117)*'F Intl Con Plus Base'!J14)*(1+International_Fuel_Surcharge),2)))*(1+FedEx_Markup),2)</f>
        <v>45.76</v>
      </c>
      <c r="K17" s="295">
        <f>ROUND((IF('F Intl Con Plus Base'!$K$120&gt;ROUND(((1-'F Intl Con Plus Base'!$K$117)*'F Intl Con Plus Base'!K14),2),ROUND('F Intl Con Plus Base'!$K$120*(1+International_Fuel_Surcharge),2),ROUND(((1-'F Intl Con Plus Base'!$K$117)*'F Intl Con Plus Base'!K14)*(1+International_Fuel_Surcharge),2)))*(1+FedEx_Markup),2)</f>
        <v>69.92</v>
      </c>
      <c r="L17" s="295">
        <f>ROUND((IF('F Intl Con Plus Base'!$L$120&gt;ROUND(((1-'F Intl Con Plus Base'!$L$117)*'F Intl Con Plus Base'!L14),2),ROUND('F Intl Con Plus Base'!$L$120*(1+International_Fuel_Surcharge),2),ROUND(((1-'F Intl Con Plus Base'!$L$117)*'F Intl Con Plus Base'!L14)*(1+International_Fuel_Surcharge),2)))*(1+FedEx_Markup),2)</f>
        <v>63.88</v>
      </c>
      <c r="M17" s="295">
        <f>ROUND((IF('F Intl Con Plus Base'!$M$120&gt;ROUND(((1-'F Intl Con Plus Base'!$M$117)*'F Intl Con Plus Base'!M14),2),ROUND('F Intl Con Plus Base'!$M$120*(1+International_Fuel_Surcharge),2),ROUND(((1-'F Intl Con Plus Base'!$M$117)*'F Intl Con Plus Base'!M14)*(1+International_Fuel_Surcharge),2)))*(1+FedEx_Markup),2)</f>
        <v>97.38</v>
      </c>
      <c r="N17" s="295">
        <f>ROUND((IF('F Intl Con Plus Base'!$N$120&gt;ROUND(((1-'F Intl Con Plus Base'!$N$117)*'F Intl Con Plus Base'!N14),2),ROUND('F Intl Con Plus Base'!$N$120*(1+International_Fuel_Surcharge),2),ROUND(((1-'F Intl Con Plus Base'!$N$117)*'F Intl Con Plus Base'!N14)*(1+International_Fuel_Surcharge),2)))*(1+FedEx_Markup),2)</f>
        <v>90.77</v>
      </c>
      <c r="O17" s="295">
        <f>ROUND((IF('F Intl Con Plus Base'!$O$120&gt;ROUND(((1-'F Intl Con Plus Base'!$O$117)*'F Intl Con Plus Base'!O14),2),ROUND('F Intl Con Plus Base'!$O$120*(1+International_Fuel_Surcharge),2),ROUND(((1-'F Intl Con Plus Base'!$O$117)*'F Intl Con Plus Base'!O14)*(1+International_Fuel_Surcharge),2)))*(1+FedEx_Markup),2)</f>
        <v>62.34</v>
      </c>
      <c r="P17" s="295">
        <f>ROUND((IF('F Intl Con Plus Base'!$P$120&gt;ROUND(((1-'F Intl Con Plus Base'!$P$117)*'F Intl Con Plus Base'!P14),2),ROUND('F Intl Con Plus Base'!$P$120*(1+International_Fuel_Surcharge),2),ROUND(((1-'F Intl Con Plus Base'!$P$117)*'F Intl Con Plus Base'!P14)*(1+International_Fuel_Surcharge),2)))*(1+FedEx_Markup),2)</f>
        <v>64.38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294">
        <v>13.0</v>
      </c>
      <c r="B18" s="295">
        <f>ROUND((IF('F Intl Con Plus Base'!$B$120&gt;ROUND(((1-'F Intl Con Plus Base'!$B$117)*'F Intl Con Plus Base'!B15),2),ROUND('F Intl Con Plus Base'!$B$120*(1+International_Fuel_Surcharge),2),ROUND(((1-'F Intl Con Plus Base'!$B$117)*'F Intl Con Plus Base'!B15)*(1+International_Fuel_Surcharge),2)))*(1+FedEx_Markup),2)</f>
        <v>38.72</v>
      </c>
      <c r="C18" s="295">
        <f>ROUND((IF('F Intl Con Plus Base'!$C$120&gt;ROUND(((1-'F Intl Con Plus Base'!$C$117)*'F Intl Con Plus Base'!C15),2),ROUND('F Intl Con Plus Base'!$C$120*(1+International_Fuel_Surcharge),2),ROUND(((1-'F Intl Con Plus Base'!$C$117)*'F Intl Con Plus Base'!C15)*(1+International_Fuel_Surcharge),2)))*(1+FedEx_Markup),2)</f>
        <v>49.34</v>
      </c>
      <c r="D18" s="295">
        <f>ROUND((IF('F Intl Con Plus Base'!$D$120&gt;ROUND(((1-'F Intl Con Plus Base'!$D$117)*'F Intl Con Plus Base'!D15),2),ROUND('F Intl Con Plus Base'!$D$120*(1+International_Fuel_Surcharge),2),ROUND(((1-'F Intl Con Plus Base'!$D$117)*'F Intl Con Plus Base'!D15)*(1+International_Fuel_Surcharge),2)))*(1+FedEx_Markup),2)</f>
        <v>42.88</v>
      </c>
      <c r="E18" s="295">
        <f>ROUND((IF('F Intl Con Plus Base'!$E$120&gt;ROUND(((1-'F Intl Con Plus Base'!$E$117)*'F Intl Con Plus Base'!E15),2),ROUND('F Intl Con Plus Base'!$E$120*(1+International_Fuel_Surcharge),2),ROUND(((1-'F Intl Con Plus Base'!$E$117)*'F Intl Con Plus Base'!E15)*(1+International_Fuel_Surcharge),2)))*(1+FedEx_Markup),2)</f>
        <v>54.53</v>
      </c>
      <c r="F18" s="295">
        <f>ROUND((IF('F Intl Con Plus Base'!$F$120&gt;ROUND(((1-'F Intl Con Plus Base'!$F$117)*'F Intl Con Plus Base'!F15),2),ROUND('F Intl Con Plus Base'!$F$120*(1+International_Fuel_Surcharge),2),ROUND(((1-'F Intl Con Plus Base'!$F$117)*'F Intl Con Plus Base'!F15)*(1+International_Fuel_Surcharge),2)))*(1+FedEx_Markup),2)</f>
        <v>91.07</v>
      </c>
      <c r="G18" s="295">
        <f>ROUND((IF('F Intl Con Plus Base'!$G$120&gt;ROUND(((1-'F Intl Con Plus Base'!$G$117)*'F Intl Con Plus Base'!G15),2),ROUND('F Intl Con Plus Base'!$G$120*(1+International_Fuel_Surcharge),2),ROUND(((1-'F Intl Con Plus Base'!$G$117)*'F Intl Con Plus Base'!G15)*(1+International_Fuel_Surcharge),2)))*(1+FedEx_Markup),2)</f>
        <v>59.46</v>
      </c>
      <c r="H18" s="295">
        <f>ROUND((IF('F Intl Con Plus Base'!$H$120&gt;ROUND(((1-'F Intl Con Plus Base'!$H$117)*'F Intl Con Plus Base'!H15),2),ROUND('F Intl Con Plus Base'!$H$120*(1+International_Fuel_Surcharge),2),ROUND(((1-'F Intl Con Plus Base'!$H$117)*'F Intl Con Plus Base'!H15)*(1+International_Fuel_Surcharge),2)))*(1+FedEx_Markup),2)</f>
        <v>65.32</v>
      </c>
      <c r="I18" s="295">
        <f>ROUND((IF('F Intl Con Plus Base'!$I$120&gt;ROUND(((1-'F Intl Con Plus Base'!$I$117)*'F Intl Con Plus Base'!I15),2),ROUND('F Intl Con Plus Base'!$I$120*(1+International_Fuel_Surcharge),2),ROUND(((1-'F Intl Con Plus Base'!$I$117)*'F Intl Con Plus Base'!I15)*(1+International_Fuel_Surcharge),2)))*(1+FedEx_Markup),2)</f>
        <v>67.46</v>
      </c>
      <c r="J18" s="295">
        <f>ROUND((IF('F Intl Con Plus Base'!$J$120&gt;ROUND(((1-'F Intl Con Plus Base'!$J$117)*'F Intl Con Plus Base'!J15),2),ROUND('F Intl Con Plus Base'!$J$120*(1+International_Fuel_Surcharge),2),ROUND(((1-'F Intl Con Plus Base'!$J$117)*'F Intl Con Plus Base'!J15)*(1+International_Fuel_Surcharge),2)))*(1+FedEx_Markup),2)</f>
        <v>47.04</v>
      </c>
      <c r="K18" s="295">
        <f>ROUND((IF('F Intl Con Plus Base'!$K$120&gt;ROUND(((1-'F Intl Con Plus Base'!$K$117)*'F Intl Con Plus Base'!K15),2),ROUND('F Intl Con Plus Base'!$K$120*(1+International_Fuel_Surcharge),2),ROUND(((1-'F Intl Con Plus Base'!$K$117)*'F Intl Con Plus Base'!K15)*(1+International_Fuel_Surcharge),2)))*(1+FedEx_Markup),2)</f>
        <v>80.28</v>
      </c>
      <c r="L18" s="295">
        <f>ROUND((IF('F Intl Con Plus Base'!$L$120&gt;ROUND(((1-'F Intl Con Plus Base'!$L$117)*'F Intl Con Plus Base'!L15),2),ROUND('F Intl Con Plus Base'!$L$120*(1+International_Fuel_Surcharge),2),ROUND(((1-'F Intl Con Plus Base'!$L$117)*'F Intl Con Plus Base'!L15)*(1+International_Fuel_Surcharge),2)))*(1+FedEx_Markup),2)</f>
        <v>69.99</v>
      </c>
      <c r="M18" s="295">
        <f>ROUND((IF('F Intl Con Plus Base'!$M$120&gt;ROUND(((1-'F Intl Con Plus Base'!$M$117)*'F Intl Con Plus Base'!M15),2),ROUND('F Intl Con Plus Base'!$M$120*(1+International_Fuel_Surcharge),2),ROUND(((1-'F Intl Con Plus Base'!$M$117)*'F Intl Con Plus Base'!M15)*(1+International_Fuel_Surcharge),2)))*(1+FedEx_Markup),2)</f>
        <v>104.31</v>
      </c>
      <c r="N18" s="295">
        <f>ROUND((IF('F Intl Con Plus Base'!$N$120&gt;ROUND(((1-'F Intl Con Plus Base'!$N$117)*'F Intl Con Plus Base'!N15),2),ROUND('F Intl Con Plus Base'!$N$120*(1+International_Fuel_Surcharge),2),ROUND(((1-'F Intl Con Plus Base'!$N$117)*'F Intl Con Plus Base'!N15)*(1+International_Fuel_Surcharge),2)))*(1+FedEx_Markup),2)</f>
        <v>98.44</v>
      </c>
      <c r="O18" s="295">
        <f>ROUND((IF('F Intl Con Plus Base'!$O$120&gt;ROUND(((1-'F Intl Con Plus Base'!$O$117)*'F Intl Con Plus Base'!O15),2),ROUND('F Intl Con Plus Base'!$O$120*(1+International_Fuel_Surcharge),2),ROUND(((1-'F Intl Con Plus Base'!$O$117)*'F Intl Con Plus Base'!O15)*(1+International_Fuel_Surcharge),2)))*(1+FedEx_Markup),2)</f>
        <v>72.29</v>
      </c>
      <c r="P18" s="295">
        <f>ROUND((IF('F Intl Con Plus Base'!$P$120&gt;ROUND(((1-'F Intl Con Plus Base'!$P$117)*'F Intl Con Plus Base'!P15),2),ROUND('F Intl Con Plus Base'!$P$120*(1+International_Fuel_Surcharge),2),ROUND(((1-'F Intl Con Plus Base'!$P$117)*'F Intl Con Plus Base'!P15)*(1+International_Fuel_Surcharge),2)))*(1+FedEx_Markup),2)</f>
        <v>69.21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294">
        <v>14.0</v>
      </c>
      <c r="B19" s="295">
        <f>ROUND((IF('F Intl Con Plus Base'!$B$120&gt;ROUND(((1-'F Intl Con Plus Base'!$B$117)*'F Intl Con Plus Base'!B16),2),ROUND('F Intl Con Plus Base'!$B$120*(1+International_Fuel_Surcharge),2),ROUND(((1-'F Intl Con Plus Base'!$B$117)*'F Intl Con Plus Base'!B16)*(1+International_Fuel_Surcharge),2)))*(1+FedEx_Markup),2)</f>
        <v>40.05</v>
      </c>
      <c r="C19" s="295">
        <f>ROUND((IF('F Intl Con Plus Base'!$C$120&gt;ROUND(((1-'F Intl Con Plus Base'!$C$117)*'F Intl Con Plus Base'!C16),2),ROUND('F Intl Con Plus Base'!$C$120*(1+International_Fuel_Surcharge),2),ROUND(((1-'F Intl Con Plus Base'!$C$117)*'F Intl Con Plus Base'!C16)*(1+International_Fuel_Surcharge),2)))*(1+FedEx_Markup),2)</f>
        <v>50.88</v>
      </c>
      <c r="D19" s="295">
        <f>ROUND((IF('F Intl Con Plus Base'!$D$120&gt;ROUND(((1-'F Intl Con Plus Base'!$D$117)*'F Intl Con Plus Base'!D16),2),ROUND('F Intl Con Plus Base'!$D$120*(1+International_Fuel_Surcharge),2),ROUND(((1-'F Intl Con Plus Base'!$D$117)*'F Intl Con Plus Base'!D16)*(1+International_Fuel_Surcharge),2)))*(1+FedEx_Markup),2)</f>
        <v>43</v>
      </c>
      <c r="E19" s="295">
        <f>ROUND((IF('F Intl Con Plus Base'!$E$120&gt;ROUND(((1-'F Intl Con Plus Base'!$E$117)*'F Intl Con Plus Base'!E16),2),ROUND('F Intl Con Plus Base'!$E$120*(1+International_Fuel_Surcharge),2),ROUND(((1-'F Intl Con Plus Base'!$E$117)*'F Intl Con Plus Base'!E16)*(1+International_Fuel_Surcharge),2)))*(1+FedEx_Markup),2)</f>
        <v>59.06</v>
      </c>
      <c r="F19" s="295">
        <f>ROUND((IF('F Intl Con Plus Base'!$F$120&gt;ROUND(((1-'F Intl Con Plus Base'!$F$117)*'F Intl Con Plus Base'!F16),2),ROUND('F Intl Con Plus Base'!$F$120*(1+International_Fuel_Surcharge),2),ROUND(((1-'F Intl Con Plus Base'!$F$117)*'F Intl Con Plus Base'!F16)*(1+International_Fuel_Surcharge),2)))*(1+FedEx_Markup),2)</f>
        <v>105.46</v>
      </c>
      <c r="G19" s="295">
        <f>ROUND((IF('F Intl Con Plus Base'!$G$120&gt;ROUND(((1-'F Intl Con Plus Base'!$G$117)*'F Intl Con Plus Base'!G16),2),ROUND('F Intl Con Plus Base'!$G$120*(1+International_Fuel_Surcharge),2),ROUND(((1-'F Intl Con Plus Base'!$G$117)*'F Intl Con Plus Base'!G16)*(1+International_Fuel_Surcharge),2)))*(1+FedEx_Markup),2)</f>
        <v>63.88</v>
      </c>
      <c r="H19" s="295">
        <f>ROUND((IF('F Intl Con Plus Base'!$H$120&gt;ROUND(((1-'F Intl Con Plus Base'!$H$117)*'F Intl Con Plus Base'!H16),2),ROUND('F Intl Con Plus Base'!$H$120*(1+International_Fuel_Surcharge),2),ROUND(((1-'F Intl Con Plus Base'!$H$117)*'F Intl Con Plus Base'!H16)*(1+International_Fuel_Surcharge),2)))*(1+FedEx_Markup),2)</f>
        <v>66.32</v>
      </c>
      <c r="I19" s="295">
        <f>ROUND((IF('F Intl Con Plus Base'!$I$120&gt;ROUND(((1-'F Intl Con Plus Base'!$I$117)*'F Intl Con Plus Base'!I16),2),ROUND('F Intl Con Plus Base'!$I$120*(1+International_Fuel_Surcharge),2),ROUND(((1-'F Intl Con Plus Base'!$I$117)*'F Intl Con Plus Base'!I16)*(1+International_Fuel_Surcharge),2)))*(1+FedEx_Markup),2)</f>
        <v>76.25</v>
      </c>
      <c r="J19" s="295">
        <f>ROUND((IF('F Intl Con Plus Base'!$J$120&gt;ROUND(((1-'F Intl Con Plus Base'!$J$117)*'F Intl Con Plus Base'!J16),2),ROUND('F Intl Con Plus Base'!$J$120*(1+International_Fuel_Surcharge),2),ROUND(((1-'F Intl Con Plus Base'!$J$117)*'F Intl Con Plus Base'!J16)*(1+International_Fuel_Surcharge),2)))*(1+FedEx_Markup),2)</f>
        <v>48.4</v>
      </c>
      <c r="K19" s="295">
        <f>ROUND((IF('F Intl Con Plus Base'!$K$120&gt;ROUND(((1-'F Intl Con Plus Base'!$K$117)*'F Intl Con Plus Base'!K16),2),ROUND('F Intl Con Plus Base'!$K$120*(1+International_Fuel_Surcharge),2),ROUND(((1-'F Intl Con Plus Base'!$K$117)*'F Intl Con Plus Base'!K16)*(1+International_Fuel_Surcharge),2)))*(1+FedEx_Markup),2)</f>
        <v>84.93</v>
      </c>
      <c r="L19" s="295">
        <f>ROUND((IF('F Intl Con Plus Base'!$L$120&gt;ROUND(((1-'F Intl Con Plus Base'!$L$117)*'F Intl Con Plus Base'!L16),2),ROUND('F Intl Con Plus Base'!$L$120*(1+International_Fuel_Surcharge),2),ROUND(((1-'F Intl Con Plus Base'!$L$117)*'F Intl Con Plus Base'!L16)*(1+International_Fuel_Surcharge),2)))*(1+FedEx_Markup),2)</f>
        <v>77.17</v>
      </c>
      <c r="M19" s="295">
        <f>ROUND((IF('F Intl Con Plus Base'!$M$120&gt;ROUND(((1-'F Intl Con Plus Base'!$M$117)*'F Intl Con Plus Base'!M16),2),ROUND('F Intl Con Plus Base'!$M$120*(1+International_Fuel_Surcharge),2),ROUND(((1-'F Intl Con Plus Base'!$M$117)*'F Intl Con Plus Base'!M16)*(1+International_Fuel_Surcharge),2)))*(1+FedEx_Markup),2)</f>
        <v>121.43</v>
      </c>
      <c r="N19" s="295">
        <f>ROUND((IF('F Intl Con Plus Base'!$N$120&gt;ROUND(((1-'F Intl Con Plus Base'!$N$117)*'F Intl Con Plus Base'!N16),2),ROUND('F Intl Con Plus Base'!$N$120*(1+International_Fuel_Surcharge),2),ROUND(((1-'F Intl Con Plus Base'!$N$117)*'F Intl Con Plus Base'!N16)*(1+International_Fuel_Surcharge),2)))*(1+FedEx_Markup),2)</f>
        <v>111.99</v>
      </c>
      <c r="O19" s="295">
        <f>ROUND((IF('F Intl Con Plus Base'!$O$120&gt;ROUND(((1-'F Intl Con Plus Base'!$O$117)*'F Intl Con Plus Base'!O16),2),ROUND('F Intl Con Plus Base'!$O$120*(1+International_Fuel_Surcharge),2),ROUND(((1-'F Intl Con Plus Base'!$O$117)*'F Intl Con Plus Base'!O16)*(1+International_Fuel_Surcharge),2)))*(1+FedEx_Markup),2)</f>
        <v>79.47</v>
      </c>
      <c r="P19" s="295">
        <f>ROUND((IF('F Intl Con Plus Base'!$P$120&gt;ROUND(((1-'F Intl Con Plus Base'!$P$117)*'F Intl Con Plus Base'!P16),2),ROUND('F Intl Con Plus Base'!$P$120*(1+International_Fuel_Surcharge),2),ROUND(((1-'F Intl Con Plus Base'!$P$117)*'F Intl Con Plus Base'!P16)*(1+International_Fuel_Surcharge),2)))*(1+FedEx_Markup),2)</f>
        <v>80.86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294">
        <v>15.0</v>
      </c>
      <c r="B20" s="295">
        <f>ROUND((IF('F Intl Con Plus Base'!$B$120&gt;ROUND(((1-'F Intl Con Plus Base'!$B$117)*'F Intl Con Plus Base'!B17),2),ROUND('F Intl Con Plus Base'!$B$120*(1+International_Fuel_Surcharge),2),ROUND(((1-'F Intl Con Plus Base'!$B$117)*'F Intl Con Plus Base'!B17)*(1+International_Fuel_Surcharge),2)))*(1+FedEx_Markup),2)</f>
        <v>41.37</v>
      </c>
      <c r="C20" s="295">
        <f>ROUND((IF('F Intl Con Plus Base'!$C$120&gt;ROUND(((1-'F Intl Con Plus Base'!$C$117)*'F Intl Con Plus Base'!C17),2),ROUND('F Intl Con Plus Base'!$C$120*(1+International_Fuel_Surcharge),2),ROUND(((1-'F Intl Con Plus Base'!$C$117)*'F Intl Con Plus Base'!C17)*(1+International_Fuel_Surcharge),2)))*(1+FedEx_Markup),2)</f>
        <v>53.54</v>
      </c>
      <c r="D20" s="295">
        <f>ROUND((IF('F Intl Con Plus Base'!$D$120&gt;ROUND(((1-'F Intl Con Plus Base'!$D$117)*'F Intl Con Plus Base'!D17),2),ROUND('F Intl Con Plus Base'!$D$120*(1+International_Fuel_Surcharge),2),ROUND(((1-'F Intl Con Plus Base'!$D$117)*'F Intl Con Plus Base'!D17)*(1+International_Fuel_Surcharge),2)))*(1+FedEx_Markup),2)</f>
        <v>45.2</v>
      </c>
      <c r="E20" s="295">
        <f>ROUND((IF('F Intl Con Plus Base'!$E$120&gt;ROUND(((1-'F Intl Con Plus Base'!$E$117)*'F Intl Con Plus Base'!E17),2),ROUND('F Intl Con Plus Base'!$E$120*(1+International_Fuel_Surcharge),2),ROUND(((1-'F Intl Con Plus Base'!$E$117)*'F Intl Con Plus Base'!E17)*(1+International_Fuel_Surcharge),2)))*(1+FedEx_Markup),2)</f>
        <v>60.63</v>
      </c>
      <c r="F20" s="295">
        <f>ROUND((IF('F Intl Con Plus Base'!$F$120&gt;ROUND(((1-'F Intl Con Plus Base'!$F$117)*'F Intl Con Plus Base'!F17),2),ROUND('F Intl Con Plus Base'!$F$120*(1+International_Fuel_Surcharge),2),ROUND(((1-'F Intl Con Plus Base'!$F$117)*'F Intl Con Plus Base'!F17)*(1+International_Fuel_Surcharge),2)))*(1+FedEx_Markup),2)</f>
        <v>116.51</v>
      </c>
      <c r="G20" s="295">
        <f>ROUND((IF('F Intl Con Plus Base'!$G$120&gt;ROUND(((1-'F Intl Con Plus Base'!$G$117)*'F Intl Con Plus Base'!G17),2),ROUND('F Intl Con Plus Base'!$G$120*(1+International_Fuel_Surcharge),2),ROUND(((1-'F Intl Con Plus Base'!$G$117)*'F Intl Con Plus Base'!G17)*(1+International_Fuel_Surcharge),2)))*(1+FedEx_Markup),2)</f>
        <v>64.33</v>
      </c>
      <c r="H20" s="295">
        <f>ROUND((IF('F Intl Con Plus Base'!$H$120&gt;ROUND(((1-'F Intl Con Plus Base'!$H$117)*'F Intl Con Plus Base'!H17),2),ROUND('F Intl Con Plus Base'!$H$120*(1+International_Fuel_Surcharge),2),ROUND(((1-'F Intl Con Plus Base'!$H$117)*'F Intl Con Plus Base'!H17)*(1+International_Fuel_Surcharge),2)))*(1+FedEx_Markup),2)</f>
        <v>66.45</v>
      </c>
      <c r="I20" s="295">
        <f>ROUND((IF('F Intl Con Plus Base'!$I$120&gt;ROUND(((1-'F Intl Con Plus Base'!$I$117)*'F Intl Con Plus Base'!I17),2),ROUND('F Intl Con Plus Base'!$I$120*(1+International_Fuel_Surcharge),2),ROUND(((1-'F Intl Con Plus Base'!$I$117)*'F Intl Con Plus Base'!I17)*(1+International_Fuel_Surcharge),2)))*(1+FedEx_Markup),2)</f>
        <v>80.36</v>
      </c>
      <c r="J20" s="295">
        <f>ROUND((IF('F Intl Con Plus Base'!$J$120&gt;ROUND(((1-'F Intl Con Plus Base'!$J$117)*'F Intl Con Plus Base'!J17),2),ROUND('F Intl Con Plus Base'!$J$120*(1+International_Fuel_Surcharge),2),ROUND(((1-'F Intl Con Plus Base'!$J$117)*'F Intl Con Plus Base'!J17)*(1+International_Fuel_Surcharge),2)))*(1+FedEx_Markup),2)</f>
        <v>50.19</v>
      </c>
      <c r="K20" s="295">
        <f>ROUND((IF('F Intl Con Plus Base'!$K$120&gt;ROUND(((1-'F Intl Con Plus Base'!$K$117)*'F Intl Con Plus Base'!K17),2),ROUND('F Intl Con Plus Base'!$K$120*(1+International_Fuel_Surcharge),2),ROUND(((1-'F Intl Con Plus Base'!$K$117)*'F Intl Con Plus Base'!K17)*(1+International_Fuel_Surcharge),2)))*(1+FedEx_Markup),2)</f>
        <v>87.58</v>
      </c>
      <c r="L20" s="295">
        <f>ROUND((IF('F Intl Con Plus Base'!$L$120&gt;ROUND(((1-'F Intl Con Plus Base'!$L$117)*'F Intl Con Plus Base'!L17),2),ROUND('F Intl Con Plus Base'!$L$120*(1+International_Fuel_Surcharge),2),ROUND(((1-'F Intl Con Plus Base'!$L$117)*'F Intl Con Plus Base'!L17)*(1+International_Fuel_Surcharge),2)))*(1+FedEx_Markup),2)</f>
        <v>77.89</v>
      </c>
      <c r="M20" s="295">
        <f>ROUND((IF('F Intl Con Plus Base'!$M$120&gt;ROUND(((1-'F Intl Con Plus Base'!$M$117)*'F Intl Con Plus Base'!M17),2),ROUND('F Intl Con Plus Base'!$M$120*(1+International_Fuel_Surcharge),2),ROUND(((1-'F Intl Con Plus Base'!$M$117)*'F Intl Con Plus Base'!M17)*(1+International_Fuel_Surcharge),2)))*(1+FedEx_Markup),2)</f>
        <v>123.14</v>
      </c>
      <c r="N20" s="295">
        <f>ROUND((IF('F Intl Con Plus Base'!$N$120&gt;ROUND(((1-'F Intl Con Plus Base'!$N$117)*'F Intl Con Plus Base'!N17),2),ROUND('F Intl Con Plus Base'!$N$120*(1+International_Fuel_Surcharge),2),ROUND(((1-'F Intl Con Plus Base'!$N$117)*'F Intl Con Plus Base'!N17)*(1+International_Fuel_Surcharge),2)))*(1+FedEx_Markup),2)</f>
        <v>113.34</v>
      </c>
      <c r="O20" s="295">
        <f>ROUND((IF('F Intl Con Plus Base'!$O$120&gt;ROUND(((1-'F Intl Con Plus Base'!$O$117)*'F Intl Con Plus Base'!O17),2),ROUND('F Intl Con Plus Base'!$O$120*(1+International_Fuel_Surcharge),2),ROUND(((1-'F Intl Con Plus Base'!$O$117)*'F Intl Con Plus Base'!O17)*(1+International_Fuel_Surcharge),2)))*(1+FedEx_Markup),2)</f>
        <v>82.33</v>
      </c>
      <c r="P20" s="295">
        <f>ROUND((IF('F Intl Con Plus Base'!$P$120&gt;ROUND(((1-'F Intl Con Plus Base'!$P$117)*'F Intl Con Plus Base'!P17),2),ROUND('F Intl Con Plus Base'!$P$120*(1+International_Fuel_Surcharge),2),ROUND(((1-'F Intl Con Plus Base'!$P$117)*'F Intl Con Plus Base'!P17)*(1+International_Fuel_Surcharge),2)))*(1+FedEx_Markup),2)</f>
        <v>89.39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2.75" customHeight="1">
      <c r="A21" s="294">
        <v>16.0</v>
      </c>
      <c r="B21" s="295">
        <f>ROUND((IF('F Intl Con Plus Base'!$B$120&gt;ROUND(((1-'F Intl Con Plus Base'!$B$117)*'F Intl Con Plus Base'!B18),2),ROUND('F Intl Con Plus Base'!$B$120*(1+International_Fuel_Surcharge),2),ROUND(((1-'F Intl Con Plus Base'!$B$117)*'F Intl Con Plus Base'!B18)*(1+International_Fuel_Surcharge),2)))*(1+FedEx_Markup),2)</f>
        <v>43.31</v>
      </c>
      <c r="C21" s="295">
        <f>ROUND((IF('F Intl Con Plus Base'!$C$120&gt;ROUND(((1-'F Intl Con Plus Base'!$C$117)*'F Intl Con Plus Base'!C18),2),ROUND('F Intl Con Plus Base'!$C$120*(1+International_Fuel_Surcharge),2),ROUND(((1-'F Intl Con Plus Base'!$C$117)*'F Intl Con Plus Base'!C18)*(1+International_Fuel_Surcharge),2)))*(1+FedEx_Markup),2)</f>
        <v>54.75</v>
      </c>
      <c r="D21" s="295">
        <f>ROUND((IF('F Intl Con Plus Base'!$D$120&gt;ROUND(((1-'F Intl Con Plus Base'!$D$117)*'F Intl Con Plus Base'!D18),2),ROUND('F Intl Con Plus Base'!$D$120*(1+International_Fuel_Surcharge),2),ROUND(((1-'F Intl Con Plus Base'!$D$117)*'F Intl Con Plus Base'!D18)*(1+International_Fuel_Surcharge),2)))*(1+FedEx_Markup),2)</f>
        <v>45.43</v>
      </c>
      <c r="E21" s="295">
        <f>ROUND((IF('F Intl Con Plus Base'!$E$120&gt;ROUND(((1-'F Intl Con Plus Base'!$E$117)*'F Intl Con Plus Base'!E18),2),ROUND('F Intl Con Plus Base'!$E$120*(1+International_Fuel_Surcharge),2),ROUND(((1-'F Intl Con Plus Base'!$E$117)*'F Intl Con Plus Base'!E18)*(1+International_Fuel_Surcharge),2)))*(1+FedEx_Markup),2)</f>
        <v>65.39</v>
      </c>
      <c r="F21" s="295">
        <f>ROUND((IF('F Intl Con Plus Base'!$F$120&gt;ROUND(((1-'F Intl Con Plus Base'!$F$117)*'F Intl Con Plus Base'!F18),2),ROUND('F Intl Con Plus Base'!$F$120*(1+International_Fuel_Surcharge),2),ROUND(((1-'F Intl Con Plus Base'!$F$117)*'F Intl Con Plus Base'!F18)*(1+International_Fuel_Surcharge),2)))*(1+FedEx_Markup),2)</f>
        <v>117.61</v>
      </c>
      <c r="G21" s="295">
        <f>ROUND((IF('F Intl Con Plus Base'!$G$120&gt;ROUND(((1-'F Intl Con Plus Base'!$G$117)*'F Intl Con Plus Base'!G18),2),ROUND('F Intl Con Plus Base'!$G$120*(1+International_Fuel_Surcharge),2),ROUND(((1-'F Intl Con Plus Base'!$G$117)*'F Intl Con Plus Base'!G18)*(1+International_Fuel_Surcharge),2)))*(1+FedEx_Markup),2)</f>
        <v>68.32</v>
      </c>
      <c r="H21" s="295">
        <f>ROUND((IF('F Intl Con Plus Base'!$H$120&gt;ROUND(((1-'F Intl Con Plus Base'!$H$117)*'F Intl Con Plus Base'!H18),2),ROUND('F Intl Con Plus Base'!$H$120*(1+International_Fuel_Surcharge),2),ROUND(((1-'F Intl Con Plus Base'!$H$117)*'F Intl Con Plus Base'!H18)*(1+International_Fuel_Surcharge),2)))*(1+FedEx_Markup),2)</f>
        <v>66.59</v>
      </c>
      <c r="I21" s="295">
        <f>ROUND((IF('F Intl Con Plus Base'!$I$120&gt;ROUND(((1-'F Intl Con Plus Base'!$I$117)*'F Intl Con Plus Base'!I18),2),ROUND('F Intl Con Plus Base'!$I$120*(1+International_Fuel_Surcharge),2),ROUND(((1-'F Intl Con Plus Base'!$I$117)*'F Intl Con Plus Base'!I18)*(1+International_Fuel_Surcharge),2)))*(1+FedEx_Markup),2)</f>
        <v>80.79</v>
      </c>
      <c r="J21" s="295">
        <f>ROUND((IF('F Intl Con Plus Base'!$J$120&gt;ROUND(((1-'F Intl Con Plus Base'!$J$117)*'F Intl Con Plus Base'!J18),2),ROUND('F Intl Con Plus Base'!$J$120*(1+International_Fuel_Surcharge),2),ROUND(((1-'F Intl Con Plus Base'!$J$117)*'F Intl Con Plus Base'!J18)*(1+International_Fuel_Surcharge),2)))*(1+FedEx_Markup),2)</f>
        <v>56.71</v>
      </c>
      <c r="K21" s="295">
        <f>ROUND((IF('F Intl Con Plus Base'!$K$120&gt;ROUND(((1-'F Intl Con Plus Base'!$K$117)*'F Intl Con Plus Base'!K18),2),ROUND('F Intl Con Plus Base'!$K$120*(1+International_Fuel_Surcharge),2),ROUND(((1-'F Intl Con Plus Base'!$K$117)*'F Intl Con Plus Base'!K18)*(1+International_Fuel_Surcharge),2)))*(1+FedEx_Markup),2)</f>
        <v>93.24</v>
      </c>
      <c r="L21" s="295">
        <f>ROUND((IF('F Intl Con Plus Base'!$L$120&gt;ROUND(((1-'F Intl Con Plus Base'!$L$117)*'F Intl Con Plus Base'!L18),2),ROUND('F Intl Con Plus Base'!$L$120*(1+International_Fuel_Surcharge),2),ROUND(((1-'F Intl Con Plus Base'!$L$117)*'F Intl Con Plus Base'!L18)*(1+International_Fuel_Surcharge),2)))*(1+FedEx_Markup),2)</f>
        <v>86.93</v>
      </c>
      <c r="M21" s="295">
        <f>ROUND((IF('F Intl Con Plus Base'!$M$120&gt;ROUND(((1-'F Intl Con Plus Base'!$M$117)*'F Intl Con Plus Base'!M18),2),ROUND('F Intl Con Plus Base'!$M$120*(1+International_Fuel_Surcharge),2),ROUND(((1-'F Intl Con Plus Base'!$M$117)*'F Intl Con Plus Base'!M18)*(1+International_Fuel_Surcharge),2)))*(1+FedEx_Markup),2)</f>
        <v>127.96</v>
      </c>
      <c r="N21" s="295">
        <f>ROUND((IF('F Intl Con Plus Base'!$N$120&gt;ROUND(((1-'F Intl Con Plus Base'!$N$117)*'F Intl Con Plus Base'!N18),2),ROUND('F Intl Con Plus Base'!$N$120*(1+International_Fuel_Surcharge),2),ROUND(((1-'F Intl Con Plus Base'!$N$117)*'F Intl Con Plus Base'!N18)*(1+International_Fuel_Surcharge),2)))*(1+FedEx_Markup),2)</f>
        <v>113.69</v>
      </c>
      <c r="O21" s="295">
        <f>ROUND((IF('F Intl Con Plus Base'!$O$120&gt;ROUND(((1-'F Intl Con Plus Base'!$O$117)*'F Intl Con Plus Base'!O18),2),ROUND('F Intl Con Plus Base'!$O$120*(1+International_Fuel_Surcharge),2),ROUND(((1-'F Intl Con Plus Base'!$O$117)*'F Intl Con Plus Base'!O18)*(1+International_Fuel_Surcharge),2)))*(1+FedEx_Markup),2)</f>
        <v>83.87</v>
      </c>
      <c r="P21" s="295">
        <f>ROUND((IF('F Intl Con Plus Base'!$P$120&gt;ROUND(((1-'F Intl Con Plus Base'!$P$117)*'F Intl Con Plus Base'!P18),2),ROUND('F Intl Con Plus Base'!$P$120*(1+International_Fuel_Surcharge),2),ROUND(((1-'F Intl Con Plus Base'!$P$117)*'F Intl Con Plus Base'!P18)*(1+International_Fuel_Surcharge),2)))*(1+FedEx_Markup),2)</f>
        <v>93.82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2.75" customHeight="1">
      <c r="A22" s="294">
        <v>17.0</v>
      </c>
      <c r="B22" s="295">
        <f>ROUND((IF('F Intl Con Plus Base'!$B$120&gt;ROUND(((1-'F Intl Con Plus Base'!$B$117)*'F Intl Con Plus Base'!B19),2),ROUND('F Intl Con Plus Base'!$B$120*(1+International_Fuel_Surcharge),2),ROUND(((1-'F Intl Con Plus Base'!$B$117)*'F Intl Con Plus Base'!B19)*(1+International_Fuel_Surcharge),2)))*(1+FedEx_Markup),2)</f>
        <v>43.64</v>
      </c>
      <c r="C22" s="295">
        <f>ROUND((IF('F Intl Con Plus Base'!$C$120&gt;ROUND(((1-'F Intl Con Plus Base'!$C$117)*'F Intl Con Plus Base'!C19),2),ROUND('F Intl Con Plus Base'!$C$120*(1+International_Fuel_Surcharge),2),ROUND(((1-'F Intl Con Plus Base'!$C$117)*'F Intl Con Plus Base'!C19)*(1+International_Fuel_Surcharge),2)))*(1+FedEx_Markup),2)</f>
        <v>54.88</v>
      </c>
      <c r="D22" s="295">
        <f>ROUND((IF('F Intl Con Plus Base'!$D$120&gt;ROUND(((1-'F Intl Con Plus Base'!$D$117)*'F Intl Con Plus Base'!D19),2),ROUND('F Intl Con Plus Base'!$D$120*(1+International_Fuel_Surcharge),2),ROUND(((1-'F Intl Con Plus Base'!$D$117)*'F Intl Con Plus Base'!D19)*(1+International_Fuel_Surcharge),2)))*(1+FedEx_Markup),2)</f>
        <v>47.87</v>
      </c>
      <c r="E22" s="295">
        <f>ROUND((IF('F Intl Con Plus Base'!$E$120&gt;ROUND(((1-'F Intl Con Plus Base'!$E$117)*'F Intl Con Plus Base'!E19),2),ROUND('F Intl Con Plus Base'!$E$120*(1+International_Fuel_Surcharge),2),ROUND(((1-'F Intl Con Plus Base'!$E$117)*'F Intl Con Plus Base'!E19)*(1+International_Fuel_Surcharge),2)))*(1+FedEx_Markup),2)</f>
        <v>65.86</v>
      </c>
      <c r="F22" s="295">
        <f>ROUND((IF('F Intl Con Plus Base'!$F$120&gt;ROUND(((1-'F Intl Con Plus Base'!$F$117)*'F Intl Con Plus Base'!F19),2),ROUND('F Intl Con Plus Base'!$F$120*(1+International_Fuel_Surcharge),2),ROUND(((1-'F Intl Con Plus Base'!$F$117)*'F Intl Con Plus Base'!F19)*(1+International_Fuel_Surcharge),2)))*(1+FedEx_Markup),2)</f>
        <v>118.15</v>
      </c>
      <c r="G22" s="295">
        <f>ROUND((IF('F Intl Con Plus Base'!$G$120&gt;ROUND(((1-'F Intl Con Plus Base'!$G$117)*'F Intl Con Plus Base'!G19),2),ROUND('F Intl Con Plus Base'!$G$120*(1+International_Fuel_Surcharge),2),ROUND(((1-'F Intl Con Plus Base'!$G$117)*'F Intl Con Plus Base'!G19)*(1+International_Fuel_Surcharge),2)))*(1+FedEx_Markup),2)</f>
        <v>72.12</v>
      </c>
      <c r="H22" s="295">
        <f>ROUND((IF('F Intl Con Plus Base'!$H$120&gt;ROUND(((1-'F Intl Con Plus Base'!$H$117)*'F Intl Con Plus Base'!H19),2),ROUND('F Intl Con Plus Base'!$H$120*(1+International_Fuel_Surcharge),2),ROUND(((1-'F Intl Con Plus Base'!$H$117)*'F Intl Con Plus Base'!H19)*(1+International_Fuel_Surcharge),2)))*(1+FedEx_Markup),2)</f>
        <v>68.71</v>
      </c>
      <c r="I22" s="295">
        <f>ROUND((IF('F Intl Con Plus Base'!$I$120&gt;ROUND(((1-'F Intl Con Plus Base'!$I$117)*'F Intl Con Plus Base'!I19),2),ROUND('F Intl Con Plus Base'!$I$120*(1+International_Fuel_Surcharge),2),ROUND(((1-'F Intl Con Plus Base'!$I$117)*'F Intl Con Plus Base'!I19)*(1+International_Fuel_Surcharge),2)))*(1+FedEx_Markup),2)</f>
        <v>84.59</v>
      </c>
      <c r="J22" s="295">
        <f>ROUND((IF('F Intl Con Plus Base'!$J$120&gt;ROUND(((1-'F Intl Con Plus Base'!$J$117)*'F Intl Con Plus Base'!J19),2),ROUND('F Intl Con Plus Base'!$J$120*(1+International_Fuel_Surcharge),2),ROUND(((1-'F Intl Con Plus Base'!$J$117)*'F Intl Con Plus Base'!J19)*(1+International_Fuel_Surcharge),2)))*(1+FedEx_Markup),2)</f>
        <v>58.64</v>
      </c>
      <c r="K22" s="295">
        <f>ROUND((IF('F Intl Con Plus Base'!$K$120&gt;ROUND(((1-'F Intl Con Plus Base'!$K$117)*'F Intl Con Plus Base'!K19),2),ROUND('F Intl Con Plus Base'!$K$120*(1+International_Fuel_Surcharge),2),ROUND(((1-'F Intl Con Plus Base'!$K$117)*'F Intl Con Plus Base'!K19)*(1+International_Fuel_Surcharge),2)))*(1+FedEx_Markup),2)</f>
        <v>95.48</v>
      </c>
      <c r="L22" s="295">
        <f>ROUND((IF('F Intl Con Plus Base'!$L$120&gt;ROUND(((1-'F Intl Con Plus Base'!$L$117)*'F Intl Con Plus Base'!L19),2),ROUND('F Intl Con Plus Base'!$L$120*(1+International_Fuel_Surcharge),2),ROUND(((1-'F Intl Con Plus Base'!$L$117)*'F Intl Con Plus Base'!L19)*(1+International_Fuel_Surcharge),2)))*(1+FedEx_Markup),2)</f>
        <v>90.65</v>
      </c>
      <c r="M22" s="295">
        <f>ROUND((IF('F Intl Con Plus Base'!$M$120&gt;ROUND(((1-'F Intl Con Plus Base'!$M$117)*'F Intl Con Plus Base'!M19),2),ROUND('F Intl Con Plus Base'!$M$120*(1+International_Fuel_Surcharge),2),ROUND(((1-'F Intl Con Plus Base'!$M$117)*'F Intl Con Plus Base'!M19)*(1+International_Fuel_Surcharge),2)))*(1+FedEx_Markup),2)</f>
        <v>134.91</v>
      </c>
      <c r="N22" s="295">
        <f>ROUND((IF('F Intl Con Plus Base'!$N$120&gt;ROUND(((1-'F Intl Con Plus Base'!$N$117)*'F Intl Con Plus Base'!N19),2),ROUND('F Intl Con Plus Base'!$N$120*(1+International_Fuel_Surcharge),2),ROUND(((1-'F Intl Con Plus Base'!$N$117)*'F Intl Con Plus Base'!N19)*(1+International_Fuel_Surcharge),2)))*(1+FedEx_Markup),2)</f>
        <v>114.47</v>
      </c>
      <c r="O22" s="295">
        <f>ROUND((IF('F Intl Con Plus Base'!$O$120&gt;ROUND(((1-'F Intl Con Plus Base'!$O$117)*'F Intl Con Plus Base'!O19),2),ROUND('F Intl Con Plus Base'!$O$120*(1+International_Fuel_Surcharge),2),ROUND(((1-'F Intl Con Plus Base'!$O$117)*'F Intl Con Plus Base'!O19)*(1+International_Fuel_Surcharge),2)))*(1+FedEx_Markup),2)</f>
        <v>86.81</v>
      </c>
      <c r="P22" s="295">
        <f>ROUND((IF('F Intl Con Plus Base'!$P$120&gt;ROUND(((1-'F Intl Con Plus Base'!$P$117)*'F Intl Con Plus Base'!P19),2),ROUND('F Intl Con Plus Base'!$P$120*(1+International_Fuel_Surcharge),2),ROUND(((1-'F Intl Con Plus Base'!$P$117)*'F Intl Con Plus Base'!P19)*(1+International_Fuel_Surcharge),2)))*(1+FedEx_Markup),2)</f>
        <v>94.27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2.75" customHeight="1">
      <c r="A23" s="294">
        <v>18.0</v>
      </c>
      <c r="B23" s="295">
        <f>ROUND((IF('F Intl Con Plus Base'!$B$120&gt;ROUND(((1-'F Intl Con Plus Base'!$B$117)*'F Intl Con Plus Base'!B20),2),ROUND('F Intl Con Plus Base'!$B$120*(1+International_Fuel_Surcharge),2),ROUND(((1-'F Intl Con Plus Base'!$B$117)*'F Intl Con Plus Base'!B20)*(1+International_Fuel_Surcharge),2)))*(1+FedEx_Markup),2)</f>
        <v>44.79</v>
      </c>
      <c r="C23" s="295">
        <f>ROUND((IF('F Intl Con Plus Base'!$C$120&gt;ROUND(((1-'F Intl Con Plus Base'!$C$117)*'F Intl Con Plus Base'!C20),2),ROUND('F Intl Con Plus Base'!$C$120*(1+International_Fuel_Surcharge),2),ROUND(((1-'F Intl Con Plus Base'!$C$117)*'F Intl Con Plus Base'!C20)*(1+International_Fuel_Surcharge),2)))*(1+FedEx_Markup),2)</f>
        <v>56.25</v>
      </c>
      <c r="D23" s="295">
        <f>ROUND((IF('F Intl Con Plus Base'!$D$120&gt;ROUND(((1-'F Intl Con Plus Base'!$D$117)*'F Intl Con Plus Base'!D20),2),ROUND('F Intl Con Plus Base'!$D$120*(1+International_Fuel_Surcharge),2),ROUND(((1-'F Intl Con Plus Base'!$D$117)*'F Intl Con Plus Base'!D20)*(1+International_Fuel_Surcharge),2)))*(1+FedEx_Markup),2)</f>
        <v>48.22</v>
      </c>
      <c r="E23" s="295">
        <f>ROUND((IF('F Intl Con Plus Base'!$E$120&gt;ROUND(((1-'F Intl Con Plus Base'!$E$117)*'F Intl Con Plus Base'!E20),2),ROUND('F Intl Con Plus Base'!$E$120*(1+International_Fuel_Surcharge),2),ROUND(((1-'F Intl Con Plus Base'!$E$117)*'F Intl Con Plus Base'!E20)*(1+International_Fuel_Surcharge),2)))*(1+FedEx_Markup),2)</f>
        <v>66.45</v>
      </c>
      <c r="F23" s="295">
        <f>ROUND((IF('F Intl Con Plus Base'!$F$120&gt;ROUND(((1-'F Intl Con Plus Base'!$F$117)*'F Intl Con Plus Base'!F20),2),ROUND('F Intl Con Plus Base'!$F$120*(1+International_Fuel_Surcharge),2),ROUND(((1-'F Intl Con Plus Base'!$F$117)*'F Intl Con Plus Base'!F20)*(1+International_Fuel_Surcharge),2)))*(1+FedEx_Markup),2)</f>
        <v>128.89</v>
      </c>
      <c r="G23" s="295">
        <f>ROUND((IF('F Intl Con Plus Base'!$G$120&gt;ROUND(((1-'F Intl Con Plus Base'!$G$117)*'F Intl Con Plus Base'!G20),2),ROUND('F Intl Con Plus Base'!$G$120*(1+International_Fuel_Surcharge),2),ROUND(((1-'F Intl Con Plus Base'!$G$117)*'F Intl Con Plus Base'!G20)*(1+International_Fuel_Surcharge),2)))*(1+FedEx_Markup),2)</f>
        <v>72.51</v>
      </c>
      <c r="H23" s="295">
        <f>ROUND((IF('F Intl Con Plus Base'!$H$120&gt;ROUND(((1-'F Intl Con Plus Base'!$H$117)*'F Intl Con Plus Base'!H20),2),ROUND('F Intl Con Plus Base'!$H$120*(1+International_Fuel_Surcharge),2),ROUND(((1-'F Intl Con Plus Base'!$H$117)*'F Intl Con Plus Base'!H20)*(1+International_Fuel_Surcharge),2)))*(1+FedEx_Markup),2)</f>
        <v>74.7</v>
      </c>
      <c r="I23" s="295">
        <f>ROUND((IF('F Intl Con Plus Base'!$I$120&gt;ROUND(((1-'F Intl Con Plus Base'!$I$117)*'F Intl Con Plus Base'!I20),2),ROUND('F Intl Con Plus Base'!$I$120*(1+International_Fuel_Surcharge),2),ROUND(((1-'F Intl Con Plus Base'!$I$117)*'F Intl Con Plus Base'!I20)*(1+International_Fuel_Surcharge),2)))*(1+FedEx_Markup),2)</f>
        <v>87.93</v>
      </c>
      <c r="J23" s="295">
        <f>ROUND((IF('F Intl Con Plus Base'!$J$120&gt;ROUND(((1-'F Intl Con Plus Base'!$J$117)*'F Intl Con Plus Base'!J20),2),ROUND('F Intl Con Plus Base'!$J$120*(1+International_Fuel_Surcharge),2),ROUND(((1-'F Intl Con Plus Base'!$J$117)*'F Intl Con Plus Base'!J20)*(1+International_Fuel_Surcharge),2)))*(1+FedEx_Markup),2)</f>
        <v>58.83</v>
      </c>
      <c r="K23" s="295">
        <f>ROUND((IF('F Intl Con Plus Base'!$K$120&gt;ROUND(((1-'F Intl Con Plus Base'!$K$117)*'F Intl Con Plus Base'!K20),2),ROUND('F Intl Con Plus Base'!$K$120*(1+International_Fuel_Surcharge),2),ROUND(((1-'F Intl Con Plus Base'!$K$117)*'F Intl Con Plus Base'!K20)*(1+International_Fuel_Surcharge),2)))*(1+FedEx_Markup),2)</f>
        <v>97.31</v>
      </c>
      <c r="L23" s="295">
        <f>ROUND((IF('F Intl Con Plus Base'!$L$120&gt;ROUND(((1-'F Intl Con Plus Base'!$L$117)*'F Intl Con Plus Base'!L20),2),ROUND('F Intl Con Plus Base'!$L$120*(1+International_Fuel_Surcharge),2),ROUND(((1-'F Intl Con Plus Base'!$L$117)*'F Intl Con Plus Base'!L20)*(1+International_Fuel_Surcharge),2)))*(1+FedEx_Markup),2)</f>
        <v>93.18</v>
      </c>
      <c r="M23" s="295">
        <f>ROUND((IF('F Intl Con Plus Base'!$M$120&gt;ROUND(((1-'F Intl Con Plus Base'!$M$117)*'F Intl Con Plus Base'!M20),2),ROUND('F Intl Con Plus Base'!$M$120*(1+International_Fuel_Surcharge),2),ROUND(((1-'F Intl Con Plus Base'!$M$117)*'F Intl Con Plus Base'!M20)*(1+International_Fuel_Surcharge),2)))*(1+FedEx_Markup),2)</f>
        <v>145.77</v>
      </c>
      <c r="N23" s="295">
        <f>ROUND((IF('F Intl Con Plus Base'!$N$120&gt;ROUND(((1-'F Intl Con Plus Base'!$N$117)*'F Intl Con Plus Base'!N20),2),ROUND('F Intl Con Plus Base'!$N$120*(1+International_Fuel_Surcharge),2),ROUND(((1-'F Intl Con Plus Base'!$N$117)*'F Intl Con Plus Base'!N20)*(1+International_Fuel_Surcharge),2)))*(1+FedEx_Markup),2)</f>
        <v>129.89</v>
      </c>
      <c r="O23" s="295">
        <f>ROUND((IF('F Intl Con Plus Base'!$O$120&gt;ROUND(((1-'F Intl Con Plus Base'!$O$117)*'F Intl Con Plus Base'!O20),2),ROUND('F Intl Con Plus Base'!$O$120*(1+International_Fuel_Surcharge),2),ROUND(((1-'F Intl Con Plus Base'!$O$117)*'F Intl Con Plus Base'!O20)*(1+International_Fuel_Surcharge),2)))*(1+FedEx_Markup),2)</f>
        <v>88.24</v>
      </c>
      <c r="P23" s="295">
        <f>ROUND((IF('F Intl Con Plus Base'!$P$120&gt;ROUND(((1-'F Intl Con Plus Base'!$P$117)*'F Intl Con Plus Base'!P20),2),ROUND('F Intl Con Plus Base'!$P$120*(1+International_Fuel_Surcharge),2),ROUND(((1-'F Intl Con Plus Base'!$P$117)*'F Intl Con Plus Base'!P20)*(1+International_Fuel_Surcharge),2)))*(1+FedEx_Markup),2)</f>
        <v>99.27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94">
        <v>19.0</v>
      </c>
      <c r="B24" s="295">
        <f>ROUND((IF('F Intl Con Plus Base'!$B$120&gt;ROUND(((1-'F Intl Con Plus Base'!$B$117)*'F Intl Con Plus Base'!B21),2),ROUND('F Intl Con Plus Base'!$B$120*(1+International_Fuel_Surcharge),2),ROUND(((1-'F Intl Con Plus Base'!$B$117)*'F Intl Con Plus Base'!B21)*(1+International_Fuel_Surcharge),2)))*(1+FedEx_Markup),2)</f>
        <v>45.93</v>
      </c>
      <c r="C24" s="295">
        <f>ROUND((IF('F Intl Con Plus Base'!$C$120&gt;ROUND(((1-'F Intl Con Plus Base'!$C$117)*'F Intl Con Plus Base'!C21),2),ROUND('F Intl Con Plus Base'!$C$120*(1+International_Fuel_Surcharge),2),ROUND(((1-'F Intl Con Plus Base'!$C$117)*'F Intl Con Plus Base'!C21)*(1+International_Fuel_Surcharge),2)))*(1+FedEx_Markup),2)</f>
        <v>57.64</v>
      </c>
      <c r="D24" s="295">
        <f>ROUND((IF('F Intl Con Plus Base'!$D$120&gt;ROUND(((1-'F Intl Con Plus Base'!$D$117)*'F Intl Con Plus Base'!D21),2),ROUND('F Intl Con Plus Base'!$D$120*(1+International_Fuel_Surcharge),2),ROUND(((1-'F Intl Con Plus Base'!$D$117)*'F Intl Con Plus Base'!D21)*(1+International_Fuel_Surcharge),2)))*(1+FedEx_Markup),2)</f>
        <v>54.91</v>
      </c>
      <c r="E24" s="295">
        <f>ROUND((IF('F Intl Con Plus Base'!$E$120&gt;ROUND(((1-'F Intl Con Plus Base'!$E$117)*'F Intl Con Plus Base'!E21),2),ROUND('F Intl Con Plus Base'!$E$120*(1+International_Fuel_Surcharge),2),ROUND(((1-'F Intl Con Plus Base'!$E$117)*'F Intl Con Plus Base'!E21)*(1+International_Fuel_Surcharge),2)))*(1+FedEx_Markup),2)</f>
        <v>68.38</v>
      </c>
      <c r="F24" s="295">
        <f>ROUND((IF('F Intl Con Plus Base'!$F$120&gt;ROUND(((1-'F Intl Con Plus Base'!$F$117)*'F Intl Con Plus Base'!F21),2),ROUND('F Intl Con Plus Base'!$F$120*(1+International_Fuel_Surcharge),2),ROUND(((1-'F Intl Con Plus Base'!$F$117)*'F Intl Con Plus Base'!F21)*(1+International_Fuel_Surcharge),2)))*(1+FedEx_Markup),2)</f>
        <v>131.11</v>
      </c>
      <c r="G24" s="295">
        <f>ROUND((IF('F Intl Con Plus Base'!$G$120&gt;ROUND(((1-'F Intl Con Plus Base'!$G$117)*'F Intl Con Plus Base'!G21),2),ROUND('F Intl Con Plus Base'!$G$120*(1+International_Fuel_Surcharge),2),ROUND(((1-'F Intl Con Plus Base'!$G$117)*'F Intl Con Plus Base'!G21)*(1+International_Fuel_Surcharge),2)))*(1+FedEx_Markup),2)</f>
        <v>76.42</v>
      </c>
      <c r="H24" s="295">
        <f>ROUND((IF('F Intl Con Plus Base'!$H$120&gt;ROUND(((1-'F Intl Con Plus Base'!$H$117)*'F Intl Con Plus Base'!H21),2),ROUND('F Intl Con Plus Base'!$H$120*(1+International_Fuel_Surcharge),2),ROUND(((1-'F Intl Con Plus Base'!$H$117)*'F Intl Con Plus Base'!H21)*(1+International_Fuel_Surcharge),2)))*(1+FedEx_Markup),2)</f>
        <v>75.31</v>
      </c>
      <c r="I24" s="295">
        <f>ROUND((IF('F Intl Con Plus Base'!$I$120&gt;ROUND(((1-'F Intl Con Plus Base'!$I$117)*'F Intl Con Plus Base'!I21),2),ROUND('F Intl Con Plus Base'!$I$120*(1+International_Fuel_Surcharge),2),ROUND(((1-'F Intl Con Plus Base'!$I$117)*'F Intl Con Plus Base'!I21)*(1+International_Fuel_Surcharge),2)))*(1+FedEx_Markup),2)</f>
        <v>88.26</v>
      </c>
      <c r="J24" s="295">
        <f>ROUND((IF('F Intl Con Plus Base'!$J$120&gt;ROUND(((1-'F Intl Con Plus Base'!$J$117)*'F Intl Con Plus Base'!J21),2),ROUND('F Intl Con Plus Base'!$J$120*(1+International_Fuel_Surcharge),2),ROUND(((1-'F Intl Con Plus Base'!$J$117)*'F Intl Con Plus Base'!J21)*(1+International_Fuel_Surcharge),2)))*(1+FedEx_Markup),2)</f>
        <v>59.94</v>
      </c>
      <c r="K24" s="295">
        <f>ROUND((IF('F Intl Con Plus Base'!$K$120&gt;ROUND(((1-'F Intl Con Plus Base'!$K$117)*'F Intl Con Plus Base'!K21),2),ROUND('F Intl Con Plus Base'!$K$120*(1+International_Fuel_Surcharge),2),ROUND(((1-'F Intl Con Plus Base'!$K$117)*'F Intl Con Plus Base'!K21)*(1+International_Fuel_Surcharge),2)))*(1+FedEx_Markup),2)</f>
        <v>101.61</v>
      </c>
      <c r="L24" s="295">
        <f>ROUND((IF('F Intl Con Plus Base'!$L$120&gt;ROUND(((1-'F Intl Con Plus Base'!$L$117)*'F Intl Con Plus Base'!L21),2),ROUND('F Intl Con Plus Base'!$L$120*(1+International_Fuel_Surcharge),2),ROUND(((1-'F Intl Con Plus Base'!$L$117)*'F Intl Con Plus Base'!L21)*(1+International_Fuel_Surcharge),2)))*(1+FedEx_Markup),2)</f>
        <v>98.37</v>
      </c>
      <c r="M24" s="295">
        <f>ROUND((IF('F Intl Con Plus Base'!$M$120&gt;ROUND(((1-'F Intl Con Plus Base'!$M$117)*'F Intl Con Plus Base'!M21),2),ROUND('F Intl Con Plus Base'!$M$120*(1+International_Fuel_Surcharge),2),ROUND(((1-'F Intl Con Plus Base'!$M$117)*'F Intl Con Plus Base'!M21)*(1+International_Fuel_Surcharge),2)))*(1+FedEx_Markup),2)</f>
        <v>150.62</v>
      </c>
      <c r="N24" s="295">
        <f>ROUND((IF('F Intl Con Plus Base'!$N$120&gt;ROUND(((1-'F Intl Con Plus Base'!$N$117)*'F Intl Con Plus Base'!N21),2),ROUND('F Intl Con Plus Base'!$N$120*(1+International_Fuel_Surcharge),2),ROUND(((1-'F Intl Con Plus Base'!$N$117)*'F Intl Con Plus Base'!N21)*(1+International_Fuel_Surcharge),2)))*(1+FedEx_Markup),2)</f>
        <v>138.81</v>
      </c>
      <c r="O24" s="295">
        <f>ROUND((IF('F Intl Con Plus Base'!$O$120&gt;ROUND(((1-'F Intl Con Plus Base'!$O$117)*'F Intl Con Plus Base'!O21),2),ROUND('F Intl Con Plus Base'!$O$120*(1+International_Fuel_Surcharge),2),ROUND(((1-'F Intl Con Plus Base'!$O$117)*'F Intl Con Plus Base'!O21)*(1+International_Fuel_Surcharge),2)))*(1+FedEx_Markup),2)</f>
        <v>88.71</v>
      </c>
      <c r="P24" s="295">
        <f>ROUND((IF('F Intl Con Plus Base'!$P$120&gt;ROUND(((1-'F Intl Con Plus Base'!$P$117)*'F Intl Con Plus Base'!P21),2),ROUND('F Intl Con Plus Base'!$P$120*(1+International_Fuel_Surcharge),2),ROUND(((1-'F Intl Con Plus Base'!$P$117)*'F Intl Con Plus Base'!P21)*(1+International_Fuel_Surcharge),2)))*(1+FedEx_Markup),2)</f>
        <v>100.77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94">
        <v>20.0</v>
      </c>
      <c r="B25" s="295">
        <f>ROUND((IF('F Intl Con Plus Base'!$B$120&gt;ROUND(((1-'F Intl Con Plus Base'!$B$117)*'F Intl Con Plus Base'!B22),2),ROUND('F Intl Con Plus Base'!$B$120*(1+International_Fuel_Surcharge),2),ROUND(((1-'F Intl Con Plus Base'!$B$117)*'F Intl Con Plus Base'!B22)*(1+International_Fuel_Surcharge),2)))*(1+FedEx_Markup),2)</f>
        <v>47.07</v>
      </c>
      <c r="C25" s="295">
        <f>ROUND((IF('F Intl Con Plus Base'!$C$120&gt;ROUND(((1-'F Intl Con Plus Base'!$C$117)*'F Intl Con Plus Base'!C22),2),ROUND('F Intl Con Plus Base'!$C$120*(1+International_Fuel_Surcharge),2),ROUND(((1-'F Intl Con Plus Base'!$C$117)*'F Intl Con Plus Base'!C22)*(1+International_Fuel_Surcharge),2)))*(1+FedEx_Markup),2)</f>
        <v>59.02</v>
      </c>
      <c r="D25" s="295">
        <f>ROUND((IF('F Intl Con Plus Base'!$D$120&gt;ROUND(((1-'F Intl Con Plus Base'!$D$117)*'F Intl Con Plus Base'!D22),2),ROUND('F Intl Con Plus Base'!$D$120*(1+International_Fuel_Surcharge),2),ROUND(((1-'F Intl Con Plus Base'!$D$117)*'F Intl Con Plus Base'!D22)*(1+International_Fuel_Surcharge),2)))*(1+FedEx_Markup),2)</f>
        <v>56.07</v>
      </c>
      <c r="E25" s="295">
        <f>ROUND((IF('F Intl Con Plus Base'!$E$120&gt;ROUND(((1-'F Intl Con Plus Base'!$E$117)*'F Intl Con Plus Base'!E22),2),ROUND('F Intl Con Plus Base'!$E$120*(1+International_Fuel_Surcharge),2),ROUND(((1-'F Intl Con Plus Base'!$E$117)*'F Intl Con Plus Base'!E22)*(1+International_Fuel_Surcharge),2)))*(1+FedEx_Markup),2)</f>
        <v>70.59</v>
      </c>
      <c r="F25" s="295">
        <f>ROUND((IF('F Intl Con Plus Base'!$F$120&gt;ROUND(((1-'F Intl Con Plus Base'!$F$117)*'F Intl Con Plus Base'!F22),2),ROUND('F Intl Con Plus Base'!$F$120*(1+International_Fuel_Surcharge),2),ROUND(((1-'F Intl Con Plus Base'!$F$117)*'F Intl Con Plus Base'!F22)*(1+International_Fuel_Surcharge),2)))*(1+FedEx_Markup),2)</f>
        <v>145.85</v>
      </c>
      <c r="G25" s="295">
        <f>ROUND((IF('F Intl Con Plus Base'!$G$120&gt;ROUND(((1-'F Intl Con Plus Base'!$G$117)*'F Intl Con Plus Base'!G22),2),ROUND('F Intl Con Plus Base'!$G$120*(1+International_Fuel_Surcharge),2),ROUND(((1-'F Intl Con Plus Base'!$G$117)*'F Intl Con Plus Base'!G22)*(1+International_Fuel_Surcharge),2)))*(1+FedEx_Markup),2)</f>
        <v>78.9</v>
      </c>
      <c r="H25" s="295">
        <f>ROUND((IF('F Intl Con Plus Base'!$H$120&gt;ROUND(((1-'F Intl Con Plus Base'!$H$117)*'F Intl Con Plus Base'!H22),2),ROUND('F Intl Con Plus Base'!$H$120*(1+International_Fuel_Surcharge),2),ROUND(((1-'F Intl Con Plus Base'!$H$117)*'F Intl Con Plus Base'!H22)*(1+International_Fuel_Surcharge),2)))*(1+FedEx_Markup),2)</f>
        <v>75.46</v>
      </c>
      <c r="I25" s="295">
        <f>ROUND((IF('F Intl Con Plus Base'!$I$120&gt;ROUND(((1-'F Intl Con Plus Base'!$I$117)*'F Intl Con Plus Base'!I22),2),ROUND('F Intl Con Plus Base'!$I$120*(1+International_Fuel_Surcharge),2),ROUND(((1-'F Intl Con Plus Base'!$I$117)*'F Intl Con Plus Base'!I22)*(1+International_Fuel_Surcharge),2)))*(1+FedEx_Markup),2)</f>
        <v>88.58</v>
      </c>
      <c r="J25" s="295">
        <f>ROUND((IF('F Intl Con Plus Base'!$J$120&gt;ROUND(((1-'F Intl Con Plus Base'!$J$117)*'F Intl Con Plus Base'!J22),2),ROUND('F Intl Con Plus Base'!$J$120*(1+International_Fuel_Surcharge),2),ROUND(((1-'F Intl Con Plus Base'!$J$117)*'F Intl Con Plus Base'!J22)*(1+International_Fuel_Surcharge),2)))*(1+FedEx_Markup),2)</f>
        <v>60.16</v>
      </c>
      <c r="K25" s="295">
        <f>ROUND((IF('F Intl Con Plus Base'!$K$120&gt;ROUND(((1-'F Intl Con Plus Base'!$K$117)*'F Intl Con Plus Base'!K22),2),ROUND('F Intl Con Plus Base'!$K$120*(1+International_Fuel_Surcharge),2),ROUND(((1-'F Intl Con Plus Base'!$K$117)*'F Intl Con Plus Base'!K22)*(1+International_Fuel_Surcharge),2)))*(1+FedEx_Markup),2)</f>
        <v>103.4</v>
      </c>
      <c r="L25" s="295">
        <f>ROUND((IF('F Intl Con Plus Base'!$L$120&gt;ROUND(((1-'F Intl Con Plus Base'!$L$117)*'F Intl Con Plus Base'!L22),2),ROUND('F Intl Con Plus Base'!$L$120*(1+International_Fuel_Surcharge),2),ROUND(((1-'F Intl Con Plus Base'!$L$117)*'F Intl Con Plus Base'!L22)*(1+International_Fuel_Surcharge),2)))*(1+FedEx_Markup),2)</f>
        <v>98.89</v>
      </c>
      <c r="M25" s="295">
        <f>ROUND((IF('F Intl Con Plus Base'!$M$120&gt;ROUND(((1-'F Intl Con Plus Base'!$M$117)*'F Intl Con Plus Base'!M22),2),ROUND('F Intl Con Plus Base'!$M$120*(1+International_Fuel_Surcharge),2),ROUND(((1-'F Intl Con Plus Base'!$M$117)*'F Intl Con Plus Base'!M22)*(1+International_Fuel_Surcharge),2)))*(1+FedEx_Markup),2)</f>
        <v>151.11</v>
      </c>
      <c r="N25" s="295">
        <f>ROUND((IF('F Intl Con Plus Base'!$N$120&gt;ROUND(((1-'F Intl Con Plus Base'!$N$117)*'F Intl Con Plus Base'!N22),2),ROUND('F Intl Con Plus Base'!$N$120*(1+International_Fuel_Surcharge),2),ROUND(((1-'F Intl Con Plus Base'!$N$117)*'F Intl Con Plus Base'!N22)*(1+International_Fuel_Surcharge),2)))*(1+FedEx_Markup),2)</f>
        <v>140.35</v>
      </c>
      <c r="O25" s="295">
        <f>ROUND((IF('F Intl Con Plus Base'!$O$120&gt;ROUND(((1-'F Intl Con Plus Base'!$O$117)*'F Intl Con Plus Base'!O22),2),ROUND('F Intl Con Plus Base'!$O$120*(1+International_Fuel_Surcharge),2),ROUND(((1-'F Intl Con Plus Base'!$O$117)*'F Intl Con Plus Base'!O22)*(1+International_Fuel_Surcharge),2)))*(1+FedEx_Markup),2)</f>
        <v>97.99</v>
      </c>
      <c r="P25" s="295">
        <f>ROUND((IF('F Intl Con Plus Base'!$P$120&gt;ROUND(((1-'F Intl Con Plus Base'!$P$117)*'F Intl Con Plus Base'!P22),2),ROUND('F Intl Con Plus Base'!$P$120*(1+International_Fuel_Surcharge),2),ROUND(((1-'F Intl Con Plus Base'!$P$117)*'F Intl Con Plus Base'!P22)*(1+International_Fuel_Surcharge),2)))*(1+FedEx_Markup),2)</f>
        <v>102.56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94">
        <v>21.0</v>
      </c>
      <c r="B26" s="295">
        <f>ROUND((IF('F Intl Con Plus Base'!$B$120&gt;ROUND(((1-'F Intl Con Plus Base'!$B$117)*'F Intl Con Plus Base'!B23),2),ROUND('F Intl Con Plus Base'!$B$120*(1+International_Fuel_Surcharge),2),ROUND(((1-'F Intl Con Plus Base'!$B$117)*'F Intl Con Plus Base'!B23)*(1+International_Fuel_Surcharge),2)))*(1+FedEx_Markup),2)</f>
        <v>53.29</v>
      </c>
      <c r="C26" s="295">
        <f>ROUND((IF('F Intl Con Plus Base'!$C$120&gt;ROUND(((1-'F Intl Con Plus Base'!$C$117)*'F Intl Con Plus Base'!C23),2),ROUND('F Intl Con Plus Base'!$C$120*(1+International_Fuel_Surcharge),2),ROUND(((1-'F Intl Con Plus Base'!$C$117)*'F Intl Con Plus Base'!C23)*(1+International_Fuel_Surcharge),2)))*(1+FedEx_Markup),2)</f>
        <v>67.28</v>
      </c>
      <c r="D26" s="295">
        <f>ROUND((IF('F Intl Con Plus Base'!$D$120&gt;ROUND(((1-'F Intl Con Plus Base'!$D$117)*'F Intl Con Plus Base'!D23),2),ROUND('F Intl Con Plus Base'!$D$120*(1+International_Fuel_Surcharge),2),ROUND(((1-'F Intl Con Plus Base'!$D$117)*'F Intl Con Plus Base'!D23)*(1+International_Fuel_Surcharge),2)))*(1+FedEx_Markup),2)</f>
        <v>56.26</v>
      </c>
      <c r="E26" s="295">
        <f>ROUND((IF('F Intl Con Plus Base'!$E$120&gt;ROUND(((1-'F Intl Con Plus Base'!$E$117)*'F Intl Con Plus Base'!E23),2),ROUND('F Intl Con Plus Base'!$E$120*(1+International_Fuel_Surcharge),2),ROUND(((1-'F Intl Con Plus Base'!$E$117)*'F Intl Con Plus Base'!E23)*(1+International_Fuel_Surcharge),2)))*(1+FedEx_Markup),2)</f>
        <v>76.26</v>
      </c>
      <c r="F26" s="295">
        <f>ROUND((IF('F Intl Con Plus Base'!$F$120&gt;ROUND(((1-'F Intl Con Plus Base'!$F$117)*'F Intl Con Plus Base'!F23),2),ROUND('F Intl Con Plus Base'!$F$120*(1+International_Fuel_Surcharge),2),ROUND(((1-'F Intl Con Plus Base'!$F$117)*'F Intl Con Plus Base'!F23)*(1+International_Fuel_Surcharge),2)))*(1+FedEx_Markup),2)</f>
        <v>156.27</v>
      </c>
      <c r="G26" s="295">
        <f>ROUND((IF('F Intl Con Plus Base'!$G$120&gt;ROUND(((1-'F Intl Con Plus Base'!$G$117)*'F Intl Con Plus Base'!G23),2),ROUND('F Intl Con Plus Base'!$G$120*(1+International_Fuel_Surcharge),2),ROUND(((1-'F Intl Con Plus Base'!$G$117)*'F Intl Con Plus Base'!G23)*(1+International_Fuel_Surcharge),2)))*(1+FedEx_Markup),2)</f>
        <v>79.14</v>
      </c>
      <c r="H26" s="295">
        <f>ROUND((IF('F Intl Con Plus Base'!$H$120&gt;ROUND(((1-'F Intl Con Plus Base'!$H$117)*'F Intl Con Plus Base'!H23),2),ROUND('F Intl Con Plus Base'!$H$120*(1+International_Fuel_Surcharge),2),ROUND(((1-'F Intl Con Plus Base'!$H$117)*'F Intl Con Plus Base'!H23)*(1+International_Fuel_Surcharge),2)))*(1+FedEx_Markup),2)</f>
        <v>78.5</v>
      </c>
      <c r="I26" s="295">
        <f>ROUND((IF('F Intl Con Plus Base'!$I$120&gt;ROUND(((1-'F Intl Con Plus Base'!$I$117)*'F Intl Con Plus Base'!I23),2),ROUND('F Intl Con Plus Base'!$I$120*(1+International_Fuel_Surcharge),2),ROUND(((1-'F Intl Con Plus Base'!$I$117)*'F Intl Con Plus Base'!I23)*(1+International_Fuel_Surcharge),2)))*(1+FedEx_Markup),2)</f>
        <v>89.55</v>
      </c>
      <c r="J26" s="295">
        <f>ROUND((IF('F Intl Con Plus Base'!$J$120&gt;ROUND(((1-'F Intl Con Plus Base'!$J$117)*'F Intl Con Plus Base'!J23),2),ROUND('F Intl Con Plus Base'!$J$120*(1+International_Fuel_Surcharge),2),ROUND(((1-'F Intl Con Plus Base'!$J$117)*'F Intl Con Plus Base'!J23)*(1+International_Fuel_Surcharge),2)))*(1+FedEx_Markup),2)</f>
        <v>64.49</v>
      </c>
      <c r="K26" s="295">
        <f>ROUND((IF('F Intl Con Plus Base'!$K$120&gt;ROUND(((1-'F Intl Con Plus Base'!$K$117)*'F Intl Con Plus Base'!K23),2),ROUND('F Intl Con Plus Base'!$K$120*(1+International_Fuel_Surcharge),2),ROUND(((1-'F Intl Con Plus Base'!$K$117)*'F Intl Con Plus Base'!K23)*(1+International_Fuel_Surcharge),2)))*(1+FedEx_Markup),2)</f>
        <v>113.28</v>
      </c>
      <c r="L26" s="295">
        <f>ROUND((IF('F Intl Con Plus Base'!$L$120&gt;ROUND(((1-'F Intl Con Plus Base'!$L$117)*'F Intl Con Plus Base'!L23),2),ROUND('F Intl Con Plus Base'!$L$120*(1+International_Fuel_Surcharge),2),ROUND(((1-'F Intl Con Plus Base'!$L$117)*'F Intl Con Plus Base'!L23)*(1+International_Fuel_Surcharge),2)))*(1+FedEx_Markup),2)</f>
        <v>102.97</v>
      </c>
      <c r="M26" s="295">
        <f>ROUND((IF('F Intl Con Plus Base'!$M$120&gt;ROUND(((1-'F Intl Con Plus Base'!$M$117)*'F Intl Con Plus Base'!M23),2),ROUND('F Intl Con Plus Base'!$M$120*(1+International_Fuel_Surcharge),2),ROUND(((1-'F Intl Con Plus Base'!$M$117)*'F Intl Con Plus Base'!M23)*(1+International_Fuel_Surcharge),2)))*(1+FedEx_Markup),2)</f>
        <v>156.85</v>
      </c>
      <c r="N26" s="295">
        <f>ROUND((IF('F Intl Con Plus Base'!$N$120&gt;ROUND(((1-'F Intl Con Plus Base'!$N$117)*'F Intl Con Plus Base'!N23),2),ROUND('F Intl Con Plus Base'!$N$120*(1+International_Fuel_Surcharge),2),ROUND(((1-'F Intl Con Plus Base'!$N$117)*'F Intl Con Plus Base'!N23)*(1+International_Fuel_Surcharge),2)))*(1+FedEx_Markup),2)</f>
        <v>149.09</v>
      </c>
      <c r="O26" s="295">
        <f>ROUND((IF('F Intl Con Plus Base'!$O$120&gt;ROUND(((1-'F Intl Con Plus Base'!$O$117)*'F Intl Con Plus Base'!O23),2),ROUND('F Intl Con Plus Base'!$O$120*(1+International_Fuel_Surcharge),2),ROUND(((1-'F Intl Con Plus Base'!$O$117)*'F Intl Con Plus Base'!O23)*(1+International_Fuel_Surcharge),2)))*(1+FedEx_Markup),2)</f>
        <v>100.17</v>
      </c>
      <c r="P26" s="295">
        <f>ROUND((IF('F Intl Con Plus Base'!$P$120&gt;ROUND(((1-'F Intl Con Plus Base'!$P$117)*'F Intl Con Plus Base'!P23),2),ROUND('F Intl Con Plus Base'!$P$120*(1+International_Fuel_Surcharge),2),ROUND(((1-'F Intl Con Plus Base'!$P$117)*'F Intl Con Plus Base'!P23)*(1+International_Fuel_Surcharge),2)))*(1+FedEx_Markup),2)</f>
        <v>102.74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94">
        <v>22.0</v>
      </c>
      <c r="B27" s="295">
        <f>ROUND((IF('F Intl Con Plus Base'!$B$120&gt;ROUND(((1-'F Intl Con Plus Base'!$B$117)*'F Intl Con Plus Base'!B24),2),ROUND('F Intl Con Plus Base'!$B$120*(1+International_Fuel_Surcharge),2),ROUND(((1-'F Intl Con Plus Base'!$B$117)*'F Intl Con Plus Base'!B24)*(1+International_Fuel_Surcharge),2)))*(1+FedEx_Markup),2)</f>
        <v>53.91</v>
      </c>
      <c r="C27" s="295">
        <f>ROUND((IF('F Intl Con Plus Base'!$C$120&gt;ROUND(((1-'F Intl Con Plus Base'!$C$117)*'F Intl Con Plus Base'!C24),2),ROUND('F Intl Con Plus Base'!$C$120*(1+International_Fuel_Surcharge),2),ROUND(((1-'F Intl Con Plus Base'!$C$117)*'F Intl Con Plus Base'!C24)*(1+International_Fuel_Surcharge),2)))*(1+FedEx_Markup),2)</f>
        <v>68.1</v>
      </c>
      <c r="D27" s="295">
        <f>ROUND((IF('F Intl Con Plus Base'!$D$120&gt;ROUND(((1-'F Intl Con Plus Base'!$D$117)*'F Intl Con Plus Base'!D24),2),ROUND('F Intl Con Plus Base'!$D$120*(1+International_Fuel_Surcharge),2),ROUND(((1-'F Intl Con Plus Base'!$D$117)*'F Intl Con Plus Base'!D24)*(1+International_Fuel_Surcharge),2)))*(1+FedEx_Markup),2)</f>
        <v>56.49</v>
      </c>
      <c r="E27" s="295">
        <f>ROUND((IF('F Intl Con Plus Base'!$E$120&gt;ROUND(((1-'F Intl Con Plus Base'!$E$117)*'F Intl Con Plus Base'!E24),2),ROUND('F Intl Con Plus Base'!$E$120*(1+International_Fuel_Surcharge),2),ROUND(((1-'F Intl Con Plus Base'!$E$117)*'F Intl Con Plus Base'!E24)*(1+International_Fuel_Surcharge),2)))*(1+FedEx_Markup),2)</f>
        <v>76.83</v>
      </c>
      <c r="F27" s="295">
        <f>ROUND((IF('F Intl Con Plus Base'!$F$120&gt;ROUND(((1-'F Intl Con Plus Base'!$F$117)*'F Intl Con Plus Base'!F24),2),ROUND('F Intl Con Plus Base'!$F$120*(1+International_Fuel_Surcharge),2),ROUND(((1-'F Intl Con Plus Base'!$F$117)*'F Intl Con Plus Base'!F24)*(1+International_Fuel_Surcharge),2)))*(1+FedEx_Markup),2)</f>
        <v>159.39</v>
      </c>
      <c r="G27" s="295">
        <f>ROUND((IF('F Intl Con Plus Base'!$G$120&gt;ROUND(((1-'F Intl Con Plus Base'!$G$117)*'F Intl Con Plus Base'!G24),2),ROUND('F Intl Con Plus Base'!$G$120*(1+International_Fuel_Surcharge),2),ROUND(((1-'F Intl Con Plus Base'!$G$117)*'F Intl Con Plus Base'!G24)*(1+International_Fuel_Surcharge),2)))*(1+FedEx_Markup),2)</f>
        <v>79.2</v>
      </c>
      <c r="H27" s="295">
        <f>ROUND((IF('F Intl Con Plus Base'!$H$120&gt;ROUND(((1-'F Intl Con Plus Base'!$H$117)*'F Intl Con Plus Base'!H24),2),ROUND('F Intl Con Plus Base'!$H$120*(1+International_Fuel_Surcharge),2),ROUND(((1-'F Intl Con Plus Base'!$H$117)*'F Intl Con Plus Base'!H24)*(1+International_Fuel_Surcharge),2)))*(1+FedEx_Markup),2)</f>
        <v>82.11</v>
      </c>
      <c r="I27" s="295">
        <f>ROUND((IF('F Intl Con Plus Base'!$I$120&gt;ROUND(((1-'F Intl Con Plus Base'!$I$117)*'F Intl Con Plus Base'!I24),2),ROUND('F Intl Con Plus Base'!$I$120*(1+International_Fuel_Surcharge),2),ROUND(((1-'F Intl Con Plus Base'!$I$117)*'F Intl Con Plus Base'!I24)*(1+International_Fuel_Surcharge),2)))*(1+FedEx_Markup),2)</f>
        <v>89.67</v>
      </c>
      <c r="J27" s="295">
        <f>ROUND((IF('F Intl Con Plus Base'!$J$120&gt;ROUND(((1-'F Intl Con Plus Base'!$J$117)*'F Intl Con Plus Base'!J24),2),ROUND('F Intl Con Plus Base'!$J$120*(1+International_Fuel_Surcharge),2),ROUND(((1-'F Intl Con Plus Base'!$J$117)*'F Intl Con Plus Base'!J24)*(1+International_Fuel_Surcharge),2)))*(1+FedEx_Markup),2)</f>
        <v>68.05</v>
      </c>
      <c r="K27" s="295">
        <f>ROUND((IF('F Intl Con Plus Base'!$K$120&gt;ROUND(((1-'F Intl Con Plus Base'!$K$117)*'F Intl Con Plus Base'!K24),2),ROUND('F Intl Con Plus Base'!$K$120*(1+International_Fuel_Surcharge),2),ROUND(((1-'F Intl Con Plus Base'!$K$117)*'F Intl Con Plus Base'!K24)*(1+International_Fuel_Surcharge),2)))*(1+FedEx_Markup),2)</f>
        <v>114.26</v>
      </c>
      <c r="L27" s="295">
        <f>ROUND((IF('F Intl Con Plus Base'!$L$120&gt;ROUND(((1-'F Intl Con Plus Base'!$L$117)*'F Intl Con Plus Base'!L24),2),ROUND('F Intl Con Plus Base'!$L$120*(1+International_Fuel_Surcharge),2),ROUND(((1-'F Intl Con Plus Base'!$L$117)*'F Intl Con Plus Base'!L24)*(1+International_Fuel_Surcharge),2)))*(1+FedEx_Markup),2)</f>
        <v>103.37</v>
      </c>
      <c r="M27" s="295">
        <f>ROUND((IF('F Intl Con Plus Base'!$M$120&gt;ROUND(((1-'F Intl Con Plus Base'!$M$117)*'F Intl Con Plus Base'!M24),2),ROUND('F Intl Con Plus Base'!$M$120*(1+International_Fuel_Surcharge),2),ROUND(((1-'F Intl Con Plus Base'!$M$117)*'F Intl Con Plus Base'!M24)*(1+International_Fuel_Surcharge),2)))*(1+FedEx_Markup),2)</f>
        <v>161.67</v>
      </c>
      <c r="N27" s="295">
        <f>ROUND((IF('F Intl Con Plus Base'!$N$120&gt;ROUND(((1-'F Intl Con Plus Base'!$N$117)*'F Intl Con Plus Base'!N24),2),ROUND('F Intl Con Plus Base'!$N$120*(1+International_Fuel_Surcharge),2),ROUND(((1-'F Intl Con Plus Base'!$N$117)*'F Intl Con Plus Base'!N24)*(1+International_Fuel_Surcharge),2)))*(1+FedEx_Markup),2)</f>
        <v>149.96</v>
      </c>
      <c r="O27" s="295">
        <f>ROUND((IF('F Intl Con Plus Base'!$O$120&gt;ROUND(((1-'F Intl Con Plus Base'!$O$117)*'F Intl Con Plus Base'!O24),2),ROUND('F Intl Con Plus Base'!$O$120*(1+International_Fuel_Surcharge),2),ROUND(((1-'F Intl Con Plus Base'!$O$117)*'F Intl Con Plus Base'!O24)*(1+International_Fuel_Surcharge),2)))*(1+FedEx_Markup),2)</f>
        <v>100.5</v>
      </c>
      <c r="P27" s="295">
        <f>ROUND((IF('F Intl Con Plus Base'!$P$120&gt;ROUND(((1-'F Intl Con Plus Base'!$P$117)*'F Intl Con Plus Base'!P24),2),ROUND('F Intl Con Plus Base'!$P$120*(1+International_Fuel_Surcharge),2),ROUND(((1-'F Intl Con Plus Base'!$P$117)*'F Intl Con Plus Base'!P24)*(1+International_Fuel_Surcharge),2)))*(1+FedEx_Markup),2)</f>
        <v>102.79</v>
      </c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94">
        <v>23.0</v>
      </c>
      <c r="B28" s="295">
        <f>ROUND((IF('F Intl Con Plus Base'!$B$120&gt;ROUND(((1-'F Intl Con Plus Base'!$B$117)*'F Intl Con Plus Base'!B25),2),ROUND('F Intl Con Plus Base'!$B$120*(1+International_Fuel_Surcharge),2),ROUND(((1-'F Intl Con Plus Base'!$B$117)*'F Intl Con Plus Base'!B25)*(1+International_Fuel_Surcharge),2)))*(1+FedEx_Markup),2)</f>
        <v>55.78</v>
      </c>
      <c r="C28" s="295">
        <f>ROUND((IF('F Intl Con Plus Base'!$C$120&gt;ROUND(((1-'F Intl Con Plus Base'!$C$117)*'F Intl Con Plus Base'!C25),2),ROUND('F Intl Con Plus Base'!$C$120*(1+International_Fuel_Surcharge),2),ROUND(((1-'F Intl Con Plus Base'!$C$117)*'F Intl Con Plus Base'!C25)*(1+International_Fuel_Surcharge),2)))*(1+FedEx_Markup),2)</f>
        <v>68.2</v>
      </c>
      <c r="D28" s="295">
        <f>ROUND((IF('F Intl Con Plus Base'!$D$120&gt;ROUND(((1-'F Intl Con Plus Base'!$D$117)*'F Intl Con Plus Base'!D25),2),ROUND('F Intl Con Plus Base'!$D$120*(1+International_Fuel_Surcharge),2),ROUND(((1-'F Intl Con Plus Base'!$D$117)*'F Intl Con Plus Base'!D25)*(1+International_Fuel_Surcharge),2)))*(1+FedEx_Markup),2)</f>
        <v>61.23</v>
      </c>
      <c r="E28" s="295">
        <f>ROUND((IF('F Intl Con Plus Base'!$E$120&gt;ROUND(((1-'F Intl Con Plus Base'!$E$117)*'F Intl Con Plus Base'!E25),2),ROUND('F Intl Con Plus Base'!$E$120*(1+International_Fuel_Surcharge),2),ROUND(((1-'F Intl Con Plus Base'!$E$117)*'F Intl Con Plus Base'!E25)*(1+International_Fuel_Surcharge),2)))*(1+FedEx_Markup),2)</f>
        <v>76.89</v>
      </c>
      <c r="F28" s="295">
        <f>ROUND((IF('F Intl Con Plus Base'!$F$120&gt;ROUND(((1-'F Intl Con Plus Base'!$F$117)*'F Intl Con Plus Base'!F25),2),ROUND('F Intl Con Plus Base'!$F$120*(1+International_Fuel_Surcharge),2),ROUND(((1-'F Intl Con Plus Base'!$F$117)*'F Intl Con Plus Base'!F25)*(1+International_Fuel_Surcharge),2)))*(1+FedEx_Markup),2)</f>
        <v>159.7</v>
      </c>
      <c r="G28" s="295">
        <f>ROUND((IF('F Intl Con Plus Base'!$G$120&gt;ROUND(((1-'F Intl Con Plus Base'!$G$117)*'F Intl Con Plus Base'!G25),2),ROUND('F Intl Con Plus Base'!$G$120*(1+International_Fuel_Surcharge),2),ROUND(((1-'F Intl Con Plus Base'!$G$117)*'F Intl Con Plus Base'!G25)*(1+International_Fuel_Surcharge),2)))*(1+FedEx_Markup),2)</f>
        <v>79.26</v>
      </c>
      <c r="H28" s="295">
        <f>ROUND((IF('F Intl Con Plus Base'!$H$120&gt;ROUND(((1-'F Intl Con Plus Base'!$H$117)*'F Intl Con Plus Base'!H25),2),ROUND('F Intl Con Plus Base'!$H$120*(1+International_Fuel_Surcharge),2),ROUND(((1-'F Intl Con Plus Base'!$H$117)*'F Intl Con Plus Base'!H25)*(1+International_Fuel_Surcharge),2)))*(1+FedEx_Markup),2)</f>
        <v>82.47</v>
      </c>
      <c r="I28" s="295">
        <f>ROUND((IF('F Intl Con Plus Base'!$I$120&gt;ROUND(((1-'F Intl Con Plus Base'!$I$117)*'F Intl Con Plus Base'!I25),2),ROUND('F Intl Con Plus Base'!$I$120*(1+International_Fuel_Surcharge),2),ROUND(((1-'F Intl Con Plus Base'!$I$117)*'F Intl Con Plus Base'!I25)*(1+International_Fuel_Surcharge),2)))*(1+FedEx_Markup),2)</f>
        <v>89.72</v>
      </c>
      <c r="J28" s="295">
        <f>ROUND((IF('F Intl Con Plus Base'!$J$120&gt;ROUND(((1-'F Intl Con Plus Base'!$J$117)*'F Intl Con Plus Base'!J25),2),ROUND('F Intl Con Plus Base'!$J$120*(1+International_Fuel_Surcharge),2),ROUND(((1-'F Intl Con Plus Base'!$J$117)*'F Intl Con Plus Base'!J25)*(1+International_Fuel_Surcharge),2)))*(1+FedEx_Markup),2)</f>
        <v>68.4</v>
      </c>
      <c r="K28" s="295">
        <f>ROUND((IF('F Intl Con Plus Base'!$K$120&gt;ROUND(((1-'F Intl Con Plus Base'!$K$117)*'F Intl Con Plus Base'!K25),2),ROUND('F Intl Con Plus Base'!$K$120*(1+International_Fuel_Surcharge),2),ROUND(((1-'F Intl Con Plus Base'!$K$117)*'F Intl Con Plus Base'!K25)*(1+International_Fuel_Surcharge),2)))*(1+FedEx_Markup),2)</f>
        <v>114.37</v>
      </c>
      <c r="L28" s="295">
        <f>ROUND((IF('F Intl Con Plus Base'!$L$120&gt;ROUND(((1-'F Intl Con Plus Base'!$L$117)*'F Intl Con Plus Base'!L25),2),ROUND('F Intl Con Plus Base'!$L$120*(1+International_Fuel_Surcharge),2),ROUND(((1-'F Intl Con Plus Base'!$L$117)*'F Intl Con Plus Base'!L25)*(1+International_Fuel_Surcharge),2)))*(1+FedEx_Markup),2)</f>
        <v>103.43</v>
      </c>
      <c r="M28" s="295">
        <f>ROUND((IF('F Intl Con Plus Base'!$M$120&gt;ROUND(((1-'F Intl Con Plus Base'!$M$117)*'F Intl Con Plus Base'!M25),2),ROUND('F Intl Con Plus Base'!$M$120*(1+International_Fuel_Surcharge),2),ROUND(((1-'F Intl Con Plus Base'!$M$117)*'F Intl Con Plus Base'!M25)*(1+International_Fuel_Surcharge),2)))*(1+FedEx_Markup),2)</f>
        <v>162.14</v>
      </c>
      <c r="N28" s="295">
        <f>ROUND((IF('F Intl Con Plus Base'!$N$120&gt;ROUND(((1-'F Intl Con Plus Base'!$N$117)*'F Intl Con Plus Base'!N25),2),ROUND('F Intl Con Plus Base'!$N$120*(1+International_Fuel_Surcharge),2),ROUND(((1-'F Intl Con Plus Base'!$N$117)*'F Intl Con Plus Base'!N25)*(1+International_Fuel_Surcharge),2)))*(1+FedEx_Markup),2)</f>
        <v>150.05</v>
      </c>
      <c r="O28" s="295">
        <f>ROUND((IF('F Intl Con Plus Base'!$O$120&gt;ROUND(((1-'F Intl Con Plus Base'!$O$117)*'F Intl Con Plus Base'!O25),2),ROUND('F Intl Con Plus Base'!$O$120*(1+International_Fuel_Surcharge),2),ROUND(((1-'F Intl Con Plus Base'!$O$117)*'F Intl Con Plus Base'!O25)*(1+International_Fuel_Surcharge),2)))*(1+FedEx_Markup),2)</f>
        <v>100.54</v>
      </c>
      <c r="P28" s="295">
        <f>ROUND((IF('F Intl Con Plus Base'!$P$120&gt;ROUND(((1-'F Intl Con Plus Base'!$P$117)*'F Intl Con Plus Base'!P25),2),ROUND('F Intl Con Plus Base'!$P$120*(1+International_Fuel_Surcharge),2),ROUND(((1-'F Intl Con Plus Base'!$P$117)*'F Intl Con Plus Base'!P25)*(1+International_Fuel_Surcharge),2)))*(1+FedEx_Markup),2)</f>
        <v>102.84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94">
        <v>24.0</v>
      </c>
      <c r="B29" s="295">
        <f>ROUND((IF('F Intl Con Plus Base'!$B$120&gt;ROUND(((1-'F Intl Con Plus Base'!$B$117)*'F Intl Con Plus Base'!B26),2),ROUND('F Intl Con Plus Base'!$B$120*(1+International_Fuel_Surcharge),2),ROUND(((1-'F Intl Con Plus Base'!$B$117)*'F Intl Con Plus Base'!B26)*(1+International_Fuel_Surcharge),2)))*(1+FedEx_Markup),2)</f>
        <v>57.63</v>
      </c>
      <c r="C29" s="295">
        <f>ROUND((IF('F Intl Con Plus Base'!$C$120&gt;ROUND(((1-'F Intl Con Plus Base'!$C$117)*'F Intl Con Plus Base'!C26),2),ROUND('F Intl Con Plus Base'!$C$120*(1+International_Fuel_Surcharge),2),ROUND(((1-'F Intl Con Plus Base'!$C$117)*'F Intl Con Plus Base'!C26)*(1+International_Fuel_Surcharge),2)))*(1+FedEx_Markup),2)</f>
        <v>68.25</v>
      </c>
      <c r="D29" s="295">
        <f>ROUND((IF('F Intl Con Plus Base'!$D$120&gt;ROUND(((1-'F Intl Con Plus Base'!$D$117)*'F Intl Con Plus Base'!D26),2),ROUND('F Intl Con Plus Base'!$D$120*(1+International_Fuel_Surcharge),2),ROUND(((1-'F Intl Con Plus Base'!$D$117)*'F Intl Con Plus Base'!D26)*(1+International_Fuel_Surcharge),2)))*(1+FedEx_Markup),2)</f>
        <v>63.31</v>
      </c>
      <c r="E29" s="295">
        <f>ROUND((IF('F Intl Con Plus Base'!$E$120&gt;ROUND(((1-'F Intl Con Plus Base'!$E$117)*'F Intl Con Plus Base'!E26),2),ROUND('F Intl Con Plus Base'!$E$120*(1+International_Fuel_Surcharge),2),ROUND(((1-'F Intl Con Plus Base'!$E$117)*'F Intl Con Plus Base'!E26)*(1+International_Fuel_Surcharge),2)))*(1+FedEx_Markup),2)</f>
        <v>76.96</v>
      </c>
      <c r="F29" s="295">
        <f>ROUND((IF('F Intl Con Plus Base'!$F$120&gt;ROUND(((1-'F Intl Con Plus Base'!$F$117)*'F Intl Con Plus Base'!F26),2),ROUND('F Intl Con Plus Base'!$F$120*(1+International_Fuel_Surcharge),2),ROUND(((1-'F Intl Con Plus Base'!$F$117)*'F Intl Con Plus Base'!F26)*(1+International_Fuel_Surcharge),2)))*(1+FedEx_Markup),2)</f>
        <v>159.82</v>
      </c>
      <c r="G29" s="295">
        <f>ROUND((IF('F Intl Con Plus Base'!$G$120&gt;ROUND(((1-'F Intl Con Plus Base'!$G$117)*'F Intl Con Plus Base'!G26),2),ROUND('F Intl Con Plus Base'!$G$120*(1+International_Fuel_Surcharge),2),ROUND(((1-'F Intl Con Plus Base'!$G$117)*'F Intl Con Plus Base'!G26)*(1+International_Fuel_Surcharge),2)))*(1+FedEx_Markup),2)</f>
        <v>79.32</v>
      </c>
      <c r="H29" s="295">
        <f>ROUND((IF('F Intl Con Plus Base'!$H$120&gt;ROUND(((1-'F Intl Con Plus Base'!$H$117)*'F Intl Con Plus Base'!H26),2),ROUND('F Intl Con Plus Base'!$H$120*(1+International_Fuel_Surcharge),2),ROUND(((1-'F Intl Con Plus Base'!$H$117)*'F Intl Con Plus Base'!H26)*(1+International_Fuel_Surcharge),2)))*(1+FedEx_Markup),2)</f>
        <v>82.52</v>
      </c>
      <c r="I29" s="295">
        <f>ROUND((IF('F Intl Con Plus Base'!$I$120&gt;ROUND(((1-'F Intl Con Plus Base'!$I$117)*'F Intl Con Plus Base'!I26),2),ROUND('F Intl Con Plus Base'!$I$120*(1+International_Fuel_Surcharge),2),ROUND(((1-'F Intl Con Plus Base'!$I$117)*'F Intl Con Plus Base'!I26)*(1+International_Fuel_Surcharge),2)))*(1+FedEx_Markup),2)</f>
        <v>89.82</v>
      </c>
      <c r="J29" s="295">
        <f>ROUND((IF('F Intl Con Plus Base'!$J$120&gt;ROUND(((1-'F Intl Con Plus Base'!$J$117)*'F Intl Con Plus Base'!J26),2),ROUND('F Intl Con Plus Base'!$J$120*(1+International_Fuel_Surcharge),2),ROUND(((1-'F Intl Con Plus Base'!$J$117)*'F Intl Con Plus Base'!J26)*(1+International_Fuel_Surcharge),2)))*(1+FedEx_Markup),2)</f>
        <v>68.59</v>
      </c>
      <c r="K29" s="295">
        <f>ROUND((IF('F Intl Con Plus Base'!$K$120&gt;ROUND(((1-'F Intl Con Plus Base'!$K$117)*'F Intl Con Plus Base'!K26),2),ROUND('F Intl Con Plus Base'!$K$120*(1+International_Fuel_Surcharge),2),ROUND(((1-'F Intl Con Plus Base'!$K$117)*'F Intl Con Plus Base'!K26)*(1+International_Fuel_Surcharge),2)))*(1+FedEx_Markup),2)</f>
        <v>114.47</v>
      </c>
      <c r="L29" s="295">
        <f>ROUND((IF('F Intl Con Plus Base'!$L$120&gt;ROUND(((1-'F Intl Con Plus Base'!$L$117)*'F Intl Con Plus Base'!L26),2),ROUND('F Intl Con Plus Base'!$L$120*(1+International_Fuel_Surcharge),2),ROUND(((1-'F Intl Con Plus Base'!$L$117)*'F Intl Con Plus Base'!L26)*(1+International_Fuel_Surcharge),2)))*(1+FedEx_Markup),2)</f>
        <v>103.5</v>
      </c>
      <c r="M29" s="295">
        <f>ROUND((IF('F Intl Con Plus Base'!$M$120&gt;ROUND(((1-'F Intl Con Plus Base'!$M$117)*'F Intl Con Plus Base'!M26),2),ROUND('F Intl Con Plus Base'!$M$120*(1+International_Fuel_Surcharge),2),ROUND(((1-'F Intl Con Plus Base'!$M$117)*'F Intl Con Plus Base'!M26)*(1+International_Fuel_Surcharge),2)))*(1+FedEx_Markup),2)</f>
        <v>166.09</v>
      </c>
      <c r="N29" s="295">
        <f>ROUND((IF('F Intl Con Plus Base'!$N$120&gt;ROUND(((1-'F Intl Con Plus Base'!$N$117)*'F Intl Con Plus Base'!N26),2),ROUND('F Intl Con Plus Base'!$N$120*(1+International_Fuel_Surcharge),2),ROUND(((1-'F Intl Con Plus Base'!$N$117)*'F Intl Con Plus Base'!N26)*(1+International_Fuel_Surcharge),2)))*(1+FedEx_Markup),2)</f>
        <v>150.12</v>
      </c>
      <c r="O29" s="295">
        <f>ROUND((IF('F Intl Con Plus Base'!$O$120&gt;ROUND(((1-'F Intl Con Plus Base'!$O$117)*'F Intl Con Plus Base'!O26),2),ROUND('F Intl Con Plus Base'!$O$120*(1+International_Fuel_Surcharge),2),ROUND(((1-'F Intl Con Plus Base'!$O$117)*'F Intl Con Plus Base'!O26)*(1+International_Fuel_Surcharge),2)))*(1+FedEx_Markup),2)</f>
        <v>100.64</v>
      </c>
      <c r="P29" s="295">
        <f>ROUND((IF('F Intl Con Plus Base'!$P$120&gt;ROUND(((1-'F Intl Con Plus Base'!$P$117)*'F Intl Con Plus Base'!P26),2),ROUND('F Intl Con Plus Base'!$P$120*(1+International_Fuel_Surcharge),2),ROUND(((1-'F Intl Con Plus Base'!$P$117)*'F Intl Con Plus Base'!P26)*(1+International_Fuel_Surcharge),2)))*(1+FedEx_Markup),2)</f>
        <v>102.93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94">
        <v>25.0</v>
      </c>
      <c r="B30" s="295">
        <f>ROUND((IF('F Intl Con Plus Base'!$B$120&gt;ROUND(((1-'F Intl Con Plus Base'!$B$117)*'F Intl Con Plus Base'!B27),2),ROUND('F Intl Con Plus Base'!$B$120*(1+International_Fuel_Surcharge),2),ROUND(((1-'F Intl Con Plus Base'!$B$117)*'F Intl Con Plus Base'!B27)*(1+International_Fuel_Surcharge),2)))*(1+FedEx_Markup),2)</f>
        <v>58.36</v>
      </c>
      <c r="C30" s="295">
        <f>ROUND((IF('F Intl Con Plus Base'!$C$120&gt;ROUND(((1-'F Intl Con Plus Base'!$C$117)*'F Intl Con Plus Base'!C27),2),ROUND('F Intl Con Plus Base'!$C$120*(1+International_Fuel_Surcharge),2),ROUND(((1-'F Intl Con Plus Base'!$C$117)*'F Intl Con Plus Base'!C27)*(1+International_Fuel_Surcharge),2)))*(1+FedEx_Markup),2)</f>
        <v>69.18</v>
      </c>
      <c r="D30" s="295">
        <f>ROUND((IF('F Intl Con Plus Base'!$D$120&gt;ROUND(((1-'F Intl Con Plus Base'!$D$117)*'F Intl Con Plus Base'!D27),2),ROUND('F Intl Con Plus Base'!$D$120*(1+International_Fuel_Surcharge),2),ROUND(((1-'F Intl Con Plus Base'!$D$117)*'F Intl Con Plus Base'!D27)*(1+International_Fuel_Surcharge),2)))*(1+FedEx_Markup),2)</f>
        <v>63.51</v>
      </c>
      <c r="E30" s="295">
        <f>ROUND((IF('F Intl Con Plus Base'!$E$120&gt;ROUND(((1-'F Intl Con Plus Base'!$E$117)*'F Intl Con Plus Base'!E27),2),ROUND('F Intl Con Plus Base'!$E$120*(1+International_Fuel_Surcharge),2),ROUND(((1-'F Intl Con Plus Base'!$E$117)*'F Intl Con Plus Base'!E27)*(1+International_Fuel_Surcharge),2)))*(1+FedEx_Markup),2)</f>
        <v>78.29</v>
      </c>
      <c r="F30" s="295">
        <f>ROUND((IF('F Intl Con Plus Base'!$F$120&gt;ROUND(((1-'F Intl Con Plus Base'!$F$117)*'F Intl Con Plus Base'!F27),2),ROUND('F Intl Con Plus Base'!$F$120*(1+International_Fuel_Surcharge),2),ROUND(((1-'F Intl Con Plus Base'!$F$117)*'F Intl Con Plus Base'!F27)*(1+International_Fuel_Surcharge),2)))*(1+FedEx_Markup),2)</f>
        <v>161.52</v>
      </c>
      <c r="G30" s="295">
        <f>ROUND((IF('F Intl Con Plus Base'!$G$120&gt;ROUND(((1-'F Intl Con Plus Base'!$G$117)*'F Intl Con Plus Base'!G27),2),ROUND('F Intl Con Plus Base'!$G$120*(1+International_Fuel_Surcharge),2),ROUND(((1-'F Intl Con Plus Base'!$G$117)*'F Intl Con Plus Base'!G27)*(1+International_Fuel_Surcharge),2)))*(1+FedEx_Markup),2)</f>
        <v>80.53</v>
      </c>
      <c r="H30" s="295">
        <f>ROUND((IF('F Intl Con Plus Base'!$H$120&gt;ROUND(((1-'F Intl Con Plus Base'!$H$117)*'F Intl Con Plus Base'!H27),2),ROUND('F Intl Con Plus Base'!$H$120*(1+International_Fuel_Surcharge),2),ROUND(((1-'F Intl Con Plus Base'!$H$117)*'F Intl Con Plus Base'!H27)*(1+International_Fuel_Surcharge),2)))*(1+FedEx_Markup),2)</f>
        <v>83.65</v>
      </c>
      <c r="I30" s="295">
        <f>ROUND((IF('F Intl Con Plus Base'!$I$120&gt;ROUND(((1-'F Intl Con Plus Base'!$I$117)*'F Intl Con Plus Base'!I27),2),ROUND('F Intl Con Plus Base'!$I$120*(1+International_Fuel_Surcharge),2),ROUND(((1-'F Intl Con Plus Base'!$I$117)*'F Intl Con Plus Base'!I27)*(1+International_Fuel_Surcharge),2)))*(1+FedEx_Markup),2)</f>
        <v>91.61</v>
      </c>
      <c r="J30" s="295">
        <f>ROUND((IF('F Intl Con Plus Base'!$J$120&gt;ROUND(((1-'F Intl Con Plus Base'!$J$117)*'F Intl Con Plus Base'!J27),2),ROUND('F Intl Con Plus Base'!$J$120*(1+International_Fuel_Surcharge),2),ROUND(((1-'F Intl Con Plus Base'!$J$117)*'F Intl Con Plus Base'!J27)*(1+International_Fuel_Surcharge),2)))*(1+FedEx_Markup),2)</f>
        <v>69</v>
      </c>
      <c r="K30" s="295">
        <f>ROUND((IF('F Intl Con Plus Base'!$K$120&gt;ROUND(((1-'F Intl Con Plus Base'!$K$117)*'F Intl Con Plus Base'!K27),2),ROUND('F Intl Con Plus Base'!$K$120*(1+International_Fuel_Surcharge),2),ROUND(((1-'F Intl Con Plus Base'!$K$117)*'F Intl Con Plus Base'!K27)*(1+International_Fuel_Surcharge),2)))*(1+FedEx_Markup),2)</f>
        <v>116.56</v>
      </c>
      <c r="L30" s="295">
        <f>ROUND((IF('F Intl Con Plus Base'!$L$120&gt;ROUND(((1-'F Intl Con Plus Base'!$L$117)*'F Intl Con Plus Base'!L27),2),ROUND('F Intl Con Plus Base'!$L$120*(1+International_Fuel_Surcharge),2),ROUND(((1-'F Intl Con Plus Base'!$L$117)*'F Intl Con Plus Base'!L27)*(1+International_Fuel_Surcharge),2)))*(1+FedEx_Markup),2)</f>
        <v>104.86</v>
      </c>
      <c r="M30" s="295">
        <f>ROUND((IF('F Intl Con Plus Base'!$M$120&gt;ROUND(((1-'F Intl Con Plus Base'!$M$117)*'F Intl Con Plus Base'!M27),2),ROUND('F Intl Con Plus Base'!$M$120*(1+International_Fuel_Surcharge),2),ROUND(((1-'F Intl Con Plus Base'!$M$117)*'F Intl Con Plus Base'!M27)*(1+International_Fuel_Surcharge),2)))*(1+FedEx_Markup),2)</f>
        <v>167.87</v>
      </c>
      <c r="N30" s="295">
        <f>ROUND((IF('F Intl Con Plus Base'!$N$120&gt;ROUND(((1-'F Intl Con Plus Base'!$N$117)*'F Intl Con Plus Base'!N27),2),ROUND('F Intl Con Plus Base'!$N$120*(1+International_Fuel_Surcharge),2),ROUND(((1-'F Intl Con Plus Base'!$N$117)*'F Intl Con Plus Base'!N27)*(1+International_Fuel_Surcharge),2)))*(1+FedEx_Markup),2)</f>
        <v>151.39</v>
      </c>
      <c r="O30" s="295">
        <f>ROUND((IF('F Intl Con Plus Base'!$O$120&gt;ROUND(((1-'F Intl Con Plus Base'!$O$117)*'F Intl Con Plus Base'!O27),2),ROUND('F Intl Con Plus Base'!$O$120*(1+International_Fuel_Surcharge),2),ROUND(((1-'F Intl Con Plus Base'!$O$117)*'F Intl Con Plus Base'!O27)*(1+International_Fuel_Surcharge),2)))*(1+FedEx_Markup),2)</f>
        <v>102.43</v>
      </c>
      <c r="P30" s="295">
        <f>ROUND((IF('F Intl Con Plus Base'!$P$120&gt;ROUND(((1-'F Intl Con Plus Base'!$P$117)*'F Intl Con Plus Base'!P27),2),ROUND('F Intl Con Plus Base'!$P$120*(1+International_Fuel_Surcharge),2),ROUND(((1-'F Intl Con Plus Base'!$P$117)*'F Intl Con Plus Base'!P27)*(1+International_Fuel_Surcharge),2)))*(1+FedEx_Markup),2)</f>
        <v>104.52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94">
        <v>26.0</v>
      </c>
      <c r="B31" s="295">
        <f>ROUND((IF('F Intl Con Plus Base'!$B$120&gt;ROUND(((1-'F Intl Con Plus Base'!$B$117)*'F Intl Con Plus Base'!B28),2),ROUND('F Intl Con Plus Base'!$B$120*(1+International_Fuel_Surcharge),2),ROUND(((1-'F Intl Con Plus Base'!$B$117)*'F Intl Con Plus Base'!B28)*(1+International_Fuel_Surcharge),2)))*(1+FedEx_Markup),2)</f>
        <v>66.55</v>
      </c>
      <c r="C31" s="295">
        <f>ROUND((IF('F Intl Con Plus Base'!$C$120&gt;ROUND(((1-'F Intl Con Plus Base'!$C$117)*'F Intl Con Plus Base'!C28),2),ROUND('F Intl Con Plus Base'!$C$120*(1+International_Fuel_Surcharge),2),ROUND(((1-'F Intl Con Plus Base'!$C$117)*'F Intl Con Plus Base'!C28)*(1+International_Fuel_Surcharge),2)))*(1+FedEx_Markup),2)</f>
        <v>79.25</v>
      </c>
      <c r="D31" s="295">
        <f>ROUND((IF('F Intl Con Plus Base'!$D$120&gt;ROUND(((1-'F Intl Con Plus Base'!$D$117)*'F Intl Con Plus Base'!D28),2),ROUND('F Intl Con Plus Base'!$D$120*(1+International_Fuel_Surcharge),2),ROUND(((1-'F Intl Con Plus Base'!$D$117)*'F Intl Con Plus Base'!D28)*(1+International_Fuel_Surcharge),2)))*(1+FedEx_Markup),2)</f>
        <v>63.57</v>
      </c>
      <c r="E31" s="295">
        <f>ROUND((IF('F Intl Con Plus Base'!$E$120&gt;ROUND(((1-'F Intl Con Plus Base'!$E$117)*'F Intl Con Plus Base'!E28),2),ROUND('F Intl Con Plus Base'!$E$120*(1+International_Fuel_Surcharge),2),ROUND(((1-'F Intl Con Plus Base'!$E$117)*'F Intl Con Plus Base'!E28)*(1+International_Fuel_Surcharge),2)))*(1+FedEx_Markup),2)</f>
        <v>103.67</v>
      </c>
      <c r="F31" s="295">
        <f>ROUND((IF('F Intl Con Plus Base'!$F$120&gt;ROUND(((1-'F Intl Con Plus Base'!$F$117)*'F Intl Con Plus Base'!F28),2),ROUND('F Intl Con Plus Base'!$F$120*(1+International_Fuel_Surcharge),2),ROUND(((1-'F Intl Con Plus Base'!$F$117)*'F Intl Con Plus Base'!F28)*(1+International_Fuel_Surcharge),2)))*(1+FedEx_Markup),2)</f>
        <v>188.04</v>
      </c>
      <c r="G31" s="295">
        <f>ROUND((IF('F Intl Con Plus Base'!$G$120&gt;ROUND(((1-'F Intl Con Plus Base'!$G$117)*'F Intl Con Plus Base'!G28),2),ROUND('F Intl Con Plus Base'!$G$120*(1+International_Fuel_Surcharge),2),ROUND(((1-'F Intl Con Plus Base'!$G$117)*'F Intl Con Plus Base'!G28)*(1+International_Fuel_Surcharge),2)))*(1+FedEx_Markup),2)</f>
        <v>104.81</v>
      </c>
      <c r="H31" s="295">
        <f>ROUND((IF('F Intl Con Plus Base'!$H$120&gt;ROUND(((1-'F Intl Con Plus Base'!$H$117)*'F Intl Con Plus Base'!H28),2),ROUND('F Intl Con Plus Base'!$H$120*(1+International_Fuel_Surcharge),2),ROUND(((1-'F Intl Con Plus Base'!$H$117)*'F Intl Con Plus Base'!H28)*(1+International_Fuel_Surcharge),2)))*(1+FedEx_Markup),2)</f>
        <v>93.17</v>
      </c>
      <c r="I31" s="295">
        <f>ROUND((IF('F Intl Con Plus Base'!$I$120&gt;ROUND(((1-'F Intl Con Plus Base'!$I$117)*'F Intl Con Plus Base'!I28),2),ROUND('F Intl Con Plus Base'!$I$120*(1+International_Fuel_Surcharge),2),ROUND(((1-'F Intl Con Plus Base'!$I$117)*'F Intl Con Plus Base'!I28)*(1+International_Fuel_Surcharge),2)))*(1+FedEx_Markup),2)</f>
        <v>127.62</v>
      </c>
      <c r="J31" s="295">
        <f>ROUND((IF('F Intl Con Plus Base'!$J$120&gt;ROUND(((1-'F Intl Con Plus Base'!$J$117)*'F Intl Con Plus Base'!J28),2),ROUND('F Intl Con Plus Base'!$J$120*(1+International_Fuel_Surcharge),2),ROUND(((1-'F Intl Con Plus Base'!$J$117)*'F Intl Con Plus Base'!J28)*(1+International_Fuel_Surcharge),2)))*(1+FedEx_Markup),2)</f>
        <v>77.29</v>
      </c>
      <c r="K31" s="295">
        <f>ROUND((IF('F Intl Con Plus Base'!$K$120&gt;ROUND(((1-'F Intl Con Plus Base'!$K$117)*'F Intl Con Plus Base'!K28),2),ROUND('F Intl Con Plus Base'!$K$120*(1+International_Fuel_Surcharge),2),ROUND(((1-'F Intl Con Plus Base'!$K$117)*'F Intl Con Plus Base'!K28)*(1+International_Fuel_Surcharge),2)))*(1+FedEx_Markup),2)</f>
        <v>153.18</v>
      </c>
      <c r="L31" s="295">
        <f>ROUND((IF('F Intl Con Plus Base'!$L$120&gt;ROUND(((1-'F Intl Con Plus Base'!$L$117)*'F Intl Con Plus Base'!L28),2),ROUND('F Intl Con Plus Base'!$L$120*(1+International_Fuel_Surcharge),2),ROUND(((1-'F Intl Con Plus Base'!$L$117)*'F Intl Con Plus Base'!L28)*(1+International_Fuel_Surcharge),2)))*(1+FedEx_Markup),2)</f>
        <v>124.23</v>
      </c>
      <c r="M31" s="295">
        <f>ROUND((IF('F Intl Con Plus Base'!$M$120&gt;ROUND(((1-'F Intl Con Plus Base'!$M$117)*'F Intl Con Plus Base'!M28),2),ROUND('F Intl Con Plus Base'!$M$120*(1+International_Fuel_Surcharge),2),ROUND(((1-'F Intl Con Plus Base'!$M$117)*'F Intl Con Plus Base'!M28)*(1+International_Fuel_Surcharge),2)))*(1+FedEx_Markup),2)</f>
        <v>181.32</v>
      </c>
      <c r="N31" s="295">
        <f>ROUND((IF('F Intl Con Plus Base'!$N$120&gt;ROUND(((1-'F Intl Con Plus Base'!$N$117)*'F Intl Con Plus Base'!N28),2),ROUND('F Intl Con Plus Base'!$N$120*(1+International_Fuel_Surcharge),2),ROUND(((1-'F Intl Con Plus Base'!$N$117)*'F Intl Con Plus Base'!N28)*(1+International_Fuel_Surcharge),2)))*(1+FedEx_Markup),2)</f>
        <v>176.7</v>
      </c>
      <c r="O31" s="295">
        <f>ROUND((IF('F Intl Con Plus Base'!$O$120&gt;ROUND(((1-'F Intl Con Plus Base'!$O$117)*'F Intl Con Plus Base'!O28),2),ROUND('F Intl Con Plus Base'!$O$120*(1+International_Fuel_Surcharge),2),ROUND(((1-'F Intl Con Plus Base'!$O$117)*'F Intl Con Plus Base'!O28)*(1+International_Fuel_Surcharge),2)))*(1+FedEx_Markup),2)</f>
        <v>136.45</v>
      </c>
      <c r="P31" s="295">
        <f>ROUND((IF('F Intl Con Plus Base'!$P$120&gt;ROUND(((1-'F Intl Con Plus Base'!$P$117)*'F Intl Con Plus Base'!P28),2),ROUND('F Intl Con Plus Base'!$P$120*(1+International_Fuel_Surcharge),2),ROUND(((1-'F Intl Con Plus Base'!$P$117)*'F Intl Con Plus Base'!P28)*(1+International_Fuel_Surcharge),2)))*(1+FedEx_Markup),2)</f>
        <v>136.39</v>
      </c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294">
        <v>27.0</v>
      </c>
      <c r="B32" s="295">
        <f>ROUND((IF('F Intl Con Plus Base'!$B$120&gt;ROUND(((1-'F Intl Con Plus Base'!$B$117)*'F Intl Con Plus Base'!B29),2),ROUND('F Intl Con Plus Base'!$B$120*(1+International_Fuel_Surcharge),2),ROUND(((1-'F Intl Con Plus Base'!$B$117)*'F Intl Con Plus Base'!B29)*(1+International_Fuel_Surcharge),2)))*(1+FedEx_Markup),2)</f>
        <v>69.77</v>
      </c>
      <c r="C32" s="295">
        <f>ROUND((IF('F Intl Con Plus Base'!$C$120&gt;ROUND(((1-'F Intl Con Plus Base'!$C$117)*'F Intl Con Plus Base'!C29),2),ROUND('F Intl Con Plus Base'!$C$120*(1+International_Fuel_Surcharge),2),ROUND(((1-'F Intl Con Plus Base'!$C$117)*'F Intl Con Plus Base'!C29)*(1+International_Fuel_Surcharge),2)))*(1+FedEx_Markup),2)</f>
        <v>83.05</v>
      </c>
      <c r="D32" s="295">
        <f>ROUND((IF('F Intl Con Plus Base'!$D$120&gt;ROUND(((1-'F Intl Con Plus Base'!$D$117)*'F Intl Con Plus Base'!D29),2),ROUND('F Intl Con Plus Base'!$D$120*(1+International_Fuel_Surcharge),2),ROUND(((1-'F Intl Con Plus Base'!$D$117)*'F Intl Con Plus Base'!D29)*(1+International_Fuel_Surcharge),2)))*(1+FedEx_Markup),2)</f>
        <v>63.62</v>
      </c>
      <c r="E32" s="295">
        <f>ROUND((IF('F Intl Con Plus Base'!$E$120&gt;ROUND(((1-'F Intl Con Plus Base'!$E$117)*'F Intl Con Plus Base'!E29),2),ROUND('F Intl Con Plus Base'!$E$120*(1+International_Fuel_Surcharge),2),ROUND(((1-'F Intl Con Plus Base'!$E$117)*'F Intl Con Plus Base'!E29)*(1+International_Fuel_Surcharge),2)))*(1+FedEx_Markup),2)</f>
        <v>109.43</v>
      </c>
      <c r="F32" s="295">
        <f>ROUND((IF('F Intl Con Plus Base'!$F$120&gt;ROUND(((1-'F Intl Con Plus Base'!$F$117)*'F Intl Con Plus Base'!F29),2),ROUND('F Intl Con Plus Base'!$F$120*(1+International_Fuel_Surcharge),2),ROUND(((1-'F Intl Con Plus Base'!$F$117)*'F Intl Con Plus Base'!F29)*(1+International_Fuel_Surcharge),2)))*(1+FedEx_Markup),2)</f>
        <v>190.69</v>
      </c>
      <c r="G32" s="295">
        <f>ROUND((IF('F Intl Con Plus Base'!$G$120&gt;ROUND(((1-'F Intl Con Plus Base'!$G$117)*'F Intl Con Plus Base'!G29),2),ROUND('F Intl Con Plus Base'!$G$120*(1+International_Fuel_Surcharge),2),ROUND(((1-'F Intl Con Plus Base'!$G$117)*'F Intl Con Plus Base'!G29)*(1+International_Fuel_Surcharge),2)))*(1+FedEx_Markup),2)</f>
        <v>110.38</v>
      </c>
      <c r="H32" s="295">
        <f>ROUND((IF('F Intl Con Plus Base'!$H$120&gt;ROUND(((1-'F Intl Con Plus Base'!$H$117)*'F Intl Con Plus Base'!H29),2),ROUND('F Intl Con Plus Base'!$H$120*(1+International_Fuel_Surcharge),2),ROUND(((1-'F Intl Con Plus Base'!$H$117)*'F Intl Con Plus Base'!H29)*(1+International_Fuel_Surcharge),2)))*(1+FedEx_Markup),2)</f>
        <v>98.62</v>
      </c>
      <c r="I32" s="295">
        <f>ROUND((IF('F Intl Con Plus Base'!$I$120&gt;ROUND(((1-'F Intl Con Plus Base'!$I$117)*'F Intl Con Plus Base'!I29),2),ROUND('F Intl Con Plus Base'!$I$120*(1+International_Fuel_Surcharge),2),ROUND(((1-'F Intl Con Plus Base'!$I$117)*'F Intl Con Plus Base'!I29)*(1+International_Fuel_Surcharge),2)))*(1+FedEx_Markup),2)</f>
        <v>131.27</v>
      </c>
      <c r="J32" s="295">
        <f>ROUND((IF('F Intl Con Plus Base'!$J$120&gt;ROUND(((1-'F Intl Con Plus Base'!$J$117)*'F Intl Con Plus Base'!J29),2),ROUND('F Intl Con Plus Base'!$J$120*(1+International_Fuel_Surcharge),2),ROUND(((1-'F Intl Con Plus Base'!$J$117)*'F Intl Con Plus Base'!J29)*(1+International_Fuel_Surcharge),2)))*(1+FedEx_Markup),2)</f>
        <v>78.94</v>
      </c>
      <c r="K32" s="295">
        <f>ROUND((IF('F Intl Con Plus Base'!$K$120&gt;ROUND(((1-'F Intl Con Plus Base'!$K$117)*'F Intl Con Plus Base'!K29),2),ROUND('F Intl Con Plus Base'!$K$120*(1+International_Fuel_Surcharge),2),ROUND(((1-'F Intl Con Plus Base'!$K$117)*'F Intl Con Plus Base'!K29)*(1+International_Fuel_Surcharge),2)))*(1+FedEx_Markup),2)</f>
        <v>157.22</v>
      </c>
      <c r="L32" s="295">
        <f>ROUND((IF('F Intl Con Plus Base'!$L$120&gt;ROUND(((1-'F Intl Con Plus Base'!$L$117)*'F Intl Con Plus Base'!L29),2),ROUND('F Intl Con Plus Base'!$L$120*(1+International_Fuel_Surcharge),2),ROUND(((1-'F Intl Con Plus Base'!$L$117)*'F Intl Con Plus Base'!L29)*(1+International_Fuel_Surcharge),2)))*(1+FedEx_Markup),2)</f>
        <v>130.36</v>
      </c>
      <c r="M32" s="295">
        <f>ROUND((IF('F Intl Con Plus Base'!$M$120&gt;ROUND(((1-'F Intl Con Plus Base'!$M$117)*'F Intl Con Plus Base'!M29),2),ROUND('F Intl Con Plus Base'!$M$120*(1+International_Fuel_Surcharge),2),ROUND(((1-'F Intl Con Plus Base'!$M$117)*'F Intl Con Plus Base'!M29)*(1+International_Fuel_Surcharge),2)))*(1+FedEx_Markup),2)</f>
        <v>182.68</v>
      </c>
      <c r="N32" s="295">
        <f>ROUND((IF('F Intl Con Plus Base'!$N$120&gt;ROUND(((1-'F Intl Con Plus Base'!$N$117)*'F Intl Con Plus Base'!N29),2),ROUND('F Intl Con Plus Base'!$N$120*(1+International_Fuel_Surcharge),2),ROUND(((1-'F Intl Con Plus Base'!$N$117)*'F Intl Con Plus Base'!N29)*(1+International_Fuel_Surcharge),2)))*(1+FedEx_Markup),2)</f>
        <v>198.67</v>
      </c>
      <c r="O32" s="295">
        <f>ROUND((IF('F Intl Con Plus Base'!$O$120&gt;ROUND(((1-'F Intl Con Plus Base'!$O$117)*'F Intl Con Plus Base'!O29),2),ROUND('F Intl Con Plus Base'!$O$120*(1+International_Fuel_Surcharge),2),ROUND(((1-'F Intl Con Plus Base'!$O$117)*'F Intl Con Plus Base'!O29)*(1+International_Fuel_Surcharge),2)))*(1+FedEx_Markup),2)</f>
        <v>141.45</v>
      </c>
      <c r="P32" s="295">
        <f>ROUND((IF('F Intl Con Plus Base'!$P$120&gt;ROUND(((1-'F Intl Con Plus Base'!$P$117)*'F Intl Con Plus Base'!P29),2),ROUND('F Intl Con Plus Base'!$P$120*(1+International_Fuel_Surcharge),2),ROUND(((1-'F Intl Con Plus Base'!$P$117)*'F Intl Con Plus Base'!P29)*(1+International_Fuel_Surcharge),2)))*(1+FedEx_Markup),2)</f>
        <v>146.91</v>
      </c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294">
        <v>28.0</v>
      </c>
      <c r="B33" s="295">
        <f>ROUND((IF('F Intl Con Plus Base'!$B$120&gt;ROUND(((1-'F Intl Con Plus Base'!$B$117)*'F Intl Con Plus Base'!B30),2),ROUND('F Intl Con Plus Base'!$B$120*(1+International_Fuel_Surcharge),2),ROUND(((1-'F Intl Con Plus Base'!$B$117)*'F Intl Con Plus Base'!B30)*(1+International_Fuel_Surcharge),2)))*(1+FedEx_Markup),2)</f>
        <v>72.39</v>
      </c>
      <c r="C33" s="295">
        <f>ROUND((IF('F Intl Con Plus Base'!$C$120&gt;ROUND(((1-'F Intl Con Plus Base'!$C$117)*'F Intl Con Plus Base'!C30),2),ROUND('F Intl Con Plus Base'!$C$120*(1+International_Fuel_Surcharge),2),ROUND(((1-'F Intl Con Plus Base'!$C$117)*'F Intl Con Plus Base'!C30)*(1+International_Fuel_Surcharge),2)))*(1+FedEx_Markup),2)</f>
        <v>83.67</v>
      </c>
      <c r="D33" s="295">
        <f>ROUND((IF('F Intl Con Plus Base'!$D$120&gt;ROUND(((1-'F Intl Con Plus Base'!$D$117)*'F Intl Con Plus Base'!D30),2),ROUND('F Intl Con Plus Base'!$D$120*(1+International_Fuel_Surcharge),2),ROUND(((1-'F Intl Con Plus Base'!$D$117)*'F Intl Con Plus Base'!D30)*(1+International_Fuel_Surcharge),2)))*(1+FedEx_Markup),2)</f>
        <v>63.89</v>
      </c>
      <c r="E33" s="295">
        <f>ROUND((IF('F Intl Con Plus Base'!$E$120&gt;ROUND(((1-'F Intl Con Plus Base'!$E$117)*'F Intl Con Plus Base'!E30),2),ROUND('F Intl Con Plus Base'!$E$120*(1+International_Fuel_Surcharge),2),ROUND(((1-'F Intl Con Plus Base'!$E$117)*'F Intl Con Plus Base'!E30)*(1+International_Fuel_Surcharge),2)))*(1+FedEx_Markup),2)</f>
        <v>110.01</v>
      </c>
      <c r="F33" s="295">
        <f>ROUND((IF('F Intl Con Plus Base'!$F$120&gt;ROUND(((1-'F Intl Con Plus Base'!$F$117)*'F Intl Con Plus Base'!F30),2),ROUND('F Intl Con Plus Base'!$F$120*(1+International_Fuel_Surcharge),2),ROUND(((1-'F Intl Con Plus Base'!$F$117)*'F Intl Con Plus Base'!F30)*(1+International_Fuel_Surcharge),2)))*(1+FedEx_Markup),2)</f>
        <v>195.4</v>
      </c>
      <c r="G33" s="295">
        <f>ROUND((IF('F Intl Con Plus Base'!$G$120&gt;ROUND(((1-'F Intl Con Plus Base'!$G$117)*'F Intl Con Plus Base'!G30),2),ROUND('F Intl Con Plus Base'!$G$120*(1+International_Fuel_Surcharge),2),ROUND(((1-'F Intl Con Plus Base'!$G$117)*'F Intl Con Plus Base'!G30)*(1+International_Fuel_Surcharge),2)))*(1+FedEx_Markup),2)</f>
        <v>110.94</v>
      </c>
      <c r="H33" s="295">
        <f>ROUND((IF('F Intl Con Plus Base'!$H$120&gt;ROUND(((1-'F Intl Con Plus Base'!$H$117)*'F Intl Con Plus Base'!H30),2),ROUND('F Intl Con Plus Base'!$H$120*(1+International_Fuel_Surcharge),2),ROUND(((1-'F Intl Con Plus Base'!$H$117)*'F Intl Con Plus Base'!H30)*(1+International_Fuel_Surcharge),2)))*(1+FedEx_Markup),2)</f>
        <v>99.16</v>
      </c>
      <c r="I33" s="295">
        <f>ROUND((IF('F Intl Con Plus Base'!$I$120&gt;ROUND(((1-'F Intl Con Plus Base'!$I$117)*'F Intl Con Plus Base'!I30),2),ROUND('F Intl Con Plus Base'!$I$120*(1+International_Fuel_Surcharge),2),ROUND(((1-'F Intl Con Plus Base'!$I$117)*'F Intl Con Plus Base'!I30)*(1+International_Fuel_Surcharge),2)))*(1+FedEx_Markup),2)</f>
        <v>134.63</v>
      </c>
      <c r="J33" s="295">
        <f>ROUND((IF('F Intl Con Plus Base'!$J$120&gt;ROUND(((1-'F Intl Con Plus Base'!$J$117)*'F Intl Con Plus Base'!J30),2),ROUND('F Intl Con Plus Base'!$J$120*(1+International_Fuel_Surcharge),2),ROUND(((1-'F Intl Con Plus Base'!$J$117)*'F Intl Con Plus Base'!J30)*(1+International_Fuel_Surcharge),2)))*(1+FedEx_Markup),2)</f>
        <v>79.17</v>
      </c>
      <c r="K33" s="295">
        <f>ROUND((IF('F Intl Con Plus Base'!$K$120&gt;ROUND(((1-'F Intl Con Plus Base'!$K$117)*'F Intl Con Plus Base'!K30),2),ROUND('F Intl Con Plus Base'!$K$120*(1+International_Fuel_Surcharge),2),ROUND(((1-'F Intl Con Plus Base'!$K$117)*'F Intl Con Plus Base'!K30)*(1+International_Fuel_Surcharge),2)))*(1+FedEx_Markup),2)</f>
        <v>157.62</v>
      </c>
      <c r="L33" s="295">
        <f>ROUND((IF('F Intl Con Plus Base'!$L$120&gt;ROUND(((1-'F Intl Con Plus Base'!$L$117)*'F Intl Con Plus Base'!L30),2),ROUND('F Intl Con Plus Base'!$L$120*(1+International_Fuel_Surcharge),2),ROUND(((1-'F Intl Con Plus Base'!$L$117)*'F Intl Con Plus Base'!L30)*(1+International_Fuel_Surcharge),2)))*(1+FedEx_Markup),2)</f>
        <v>145.41</v>
      </c>
      <c r="M33" s="295">
        <f>ROUND((IF('F Intl Con Plus Base'!$M$120&gt;ROUND(((1-'F Intl Con Plus Base'!$M$117)*'F Intl Con Plus Base'!M30),2),ROUND('F Intl Con Plus Base'!$M$120*(1+International_Fuel_Surcharge),2),ROUND(((1-'F Intl Con Plus Base'!$M$117)*'F Intl Con Plus Base'!M30)*(1+International_Fuel_Surcharge),2)))*(1+FedEx_Markup),2)</f>
        <v>183.79</v>
      </c>
      <c r="N33" s="295">
        <f>ROUND((IF('F Intl Con Plus Base'!$N$120&gt;ROUND(((1-'F Intl Con Plus Base'!$N$117)*'F Intl Con Plus Base'!N30),2),ROUND('F Intl Con Plus Base'!$N$120*(1+International_Fuel_Surcharge),2),ROUND(((1-'F Intl Con Plus Base'!$N$117)*'F Intl Con Plus Base'!N30)*(1+International_Fuel_Surcharge),2)))*(1+FedEx_Markup),2)</f>
        <v>200.87</v>
      </c>
      <c r="O33" s="295">
        <f>ROUND((IF('F Intl Con Plus Base'!$O$120&gt;ROUND(((1-'F Intl Con Plus Base'!$O$117)*'F Intl Con Plus Base'!O30),2),ROUND('F Intl Con Plus Base'!$O$120*(1+International_Fuel_Surcharge),2),ROUND(((1-'F Intl Con Plus Base'!$O$117)*'F Intl Con Plus Base'!O30)*(1+International_Fuel_Surcharge),2)))*(1+FedEx_Markup),2)</f>
        <v>142.35</v>
      </c>
      <c r="P33" s="295">
        <f>ROUND((IF('F Intl Con Plus Base'!$P$120&gt;ROUND(((1-'F Intl Con Plus Base'!$P$117)*'F Intl Con Plus Base'!P30),2),ROUND('F Intl Con Plus Base'!$P$120*(1+International_Fuel_Surcharge),2),ROUND(((1-'F Intl Con Plus Base'!$P$117)*'F Intl Con Plus Base'!P30)*(1+International_Fuel_Surcharge),2)))*(1+FedEx_Markup),2)</f>
        <v>149.81</v>
      </c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2.75" customHeight="1">
      <c r="A34" s="294">
        <v>29.0</v>
      </c>
      <c r="B34" s="295">
        <f>ROUND((IF('F Intl Con Plus Base'!$B$120&gt;ROUND(((1-'F Intl Con Plus Base'!$B$117)*'F Intl Con Plus Base'!B31),2),ROUND('F Intl Con Plus Base'!$B$120*(1+International_Fuel_Surcharge),2),ROUND(((1-'F Intl Con Plus Base'!$B$117)*'F Intl Con Plus Base'!B31)*(1+International_Fuel_Surcharge),2)))*(1+FedEx_Markup),2)</f>
        <v>73.49</v>
      </c>
      <c r="C34" s="295">
        <f>ROUND((IF('F Intl Con Plus Base'!$C$120&gt;ROUND(((1-'F Intl Con Plus Base'!$C$117)*'F Intl Con Plus Base'!C31),2),ROUND('F Intl Con Plus Base'!$C$120*(1+International_Fuel_Surcharge),2),ROUND(((1-'F Intl Con Plus Base'!$C$117)*'F Intl Con Plus Base'!C31)*(1+International_Fuel_Surcharge),2)))*(1+FedEx_Markup),2)</f>
        <v>83.94</v>
      </c>
      <c r="D34" s="295">
        <f>ROUND((IF('F Intl Con Plus Base'!$D$120&gt;ROUND(((1-'F Intl Con Plus Base'!$D$117)*'F Intl Con Plus Base'!D31),2),ROUND('F Intl Con Plus Base'!$D$120*(1+International_Fuel_Surcharge),2),ROUND(((1-'F Intl Con Plus Base'!$D$117)*'F Intl Con Plus Base'!D31)*(1+International_Fuel_Surcharge),2)))*(1+FedEx_Markup),2)</f>
        <v>69.41</v>
      </c>
      <c r="E34" s="295">
        <f>ROUND((IF('F Intl Con Plus Base'!$E$120&gt;ROUND(((1-'F Intl Con Plus Base'!$E$117)*'F Intl Con Plus Base'!E31),2),ROUND('F Intl Con Plus Base'!$E$120*(1+International_Fuel_Surcharge),2),ROUND(((1-'F Intl Con Plus Base'!$E$117)*'F Intl Con Plus Base'!E31)*(1+International_Fuel_Surcharge),2)))*(1+FedEx_Markup),2)</f>
        <v>110.08</v>
      </c>
      <c r="F34" s="295">
        <f>ROUND((IF('F Intl Con Plus Base'!$F$120&gt;ROUND(((1-'F Intl Con Plus Base'!$F$117)*'F Intl Con Plus Base'!F31),2),ROUND('F Intl Con Plus Base'!$F$120*(1+International_Fuel_Surcharge),2),ROUND(((1-'F Intl Con Plus Base'!$F$117)*'F Intl Con Plus Base'!F31)*(1+International_Fuel_Surcharge),2)))*(1+FedEx_Markup),2)</f>
        <v>196.41</v>
      </c>
      <c r="G34" s="295">
        <f>ROUND((IF('F Intl Con Plus Base'!$G$120&gt;ROUND(((1-'F Intl Con Plus Base'!$G$117)*'F Intl Con Plus Base'!G31),2),ROUND('F Intl Con Plus Base'!$G$120*(1+International_Fuel_Surcharge),2),ROUND(((1-'F Intl Con Plus Base'!$G$117)*'F Intl Con Plus Base'!G31)*(1+International_Fuel_Surcharge),2)))*(1+FedEx_Markup),2)</f>
        <v>111.06</v>
      </c>
      <c r="H34" s="295">
        <f>ROUND((IF('F Intl Con Plus Base'!$H$120&gt;ROUND(((1-'F Intl Con Plus Base'!$H$117)*'F Intl Con Plus Base'!H31),2),ROUND('F Intl Con Plus Base'!$H$120*(1+International_Fuel_Surcharge),2),ROUND(((1-'F Intl Con Plus Base'!$H$117)*'F Intl Con Plus Base'!H31)*(1+International_Fuel_Surcharge),2)))*(1+FedEx_Markup),2)</f>
        <v>107.46</v>
      </c>
      <c r="I34" s="295">
        <f>ROUND((IF('F Intl Con Plus Base'!$I$120&gt;ROUND(((1-'F Intl Con Plus Base'!$I$117)*'F Intl Con Plus Base'!I31),2),ROUND('F Intl Con Plus Base'!$I$120*(1+International_Fuel_Surcharge),2),ROUND(((1-'F Intl Con Plus Base'!$I$117)*'F Intl Con Plus Base'!I31)*(1+International_Fuel_Surcharge),2)))*(1+FedEx_Markup),2)</f>
        <v>135.01</v>
      </c>
      <c r="J34" s="295">
        <f>ROUND((IF('F Intl Con Plus Base'!$J$120&gt;ROUND(((1-'F Intl Con Plus Base'!$J$117)*'F Intl Con Plus Base'!J31),2),ROUND('F Intl Con Plus Base'!$J$120*(1+International_Fuel_Surcharge),2),ROUND(((1-'F Intl Con Plus Base'!$J$117)*'F Intl Con Plus Base'!J31)*(1+International_Fuel_Surcharge),2)))*(1+FedEx_Markup),2)</f>
        <v>83.88</v>
      </c>
      <c r="K34" s="295">
        <f>ROUND((IF('F Intl Con Plus Base'!$K$120&gt;ROUND(((1-'F Intl Con Plus Base'!$K$117)*'F Intl Con Plus Base'!K31),2),ROUND('F Intl Con Plus Base'!$K$120*(1+International_Fuel_Surcharge),2),ROUND(((1-'F Intl Con Plus Base'!$K$117)*'F Intl Con Plus Base'!K31)*(1+International_Fuel_Surcharge),2)))*(1+FedEx_Markup),2)</f>
        <v>158.29</v>
      </c>
      <c r="L34" s="295">
        <f>ROUND((IF('F Intl Con Plus Base'!$L$120&gt;ROUND(((1-'F Intl Con Plus Base'!$L$117)*'F Intl Con Plus Base'!L31),2),ROUND('F Intl Con Plus Base'!$L$120*(1+International_Fuel_Surcharge),2),ROUND(((1-'F Intl Con Plus Base'!$L$117)*'F Intl Con Plus Base'!L31)*(1+International_Fuel_Surcharge),2)))*(1+FedEx_Markup),2)</f>
        <v>146.91</v>
      </c>
      <c r="M34" s="295">
        <f>ROUND((IF('F Intl Con Plus Base'!$M$120&gt;ROUND(((1-'F Intl Con Plus Base'!$M$117)*'F Intl Con Plus Base'!M31),2),ROUND('F Intl Con Plus Base'!$M$120*(1+International_Fuel_Surcharge),2),ROUND(((1-'F Intl Con Plus Base'!$M$117)*'F Intl Con Plus Base'!M31)*(1+International_Fuel_Surcharge),2)))*(1+FedEx_Markup),2)</f>
        <v>193.18</v>
      </c>
      <c r="N34" s="295">
        <f>ROUND((IF('F Intl Con Plus Base'!$N$120&gt;ROUND(((1-'F Intl Con Plus Base'!$N$117)*'F Intl Con Plus Base'!N31),2),ROUND('F Intl Con Plus Base'!$N$120*(1+International_Fuel_Surcharge),2),ROUND(((1-'F Intl Con Plus Base'!$N$117)*'F Intl Con Plus Base'!N31)*(1+International_Fuel_Surcharge),2)))*(1+FedEx_Markup),2)</f>
        <v>201.09</v>
      </c>
      <c r="O34" s="295">
        <f>ROUND((IF('F Intl Con Plus Base'!$O$120&gt;ROUND(((1-'F Intl Con Plus Base'!$O$117)*'F Intl Con Plus Base'!O31),2),ROUND('F Intl Con Plus Base'!$O$120*(1+International_Fuel_Surcharge),2),ROUND(((1-'F Intl Con Plus Base'!$O$117)*'F Intl Con Plus Base'!O31)*(1+International_Fuel_Surcharge),2)))*(1+FedEx_Markup),2)</f>
        <v>150.27</v>
      </c>
      <c r="P34" s="295">
        <f>ROUND((IF('F Intl Con Plus Base'!$P$120&gt;ROUND(((1-'F Intl Con Plus Base'!$P$117)*'F Intl Con Plus Base'!P31),2),ROUND('F Intl Con Plus Base'!$P$120*(1+International_Fuel_Surcharge),2),ROUND(((1-'F Intl Con Plus Base'!$P$117)*'F Intl Con Plus Base'!P31)*(1+International_Fuel_Surcharge),2)))*(1+FedEx_Markup),2)</f>
        <v>150.11</v>
      </c>
      <c r="Q34" s="138"/>
      <c r="R34" s="138"/>
      <c r="S34" s="138"/>
      <c r="T34" s="138"/>
      <c r="U34" s="138"/>
      <c r="V34" s="138"/>
      <c r="W34" s="138"/>
      <c r="X34" s="138"/>
      <c r="Y34" s="138"/>
      <c r="Z34" s="138"/>
    </row>
    <row r="35" ht="12.75" customHeight="1">
      <c r="A35" s="294">
        <v>30.0</v>
      </c>
      <c r="B35" s="295">
        <f>ROUND((IF('F Intl Con Plus Base'!$B$120&gt;ROUND(((1-'F Intl Con Plus Base'!$B$117)*'F Intl Con Plus Base'!B32),2),ROUND('F Intl Con Plus Base'!$B$120*(1+International_Fuel_Surcharge),2),ROUND(((1-'F Intl Con Plus Base'!$B$117)*'F Intl Con Plus Base'!B32)*(1+International_Fuel_Surcharge),2)))*(1+FedEx_Markup),2)</f>
        <v>73.61</v>
      </c>
      <c r="C35" s="295">
        <f>ROUND((IF('F Intl Con Plus Base'!$C$120&gt;ROUND(((1-'F Intl Con Plus Base'!$C$117)*'F Intl Con Plus Base'!C32),2),ROUND('F Intl Con Plus Base'!$C$120*(1+International_Fuel_Surcharge),2),ROUND(((1-'F Intl Con Plus Base'!$C$117)*'F Intl Con Plus Base'!C32)*(1+International_Fuel_Surcharge),2)))*(1+FedEx_Markup),2)</f>
        <v>87.09</v>
      </c>
      <c r="D35" s="295">
        <f>ROUND((IF('F Intl Con Plus Base'!$D$120&gt;ROUND(((1-'F Intl Con Plus Base'!$D$117)*'F Intl Con Plus Base'!D32),2),ROUND('F Intl Con Plus Base'!$D$120*(1+International_Fuel_Surcharge),2),ROUND(((1-'F Intl Con Plus Base'!$D$117)*'F Intl Con Plus Base'!D32)*(1+International_Fuel_Surcharge),2)))*(1+FedEx_Markup),2)</f>
        <v>69.97</v>
      </c>
      <c r="E35" s="295">
        <f>ROUND((IF('F Intl Con Plus Base'!$E$120&gt;ROUND(((1-'F Intl Con Plus Base'!$E$117)*'F Intl Con Plus Base'!E32),2),ROUND('F Intl Con Plus Base'!$E$120*(1+International_Fuel_Surcharge),2),ROUND(((1-'F Intl Con Plus Base'!$E$117)*'F Intl Con Plus Base'!E32)*(1+International_Fuel_Surcharge),2)))*(1+FedEx_Markup),2)</f>
        <v>110.23</v>
      </c>
      <c r="F35" s="295">
        <f>ROUND((IF('F Intl Con Plus Base'!$F$120&gt;ROUND(((1-'F Intl Con Plus Base'!$F$117)*'F Intl Con Plus Base'!F32),2),ROUND('F Intl Con Plus Base'!$F$120*(1+International_Fuel_Surcharge),2),ROUND(((1-'F Intl Con Plus Base'!$F$117)*'F Intl Con Plus Base'!F32)*(1+International_Fuel_Surcharge),2)))*(1+FedEx_Markup),2)</f>
        <v>196.51</v>
      </c>
      <c r="G35" s="295">
        <f>ROUND((IF('F Intl Con Plus Base'!$G$120&gt;ROUND(((1-'F Intl Con Plus Base'!$G$117)*'F Intl Con Plus Base'!G32),2),ROUND('F Intl Con Plus Base'!$G$120*(1+International_Fuel_Surcharge),2),ROUND(((1-'F Intl Con Plus Base'!$G$117)*'F Intl Con Plus Base'!G32)*(1+International_Fuel_Surcharge),2)))*(1+FedEx_Markup),2)</f>
        <v>111.11</v>
      </c>
      <c r="H35" s="295">
        <f>ROUND((IF('F Intl Con Plus Base'!$H$120&gt;ROUND(((1-'F Intl Con Plus Base'!$H$117)*'F Intl Con Plus Base'!H32),2),ROUND('F Intl Con Plus Base'!$H$120*(1+International_Fuel_Surcharge),2),ROUND(((1-'F Intl Con Plus Base'!$H$117)*'F Intl Con Plus Base'!H32)*(1+International_Fuel_Surcharge),2)))*(1+FedEx_Markup),2)</f>
        <v>114.16</v>
      </c>
      <c r="I35" s="295">
        <f>ROUND((IF('F Intl Con Plus Base'!$I$120&gt;ROUND(((1-'F Intl Con Plus Base'!$I$117)*'F Intl Con Plus Base'!I32),2),ROUND('F Intl Con Plus Base'!$I$120*(1+International_Fuel_Surcharge),2),ROUND(((1-'F Intl Con Plus Base'!$I$117)*'F Intl Con Plus Base'!I32)*(1+International_Fuel_Surcharge),2)))*(1+FedEx_Markup),2)</f>
        <v>138.37</v>
      </c>
      <c r="J35" s="295">
        <f>ROUND((IF('F Intl Con Plus Base'!$J$120&gt;ROUND(((1-'F Intl Con Plus Base'!$J$117)*'F Intl Con Plus Base'!J32),2),ROUND('F Intl Con Plus Base'!$J$120*(1+International_Fuel_Surcharge),2),ROUND(((1-'F Intl Con Plus Base'!$J$117)*'F Intl Con Plus Base'!J32)*(1+International_Fuel_Surcharge),2)))*(1+FedEx_Markup),2)</f>
        <v>84.35</v>
      </c>
      <c r="K35" s="295">
        <f>ROUND((IF('F Intl Con Plus Base'!$K$120&gt;ROUND(((1-'F Intl Con Plus Base'!$K$117)*'F Intl Con Plus Base'!K32),2),ROUND('F Intl Con Plus Base'!$K$120*(1+International_Fuel_Surcharge),2),ROUND(((1-'F Intl Con Plus Base'!$K$117)*'F Intl Con Plus Base'!K32)*(1+International_Fuel_Surcharge),2)))*(1+FedEx_Markup),2)</f>
        <v>158.36</v>
      </c>
      <c r="L35" s="295">
        <f>ROUND((IF('F Intl Con Plus Base'!$L$120&gt;ROUND(((1-'F Intl Con Plus Base'!$L$117)*'F Intl Con Plus Base'!L32),2),ROUND('F Intl Con Plus Base'!$L$120*(1+International_Fuel_Surcharge),2),ROUND(((1-'F Intl Con Plus Base'!$L$117)*'F Intl Con Plus Base'!L32)*(1+International_Fuel_Surcharge),2)))*(1+FedEx_Markup),2)</f>
        <v>147.06</v>
      </c>
      <c r="M35" s="295">
        <f>ROUND((IF('F Intl Con Plus Base'!$M$120&gt;ROUND(((1-'F Intl Con Plus Base'!$M$117)*'F Intl Con Plus Base'!M32),2),ROUND('F Intl Con Plus Base'!$M$120*(1+International_Fuel_Surcharge),2),ROUND(((1-'F Intl Con Plus Base'!$M$117)*'F Intl Con Plus Base'!M32)*(1+International_Fuel_Surcharge),2)))*(1+FedEx_Markup),2)</f>
        <v>194.12</v>
      </c>
      <c r="N35" s="295">
        <f>ROUND((IF('F Intl Con Plus Base'!$N$120&gt;ROUND(((1-'F Intl Con Plus Base'!$N$117)*'F Intl Con Plus Base'!N32),2),ROUND('F Intl Con Plus Base'!$N$120*(1+International_Fuel_Surcharge),2),ROUND(((1-'F Intl Con Plus Base'!$N$117)*'F Intl Con Plus Base'!N32)*(1+International_Fuel_Surcharge),2)))*(1+FedEx_Markup),2)</f>
        <v>201.15</v>
      </c>
      <c r="O35" s="295">
        <f>ROUND((IF('F Intl Con Plus Base'!$O$120&gt;ROUND(((1-'F Intl Con Plus Base'!$O$117)*'F Intl Con Plus Base'!O32),2),ROUND('F Intl Con Plus Base'!$O$120*(1+International_Fuel_Surcharge),2),ROUND(((1-'F Intl Con Plus Base'!$O$117)*'F Intl Con Plus Base'!O32)*(1+International_Fuel_Surcharge),2)))*(1+FedEx_Markup),2)</f>
        <v>151.06</v>
      </c>
      <c r="P35" s="295">
        <f>ROUND((IF('F Intl Con Plus Base'!$P$120&gt;ROUND(((1-'F Intl Con Plus Base'!$P$117)*'F Intl Con Plus Base'!P32),2),ROUND('F Intl Con Plus Base'!$P$120*(1+International_Fuel_Surcharge),2),ROUND(((1-'F Intl Con Plus Base'!$P$117)*'F Intl Con Plus Base'!P32)*(1+International_Fuel_Surcharge),2)))*(1+FedEx_Markup),2)</f>
        <v>150.22</v>
      </c>
      <c r="Q35" s="138"/>
      <c r="R35" s="138"/>
      <c r="S35" s="138"/>
      <c r="T35" s="138"/>
      <c r="U35" s="138"/>
      <c r="V35" s="138"/>
      <c r="W35" s="138"/>
      <c r="X35" s="138"/>
      <c r="Y35" s="138"/>
      <c r="Z35" s="138"/>
    </row>
    <row r="36" ht="12.75" customHeight="1">
      <c r="A36" s="294">
        <v>31.0</v>
      </c>
      <c r="B36" s="295">
        <f>ROUND((IF('F Intl Con Plus Base'!$B$120&gt;ROUND(((1-'F Intl Con Plus Base'!$B$117)*'F Intl Con Plus Base'!B33),2),ROUND('F Intl Con Plus Base'!$B$120*(1+International_Fuel_Surcharge),2),ROUND(((1-'F Intl Con Plus Base'!$B$117)*'F Intl Con Plus Base'!B33)*(1+International_Fuel_Surcharge),2)))*(1+FedEx_Markup),2)</f>
        <v>74.15</v>
      </c>
      <c r="C36" s="295">
        <f>ROUND((IF('F Intl Con Plus Base'!$C$120&gt;ROUND(((1-'F Intl Con Plus Base'!$C$117)*'F Intl Con Plus Base'!C33),2),ROUND('F Intl Con Plus Base'!$C$120*(1+International_Fuel_Surcharge),2),ROUND(((1-'F Intl Con Plus Base'!$C$117)*'F Intl Con Plus Base'!C33)*(1+International_Fuel_Surcharge),2)))*(1+FedEx_Markup),2)</f>
        <v>87.42</v>
      </c>
      <c r="D36" s="295">
        <f>ROUND((IF('F Intl Con Plus Base'!$D$120&gt;ROUND(((1-'F Intl Con Plus Base'!$D$117)*'F Intl Con Plus Base'!D33),2),ROUND('F Intl Con Plus Base'!$D$120*(1+International_Fuel_Surcharge),2),ROUND(((1-'F Intl Con Plus Base'!$D$117)*'F Intl Con Plus Base'!D33)*(1+International_Fuel_Surcharge),2)))*(1+FedEx_Markup),2)</f>
        <v>70.02</v>
      </c>
      <c r="E36" s="295">
        <f>ROUND((IF('F Intl Con Plus Base'!$E$120&gt;ROUND(((1-'F Intl Con Plus Base'!$E$117)*'F Intl Con Plus Base'!E33),2),ROUND('F Intl Con Plus Base'!$E$120*(1+International_Fuel_Surcharge),2),ROUND(((1-'F Intl Con Plus Base'!$E$117)*'F Intl Con Plus Base'!E33)*(1+International_Fuel_Surcharge),2)))*(1+FedEx_Markup),2)</f>
        <v>112.22</v>
      </c>
      <c r="F36" s="295">
        <f>ROUND((IF('F Intl Con Plus Base'!$F$120&gt;ROUND(((1-'F Intl Con Plus Base'!$F$117)*'F Intl Con Plus Base'!F33),2),ROUND('F Intl Con Plus Base'!$F$120*(1+International_Fuel_Surcharge),2),ROUND(((1-'F Intl Con Plus Base'!$F$117)*'F Intl Con Plus Base'!F33)*(1+International_Fuel_Surcharge),2)))*(1+FedEx_Markup),2)</f>
        <v>197.47</v>
      </c>
      <c r="G36" s="295">
        <f>ROUND((IF('F Intl Con Plus Base'!$G$120&gt;ROUND(((1-'F Intl Con Plus Base'!$G$117)*'F Intl Con Plus Base'!G33),2),ROUND('F Intl Con Plus Base'!$G$120*(1+International_Fuel_Surcharge),2),ROUND(((1-'F Intl Con Plus Base'!$G$117)*'F Intl Con Plus Base'!G33)*(1+International_Fuel_Surcharge),2)))*(1+FedEx_Markup),2)</f>
        <v>111.44</v>
      </c>
      <c r="H36" s="295">
        <f>ROUND((IF('F Intl Con Plus Base'!$H$120&gt;ROUND(((1-'F Intl Con Plus Base'!$H$117)*'F Intl Con Plus Base'!H33),2),ROUND('F Intl Con Plus Base'!$H$120*(1+International_Fuel_Surcharge),2),ROUND(((1-'F Intl Con Plus Base'!$H$117)*'F Intl Con Plus Base'!H33)*(1+International_Fuel_Surcharge),2)))*(1+FedEx_Markup),2)</f>
        <v>116.45</v>
      </c>
      <c r="I36" s="295">
        <f>ROUND((IF('F Intl Con Plus Base'!$I$120&gt;ROUND(((1-'F Intl Con Plus Base'!$I$117)*'F Intl Con Plus Base'!I33),2),ROUND('F Intl Con Plus Base'!$I$120*(1+International_Fuel_Surcharge),2),ROUND(((1-'F Intl Con Plus Base'!$I$117)*'F Intl Con Plus Base'!I33)*(1+International_Fuel_Surcharge),2)))*(1+FedEx_Markup),2)</f>
        <v>138.75</v>
      </c>
      <c r="J36" s="295">
        <f>ROUND((IF('F Intl Con Plus Base'!$J$120&gt;ROUND(((1-'F Intl Con Plus Base'!$J$117)*'F Intl Con Plus Base'!J33),2),ROUND('F Intl Con Plus Base'!$J$120*(1+International_Fuel_Surcharge),2),ROUND(((1-'F Intl Con Plus Base'!$J$117)*'F Intl Con Plus Base'!J33)*(1+International_Fuel_Surcharge),2)))*(1+FedEx_Markup),2)</f>
        <v>84.43</v>
      </c>
      <c r="K36" s="295">
        <f>ROUND((IF('F Intl Con Plus Base'!$K$120&gt;ROUND(((1-'F Intl Con Plus Base'!$K$117)*'F Intl Con Plus Base'!K33),2),ROUND('F Intl Con Plus Base'!$K$120*(1+International_Fuel_Surcharge),2),ROUND(((1-'F Intl Con Plus Base'!$K$117)*'F Intl Con Plus Base'!K33)*(1+International_Fuel_Surcharge),2)))*(1+FedEx_Markup),2)</f>
        <v>158.4</v>
      </c>
      <c r="L36" s="295">
        <f>ROUND((IF('F Intl Con Plus Base'!$L$120&gt;ROUND(((1-'F Intl Con Plus Base'!$L$117)*'F Intl Con Plus Base'!L33),2),ROUND('F Intl Con Plus Base'!$L$120*(1+International_Fuel_Surcharge),2),ROUND(((1-'F Intl Con Plus Base'!$L$117)*'F Intl Con Plus Base'!L33)*(1+International_Fuel_Surcharge),2)))*(1+FedEx_Markup),2)</f>
        <v>150.16</v>
      </c>
      <c r="M36" s="295">
        <f>ROUND((IF('F Intl Con Plus Base'!$M$120&gt;ROUND(((1-'F Intl Con Plus Base'!$M$117)*'F Intl Con Plus Base'!M33),2),ROUND('F Intl Con Plus Base'!$M$120*(1+International_Fuel_Surcharge),2),ROUND(((1-'F Intl Con Plus Base'!$M$117)*'F Intl Con Plus Base'!M33)*(1+International_Fuel_Surcharge),2)))*(1+FedEx_Markup),2)</f>
        <v>210.93</v>
      </c>
      <c r="N36" s="295">
        <f>ROUND((IF('F Intl Con Plus Base'!$N$120&gt;ROUND(((1-'F Intl Con Plus Base'!$N$117)*'F Intl Con Plus Base'!N33),2),ROUND('F Intl Con Plus Base'!$N$120*(1+International_Fuel_Surcharge),2),ROUND(((1-'F Intl Con Plus Base'!$N$117)*'F Intl Con Plus Base'!N33)*(1+International_Fuel_Surcharge),2)))*(1+FedEx_Markup),2)</f>
        <v>201.19</v>
      </c>
      <c r="O36" s="295">
        <f>ROUND((IF('F Intl Con Plus Base'!$O$120&gt;ROUND(((1-'F Intl Con Plus Base'!$O$117)*'F Intl Con Plus Base'!O33),2),ROUND('F Intl Con Plus Base'!$O$120*(1+International_Fuel_Surcharge),2),ROUND(((1-'F Intl Con Plus Base'!$O$117)*'F Intl Con Plus Base'!O33)*(1+International_Fuel_Surcharge),2)))*(1+FedEx_Markup),2)</f>
        <v>151.14</v>
      </c>
      <c r="P36" s="295">
        <f>ROUND((IF('F Intl Con Plus Base'!$P$120&gt;ROUND(((1-'F Intl Con Plus Base'!$P$117)*'F Intl Con Plus Base'!P33),2),ROUND('F Intl Con Plus Base'!$P$120*(1+International_Fuel_Surcharge),2),ROUND(((1-'F Intl Con Plus Base'!$P$117)*'F Intl Con Plus Base'!P33)*(1+International_Fuel_Surcharge),2)))*(1+FedEx_Markup),2)</f>
        <v>150.28</v>
      </c>
      <c r="Q36" s="138"/>
      <c r="R36" s="138"/>
      <c r="S36" s="138"/>
      <c r="T36" s="138"/>
      <c r="U36" s="138"/>
      <c r="V36" s="138"/>
      <c r="W36" s="138"/>
      <c r="X36" s="138"/>
      <c r="Y36" s="138"/>
      <c r="Z36" s="138"/>
    </row>
    <row r="37" ht="12.75" customHeight="1">
      <c r="A37" s="294">
        <v>32.0</v>
      </c>
      <c r="B37" s="295">
        <f>ROUND((IF('F Intl Con Plus Base'!$B$120&gt;ROUND(((1-'F Intl Con Plus Base'!$B$117)*'F Intl Con Plus Base'!B34),2),ROUND('F Intl Con Plus Base'!$B$120*(1+International_Fuel_Surcharge),2),ROUND(((1-'F Intl Con Plus Base'!$B$117)*'F Intl Con Plus Base'!B34)*(1+International_Fuel_Surcharge),2)))*(1+FedEx_Markup),2)</f>
        <v>74.2</v>
      </c>
      <c r="C37" s="295">
        <f>ROUND((IF('F Intl Con Plus Base'!$C$120&gt;ROUND(((1-'F Intl Con Plus Base'!$C$117)*'F Intl Con Plus Base'!C34),2),ROUND('F Intl Con Plus Base'!$C$120*(1+International_Fuel_Surcharge),2),ROUND(((1-'F Intl Con Plus Base'!$C$117)*'F Intl Con Plus Base'!C34)*(1+International_Fuel_Surcharge),2)))*(1+FedEx_Markup),2)</f>
        <v>87.47</v>
      </c>
      <c r="D37" s="295">
        <f>ROUND((IF('F Intl Con Plus Base'!$D$120&gt;ROUND(((1-'F Intl Con Plus Base'!$D$117)*'F Intl Con Plus Base'!D34),2),ROUND('F Intl Con Plus Base'!$D$120*(1+International_Fuel_Surcharge),2),ROUND(((1-'F Intl Con Plus Base'!$D$117)*'F Intl Con Plus Base'!D34)*(1+International_Fuel_Surcharge),2)))*(1+FedEx_Markup),2)</f>
        <v>70.08</v>
      </c>
      <c r="E37" s="295">
        <f>ROUND((IF('F Intl Con Plus Base'!$E$120&gt;ROUND(((1-'F Intl Con Plus Base'!$E$117)*'F Intl Con Plus Base'!E34),2),ROUND('F Intl Con Plus Base'!$E$120*(1+International_Fuel_Surcharge),2),ROUND(((1-'F Intl Con Plus Base'!$E$117)*'F Intl Con Plus Base'!E34)*(1+International_Fuel_Surcharge),2)))*(1+FedEx_Markup),2)</f>
        <v>112.42</v>
      </c>
      <c r="F37" s="295">
        <f>ROUND((IF('F Intl Con Plus Base'!$F$120&gt;ROUND(((1-'F Intl Con Plus Base'!$F$117)*'F Intl Con Plus Base'!F34),2),ROUND('F Intl Con Plus Base'!$F$120*(1+International_Fuel_Surcharge),2),ROUND(((1-'F Intl Con Plus Base'!$F$117)*'F Intl Con Plus Base'!F34)*(1+International_Fuel_Surcharge),2)))*(1+FedEx_Markup),2)</f>
        <v>216.33</v>
      </c>
      <c r="G37" s="295">
        <f>ROUND((IF('F Intl Con Plus Base'!$G$120&gt;ROUND(((1-'F Intl Con Plus Base'!$G$117)*'F Intl Con Plus Base'!G34),2),ROUND('F Intl Con Plus Base'!$G$120*(1+International_Fuel_Surcharge),2),ROUND(((1-'F Intl Con Plus Base'!$G$117)*'F Intl Con Plus Base'!G34)*(1+International_Fuel_Surcharge),2)))*(1+FedEx_Markup),2)</f>
        <v>117.94</v>
      </c>
      <c r="H37" s="295">
        <f>ROUND((IF('F Intl Con Plus Base'!$H$120&gt;ROUND(((1-'F Intl Con Plus Base'!$H$117)*'F Intl Con Plus Base'!H34),2),ROUND('F Intl Con Plus Base'!$H$120*(1+International_Fuel_Surcharge),2),ROUND(((1-'F Intl Con Plus Base'!$H$117)*'F Intl Con Plus Base'!H34)*(1+International_Fuel_Surcharge),2)))*(1+FedEx_Markup),2)</f>
        <v>123.99</v>
      </c>
      <c r="I37" s="295">
        <f>ROUND((IF('F Intl Con Plus Base'!$I$120&gt;ROUND(((1-'F Intl Con Plus Base'!$I$117)*'F Intl Con Plus Base'!I34),2),ROUND('F Intl Con Plus Base'!$I$120*(1+International_Fuel_Surcharge),2),ROUND(((1-'F Intl Con Plus Base'!$I$117)*'F Intl Con Plus Base'!I34)*(1+International_Fuel_Surcharge),2)))*(1+FedEx_Markup),2)</f>
        <v>139.5</v>
      </c>
      <c r="J37" s="295">
        <f>ROUND((IF('F Intl Con Plus Base'!$J$120&gt;ROUND(((1-'F Intl Con Plus Base'!$J$117)*'F Intl Con Plus Base'!J34),2),ROUND('F Intl Con Plus Base'!$J$120*(1+International_Fuel_Surcharge),2),ROUND(((1-'F Intl Con Plus Base'!$J$117)*'F Intl Con Plus Base'!J34)*(1+International_Fuel_Surcharge),2)))*(1+FedEx_Markup),2)</f>
        <v>85.93</v>
      </c>
      <c r="K37" s="295">
        <f>ROUND((IF('F Intl Con Plus Base'!$K$120&gt;ROUND(((1-'F Intl Con Plus Base'!$K$117)*'F Intl Con Plus Base'!K34),2),ROUND('F Intl Con Plus Base'!$K$120*(1+International_Fuel_Surcharge),2),ROUND(((1-'F Intl Con Plus Base'!$K$117)*'F Intl Con Plus Base'!K34)*(1+International_Fuel_Surcharge),2)))*(1+FedEx_Markup),2)</f>
        <v>158.45</v>
      </c>
      <c r="L37" s="295">
        <f>ROUND((IF('F Intl Con Plus Base'!$L$120&gt;ROUND(((1-'F Intl Con Plus Base'!$L$117)*'F Intl Con Plus Base'!L34),2),ROUND('F Intl Con Plus Base'!$L$120*(1+International_Fuel_Surcharge),2),ROUND(((1-'F Intl Con Plus Base'!$L$117)*'F Intl Con Plus Base'!L34)*(1+International_Fuel_Surcharge),2)))*(1+FedEx_Markup),2)</f>
        <v>150.47</v>
      </c>
      <c r="M37" s="295">
        <f>ROUND((IF('F Intl Con Plus Base'!$M$120&gt;ROUND(((1-'F Intl Con Plus Base'!$M$117)*'F Intl Con Plus Base'!M34),2),ROUND('F Intl Con Plus Base'!$M$120*(1+International_Fuel_Surcharge),2),ROUND(((1-'F Intl Con Plus Base'!$M$117)*'F Intl Con Plus Base'!M34)*(1+International_Fuel_Surcharge),2)))*(1+FedEx_Markup),2)</f>
        <v>212.61</v>
      </c>
      <c r="N37" s="295">
        <f>ROUND((IF('F Intl Con Plus Base'!$N$120&gt;ROUND(((1-'F Intl Con Plus Base'!$N$117)*'F Intl Con Plus Base'!N34),2),ROUND('F Intl Con Plus Base'!$N$120*(1+International_Fuel_Surcharge),2),ROUND(((1-'F Intl Con Plus Base'!$N$117)*'F Intl Con Plus Base'!N34)*(1+International_Fuel_Surcharge),2)))*(1+FedEx_Markup),2)</f>
        <v>201.27</v>
      </c>
      <c r="O37" s="295">
        <f>ROUND((IF('F Intl Con Plus Base'!$O$120&gt;ROUND(((1-'F Intl Con Plus Base'!$O$117)*'F Intl Con Plus Base'!O34),2),ROUND('F Intl Con Plus Base'!$O$120*(1+International_Fuel_Surcharge),2),ROUND(((1-'F Intl Con Plus Base'!$O$117)*'F Intl Con Plus Base'!O34)*(1+International_Fuel_Surcharge),2)))*(1+FedEx_Markup),2)</f>
        <v>151.88</v>
      </c>
      <c r="P37" s="295">
        <f>ROUND((IF('F Intl Con Plus Base'!$P$120&gt;ROUND(((1-'F Intl Con Plus Base'!$P$117)*'F Intl Con Plus Base'!P34),2),ROUND('F Intl Con Plus Base'!$P$120*(1+International_Fuel_Surcharge),2),ROUND(((1-'F Intl Con Plus Base'!$P$117)*'F Intl Con Plus Base'!P34)*(1+International_Fuel_Surcharge),2)))*(1+FedEx_Markup),2)</f>
        <v>150.74</v>
      </c>
      <c r="Q37" s="138"/>
      <c r="R37" s="138"/>
      <c r="S37" s="138"/>
      <c r="T37" s="138"/>
      <c r="U37" s="138"/>
      <c r="V37" s="138"/>
      <c r="W37" s="138"/>
      <c r="X37" s="138"/>
      <c r="Y37" s="138"/>
      <c r="Z37" s="138"/>
    </row>
    <row r="38" ht="12.75" customHeight="1">
      <c r="A38" s="294">
        <v>33.0</v>
      </c>
      <c r="B38" s="295">
        <f>ROUND((IF('F Intl Con Plus Base'!$B$120&gt;ROUND(((1-'F Intl Con Plus Base'!$B$117)*'F Intl Con Plus Base'!B35),2),ROUND('F Intl Con Plus Base'!$B$120*(1+International_Fuel_Surcharge),2),ROUND(((1-'F Intl Con Plus Base'!$B$117)*'F Intl Con Plus Base'!B35)*(1+International_Fuel_Surcharge),2)))*(1+FedEx_Markup),2)</f>
        <v>74.26</v>
      </c>
      <c r="C38" s="295">
        <f>ROUND((IF('F Intl Con Plus Base'!$C$120&gt;ROUND(((1-'F Intl Con Plus Base'!$C$117)*'F Intl Con Plus Base'!C35),2),ROUND('F Intl Con Plus Base'!$C$120*(1+International_Fuel_Surcharge),2),ROUND(((1-'F Intl Con Plus Base'!$C$117)*'F Intl Con Plus Base'!C35)*(1+International_Fuel_Surcharge),2)))*(1+FedEx_Markup),2)</f>
        <v>87.53</v>
      </c>
      <c r="D38" s="295">
        <f>ROUND((IF('F Intl Con Plus Base'!$D$120&gt;ROUND(((1-'F Intl Con Plus Base'!$D$117)*'F Intl Con Plus Base'!D35),2),ROUND('F Intl Con Plus Base'!$D$120*(1+International_Fuel_Surcharge),2),ROUND(((1-'F Intl Con Plus Base'!$D$117)*'F Intl Con Plus Base'!D35)*(1+International_Fuel_Surcharge),2)))*(1+FedEx_Markup),2)</f>
        <v>70.15</v>
      </c>
      <c r="E38" s="295">
        <f>ROUND((IF('F Intl Con Plus Base'!$E$120&gt;ROUND(((1-'F Intl Con Plus Base'!$E$117)*'F Intl Con Plus Base'!E35),2),ROUND('F Intl Con Plus Base'!$E$120*(1+International_Fuel_Surcharge),2),ROUND(((1-'F Intl Con Plus Base'!$E$117)*'F Intl Con Plus Base'!E35)*(1+International_Fuel_Surcharge),2)))*(1+FedEx_Markup),2)</f>
        <v>113.08</v>
      </c>
      <c r="F38" s="295">
        <f>ROUND((IF('F Intl Con Plus Base'!$F$120&gt;ROUND(((1-'F Intl Con Plus Base'!$F$117)*'F Intl Con Plus Base'!F35),2),ROUND('F Intl Con Plus Base'!$F$120*(1+International_Fuel_Surcharge),2),ROUND(((1-'F Intl Con Plus Base'!$F$117)*'F Intl Con Plus Base'!F35)*(1+International_Fuel_Surcharge),2)))*(1+FedEx_Markup),2)</f>
        <v>218.21</v>
      </c>
      <c r="G38" s="295">
        <f>ROUND((IF('F Intl Con Plus Base'!$G$120&gt;ROUND(((1-'F Intl Con Plus Base'!$G$117)*'F Intl Con Plus Base'!G35),2),ROUND('F Intl Con Plus Base'!$G$120*(1+International_Fuel_Surcharge),2),ROUND(((1-'F Intl Con Plus Base'!$G$117)*'F Intl Con Plus Base'!G35)*(1+International_Fuel_Surcharge),2)))*(1+FedEx_Markup),2)</f>
        <v>128.86</v>
      </c>
      <c r="H38" s="295">
        <f>ROUND((IF('F Intl Con Plus Base'!$H$120&gt;ROUND(((1-'F Intl Con Plus Base'!$H$117)*'F Intl Con Plus Base'!H35),2),ROUND('F Intl Con Plus Base'!$H$120*(1+International_Fuel_Surcharge),2),ROUND(((1-'F Intl Con Plus Base'!$H$117)*'F Intl Con Plus Base'!H35)*(1+International_Fuel_Surcharge),2)))*(1+FedEx_Markup),2)</f>
        <v>124.75</v>
      </c>
      <c r="I38" s="295">
        <f>ROUND((IF('F Intl Con Plus Base'!$I$120&gt;ROUND(((1-'F Intl Con Plus Base'!$I$117)*'F Intl Con Plus Base'!I35),2),ROUND('F Intl Con Plus Base'!$I$120*(1+International_Fuel_Surcharge),2),ROUND(((1-'F Intl Con Plus Base'!$I$117)*'F Intl Con Plus Base'!I35)*(1+International_Fuel_Surcharge),2)))*(1+FedEx_Markup),2)</f>
        <v>143.41</v>
      </c>
      <c r="J38" s="295">
        <f>ROUND((IF('F Intl Con Plus Base'!$J$120&gt;ROUND(((1-'F Intl Con Plus Base'!$J$117)*'F Intl Con Plus Base'!J35),2),ROUND('F Intl Con Plus Base'!$J$120*(1+International_Fuel_Surcharge),2),ROUND(((1-'F Intl Con Plus Base'!$J$117)*'F Intl Con Plus Base'!J35)*(1+International_Fuel_Surcharge),2)))*(1+FedEx_Markup),2)</f>
        <v>88.65</v>
      </c>
      <c r="K38" s="295">
        <f>ROUND((IF('F Intl Con Plus Base'!$K$120&gt;ROUND(((1-'F Intl Con Plus Base'!$K$117)*'F Intl Con Plus Base'!K35),2),ROUND('F Intl Con Plus Base'!$K$120*(1+International_Fuel_Surcharge),2),ROUND(((1-'F Intl Con Plus Base'!$K$117)*'F Intl Con Plus Base'!K35)*(1+International_Fuel_Surcharge),2)))*(1+FedEx_Markup),2)</f>
        <v>158.5</v>
      </c>
      <c r="L38" s="295">
        <f>ROUND((IF('F Intl Con Plus Base'!$L$120&gt;ROUND(((1-'F Intl Con Plus Base'!$L$117)*'F Intl Con Plus Base'!L35),2),ROUND('F Intl Con Plus Base'!$L$120*(1+International_Fuel_Surcharge),2),ROUND(((1-'F Intl Con Plus Base'!$L$117)*'F Intl Con Plus Base'!L35)*(1+International_Fuel_Surcharge),2)))*(1+FedEx_Markup),2)</f>
        <v>150.54</v>
      </c>
      <c r="M38" s="295">
        <f>ROUND((IF('F Intl Con Plus Base'!$M$120&gt;ROUND(((1-'F Intl Con Plus Base'!$M$117)*'F Intl Con Plus Base'!M35),2),ROUND('F Intl Con Plus Base'!$M$120*(1+International_Fuel_Surcharge),2),ROUND(((1-'F Intl Con Plus Base'!$M$117)*'F Intl Con Plus Base'!M35)*(1+International_Fuel_Surcharge),2)))*(1+FedEx_Markup),2)</f>
        <v>214.51</v>
      </c>
      <c r="N38" s="295">
        <f>ROUND((IF('F Intl Con Plus Base'!$N$120&gt;ROUND(((1-'F Intl Con Plus Base'!$N$117)*'F Intl Con Plus Base'!N35),2),ROUND('F Intl Con Plus Base'!$N$120*(1+International_Fuel_Surcharge),2),ROUND(((1-'F Intl Con Plus Base'!$N$117)*'F Intl Con Plus Base'!N35)*(1+International_Fuel_Surcharge),2)))*(1+FedEx_Markup),2)</f>
        <v>201.35</v>
      </c>
      <c r="O38" s="295">
        <f>ROUND((IF('F Intl Con Plus Base'!$O$120&gt;ROUND(((1-'F Intl Con Plus Base'!$O$117)*'F Intl Con Plus Base'!O35),2),ROUND('F Intl Con Plus Base'!$O$120*(1+International_Fuel_Surcharge),2),ROUND(((1-'F Intl Con Plus Base'!$O$117)*'F Intl Con Plus Base'!O35)*(1+International_Fuel_Surcharge),2)))*(1+FedEx_Markup),2)</f>
        <v>166.49</v>
      </c>
      <c r="P38" s="295">
        <f>ROUND((IF('F Intl Con Plus Base'!$P$120&gt;ROUND(((1-'F Intl Con Plus Base'!$P$117)*'F Intl Con Plus Base'!P35),2),ROUND('F Intl Con Plus Base'!$P$120*(1+International_Fuel_Surcharge),2),ROUND(((1-'F Intl Con Plus Base'!$P$117)*'F Intl Con Plus Base'!P35)*(1+International_Fuel_Surcharge),2)))*(1+FedEx_Markup),2)</f>
        <v>159.68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ht="12.75" customHeight="1">
      <c r="A39" s="294">
        <v>34.0</v>
      </c>
      <c r="B39" s="295">
        <f>ROUND((IF('F Intl Con Plus Base'!$B$120&gt;ROUND(((1-'F Intl Con Plus Base'!$B$117)*'F Intl Con Plus Base'!B36),2),ROUND('F Intl Con Plus Base'!$B$120*(1+International_Fuel_Surcharge),2),ROUND(((1-'F Intl Con Plus Base'!$B$117)*'F Intl Con Plus Base'!B36)*(1+International_Fuel_Surcharge),2)))*(1+FedEx_Markup),2)</f>
        <v>74.31</v>
      </c>
      <c r="C39" s="295">
        <f>ROUND((IF('F Intl Con Plus Base'!$C$120&gt;ROUND(((1-'F Intl Con Plus Base'!$C$117)*'F Intl Con Plus Base'!C36),2),ROUND('F Intl Con Plus Base'!$C$120*(1+International_Fuel_Surcharge),2),ROUND(((1-'F Intl Con Plus Base'!$C$117)*'F Intl Con Plus Base'!C36)*(1+International_Fuel_Surcharge),2)))*(1+FedEx_Markup),2)</f>
        <v>87.58</v>
      </c>
      <c r="D39" s="295">
        <f>ROUND((IF('F Intl Con Plus Base'!$D$120&gt;ROUND(((1-'F Intl Con Plus Base'!$D$117)*'F Intl Con Plus Base'!D36),2),ROUND('F Intl Con Plus Base'!$D$120*(1+International_Fuel_Surcharge),2),ROUND(((1-'F Intl Con Plus Base'!$D$117)*'F Intl Con Plus Base'!D36)*(1+International_Fuel_Surcharge),2)))*(1+FedEx_Markup),2)</f>
        <v>70.21</v>
      </c>
      <c r="E39" s="295">
        <f>ROUND((IF('F Intl Con Plus Base'!$E$120&gt;ROUND(((1-'F Intl Con Plus Base'!$E$117)*'F Intl Con Plus Base'!E36),2),ROUND('F Intl Con Plus Base'!$E$120*(1+International_Fuel_Surcharge),2),ROUND(((1-'F Intl Con Plus Base'!$E$117)*'F Intl Con Plus Base'!E36)*(1+International_Fuel_Surcharge),2)))*(1+FedEx_Markup),2)</f>
        <v>113.16</v>
      </c>
      <c r="F39" s="295">
        <f>ROUND((IF('F Intl Con Plus Base'!$F$120&gt;ROUND(((1-'F Intl Con Plus Base'!$F$117)*'F Intl Con Plus Base'!F36),2),ROUND('F Intl Con Plus Base'!$F$120*(1+International_Fuel_Surcharge),2),ROUND(((1-'F Intl Con Plus Base'!$F$117)*'F Intl Con Plus Base'!F36)*(1+International_Fuel_Surcharge),2)))*(1+FedEx_Markup),2)</f>
        <v>218.4</v>
      </c>
      <c r="G39" s="295">
        <f>ROUND((IF('F Intl Con Plus Base'!$G$120&gt;ROUND(((1-'F Intl Con Plus Base'!$G$117)*'F Intl Con Plus Base'!G36),2),ROUND('F Intl Con Plus Base'!$G$120*(1+International_Fuel_Surcharge),2),ROUND(((1-'F Intl Con Plus Base'!$G$117)*'F Intl Con Plus Base'!G36)*(1+International_Fuel_Surcharge),2)))*(1+FedEx_Markup),2)</f>
        <v>129.95</v>
      </c>
      <c r="H39" s="295">
        <f>ROUND((IF('F Intl Con Plus Base'!$H$120&gt;ROUND(((1-'F Intl Con Plus Base'!$H$117)*'F Intl Con Plus Base'!H36),2),ROUND('F Intl Con Plus Base'!$H$120*(1+International_Fuel_Surcharge),2),ROUND(((1-'F Intl Con Plus Base'!$H$117)*'F Intl Con Plus Base'!H36)*(1+International_Fuel_Surcharge),2)))*(1+FedEx_Markup),2)</f>
        <v>124.88</v>
      </c>
      <c r="I39" s="295">
        <f>ROUND((IF('F Intl Con Plus Base'!$I$120&gt;ROUND(((1-'F Intl Con Plus Base'!$I$117)*'F Intl Con Plus Base'!I36),2),ROUND('F Intl Con Plus Base'!$I$120*(1+International_Fuel_Surcharge),2),ROUND(((1-'F Intl Con Plus Base'!$I$117)*'F Intl Con Plus Base'!I36)*(1+International_Fuel_Surcharge),2)))*(1+FedEx_Markup),2)</f>
        <v>143.8</v>
      </c>
      <c r="J39" s="295">
        <f>ROUND((IF('F Intl Con Plus Base'!$J$120&gt;ROUND(((1-'F Intl Con Plus Base'!$J$117)*'F Intl Con Plus Base'!J36),2),ROUND('F Intl Con Plus Base'!$J$120*(1+International_Fuel_Surcharge),2),ROUND(((1-'F Intl Con Plus Base'!$J$117)*'F Intl Con Plus Base'!J36)*(1+International_Fuel_Surcharge),2)))*(1+FedEx_Markup),2)</f>
        <v>88.92</v>
      </c>
      <c r="K39" s="295">
        <f>ROUND((IF('F Intl Con Plus Base'!$K$120&gt;ROUND(((1-'F Intl Con Plus Base'!$K$117)*'F Intl Con Plus Base'!K36),2),ROUND('F Intl Con Plus Base'!$K$120*(1+International_Fuel_Surcharge),2),ROUND(((1-'F Intl Con Plus Base'!$K$117)*'F Intl Con Plus Base'!K36)*(1+International_Fuel_Surcharge),2)))*(1+FedEx_Markup),2)</f>
        <v>158.83</v>
      </c>
      <c r="L39" s="295">
        <f>ROUND((IF('F Intl Con Plus Base'!$L$120&gt;ROUND(((1-'F Intl Con Plus Base'!$L$117)*'F Intl Con Plus Base'!L36),2),ROUND('F Intl Con Plus Base'!$L$120*(1+International_Fuel_Surcharge),2),ROUND(((1-'F Intl Con Plus Base'!$L$117)*'F Intl Con Plus Base'!L36)*(1+International_Fuel_Surcharge),2)))*(1+FedEx_Markup),2)</f>
        <v>150.6</v>
      </c>
      <c r="M39" s="295">
        <f>ROUND((IF('F Intl Con Plus Base'!$M$120&gt;ROUND(((1-'F Intl Con Plus Base'!$M$117)*'F Intl Con Plus Base'!M36),2),ROUND('F Intl Con Plus Base'!$M$120*(1+International_Fuel_Surcharge),2),ROUND(((1-'F Intl Con Plus Base'!$M$117)*'F Intl Con Plus Base'!M36)*(1+International_Fuel_Surcharge),2)))*(1+FedEx_Markup),2)</f>
        <v>214.71</v>
      </c>
      <c r="N39" s="295">
        <f>ROUND((IF('F Intl Con Plus Base'!$N$120&gt;ROUND(((1-'F Intl Con Plus Base'!$N$117)*'F Intl Con Plus Base'!N36),2),ROUND('F Intl Con Plus Base'!$N$120*(1+International_Fuel_Surcharge),2),ROUND(((1-'F Intl Con Plus Base'!$N$117)*'F Intl Con Plus Base'!N36)*(1+International_Fuel_Surcharge),2)))*(1+FedEx_Markup),2)</f>
        <v>201.4</v>
      </c>
      <c r="O39" s="295">
        <f>ROUND((IF('F Intl Con Plus Base'!$O$120&gt;ROUND(((1-'F Intl Con Plus Base'!$O$117)*'F Intl Con Plus Base'!O36),2),ROUND('F Intl Con Plus Base'!$O$120*(1+International_Fuel_Surcharge),2),ROUND(((1-'F Intl Con Plus Base'!$O$117)*'F Intl Con Plus Base'!O36)*(1+International_Fuel_Surcharge),2)))*(1+FedEx_Markup),2)</f>
        <v>167.96</v>
      </c>
      <c r="P39" s="295">
        <f>ROUND((IF('F Intl Con Plus Base'!$P$120&gt;ROUND(((1-'F Intl Con Plus Base'!$P$117)*'F Intl Con Plus Base'!P36),2),ROUND('F Intl Con Plus Base'!$P$120*(1+International_Fuel_Surcharge),2),ROUND(((1-'F Intl Con Plus Base'!$P$117)*'F Intl Con Plus Base'!P36)*(1+International_Fuel_Surcharge),2)))*(1+FedEx_Markup),2)</f>
        <v>165.34</v>
      </c>
      <c r="Q39" s="138"/>
      <c r="R39" s="138"/>
      <c r="S39" s="138"/>
      <c r="T39" s="138"/>
      <c r="U39" s="138"/>
      <c r="V39" s="138"/>
      <c r="W39" s="138"/>
      <c r="X39" s="138"/>
      <c r="Y39" s="138"/>
      <c r="Z39" s="138"/>
    </row>
    <row r="40" ht="12.75" customHeight="1">
      <c r="A40" s="294">
        <v>35.0</v>
      </c>
      <c r="B40" s="295">
        <f>ROUND((IF('F Intl Con Plus Base'!$B$120&gt;ROUND(((1-'F Intl Con Plus Base'!$B$117)*'F Intl Con Plus Base'!B37),2),ROUND('F Intl Con Plus Base'!$B$120*(1+International_Fuel_Surcharge),2),ROUND(((1-'F Intl Con Plus Base'!$B$117)*'F Intl Con Plus Base'!B37)*(1+International_Fuel_Surcharge),2)))*(1+FedEx_Markup),2)</f>
        <v>74.9</v>
      </c>
      <c r="C40" s="295">
        <f>ROUND((IF('F Intl Con Plus Base'!$C$120&gt;ROUND(((1-'F Intl Con Plus Base'!$C$117)*'F Intl Con Plus Base'!C37),2),ROUND('F Intl Con Plus Base'!$C$120*(1+International_Fuel_Surcharge),2),ROUND(((1-'F Intl Con Plus Base'!$C$117)*'F Intl Con Plus Base'!C37)*(1+International_Fuel_Surcharge),2)))*(1+FedEx_Markup),2)</f>
        <v>87.98</v>
      </c>
      <c r="D40" s="295">
        <f>ROUND((IF('F Intl Con Plus Base'!$D$120&gt;ROUND(((1-'F Intl Con Plus Base'!$D$117)*'F Intl Con Plus Base'!D37),2),ROUND('F Intl Con Plus Base'!$D$120*(1+International_Fuel_Surcharge),2),ROUND(((1-'F Intl Con Plus Base'!$D$117)*'F Intl Con Plus Base'!D37)*(1+International_Fuel_Surcharge),2)))*(1+FedEx_Markup),2)</f>
        <v>70.27</v>
      </c>
      <c r="E40" s="295">
        <f>ROUND((IF('F Intl Con Plus Base'!$E$120&gt;ROUND(((1-'F Intl Con Plus Base'!$E$117)*'F Intl Con Plus Base'!E37),2),ROUND('F Intl Con Plus Base'!$E$120*(1+International_Fuel_Surcharge),2),ROUND(((1-'F Intl Con Plus Base'!$E$117)*'F Intl Con Plus Base'!E37)*(1+International_Fuel_Surcharge),2)))*(1+FedEx_Markup),2)</f>
        <v>113.21</v>
      </c>
      <c r="F40" s="295">
        <f>ROUND((IF('F Intl Con Plus Base'!$F$120&gt;ROUND(((1-'F Intl Con Plus Base'!$F$117)*'F Intl Con Plus Base'!F37),2),ROUND('F Intl Con Plus Base'!$F$120*(1+International_Fuel_Surcharge),2),ROUND(((1-'F Intl Con Plus Base'!$F$117)*'F Intl Con Plus Base'!F37)*(1+International_Fuel_Surcharge),2)))*(1+FedEx_Markup),2)</f>
        <v>218.45</v>
      </c>
      <c r="G40" s="295">
        <f>ROUND((IF('F Intl Con Plus Base'!$G$120&gt;ROUND(((1-'F Intl Con Plus Base'!$G$117)*'F Intl Con Plus Base'!G37),2),ROUND('F Intl Con Plus Base'!$G$120*(1+International_Fuel_Surcharge),2),ROUND(((1-'F Intl Con Plus Base'!$G$117)*'F Intl Con Plus Base'!G37)*(1+International_Fuel_Surcharge),2)))*(1+FedEx_Markup),2)</f>
        <v>130.84</v>
      </c>
      <c r="H40" s="295">
        <f>ROUND((IF('F Intl Con Plus Base'!$H$120&gt;ROUND(((1-'F Intl Con Plus Base'!$H$117)*'F Intl Con Plus Base'!H37),2),ROUND('F Intl Con Plus Base'!$H$120*(1+International_Fuel_Surcharge),2),ROUND(((1-'F Intl Con Plus Base'!$H$117)*'F Intl Con Plus Base'!H37)*(1+International_Fuel_Surcharge),2)))*(1+FedEx_Markup),2)</f>
        <v>125.4</v>
      </c>
      <c r="I40" s="295">
        <f>ROUND((IF('F Intl Con Plus Base'!$I$120&gt;ROUND(((1-'F Intl Con Plus Base'!$I$117)*'F Intl Con Plus Base'!I37),2),ROUND('F Intl Con Plus Base'!$I$120*(1+International_Fuel_Surcharge),2),ROUND(((1-'F Intl Con Plus Base'!$I$117)*'F Intl Con Plus Base'!I37)*(1+International_Fuel_Surcharge),2)))*(1+FedEx_Markup),2)</f>
        <v>146.29</v>
      </c>
      <c r="J40" s="295">
        <f>ROUND((IF('F Intl Con Plus Base'!$J$120&gt;ROUND(((1-'F Intl Con Plus Base'!$J$117)*'F Intl Con Plus Base'!J37),2),ROUND('F Intl Con Plus Base'!$J$120*(1+International_Fuel_Surcharge),2),ROUND(((1-'F Intl Con Plus Base'!$J$117)*'F Intl Con Plus Base'!J37)*(1+International_Fuel_Surcharge),2)))*(1+FedEx_Markup),2)</f>
        <v>89.27</v>
      </c>
      <c r="K40" s="295">
        <f>ROUND((IF('F Intl Con Plus Base'!$K$120&gt;ROUND(((1-'F Intl Con Plus Base'!$K$117)*'F Intl Con Plus Base'!K37),2),ROUND('F Intl Con Plus Base'!$K$120*(1+International_Fuel_Surcharge),2),ROUND(((1-'F Intl Con Plus Base'!$K$117)*'F Intl Con Plus Base'!K37)*(1+International_Fuel_Surcharge),2)))*(1+FedEx_Markup),2)</f>
        <v>165.36</v>
      </c>
      <c r="L40" s="295">
        <f>ROUND((IF('F Intl Con Plus Base'!$L$120&gt;ROUND(((1-'F Intl Con Plus Base'!$L$117)*'F Intl Con Plus Base'!L37),2),ROUND('F Intl Con Plus Base'!$L$120*(1+International_Fuel_Surcharge),2),ROUND(((1-'F Intl Con Plus Base'!$L$117)*'F Intl Con Plus Base'!L37)*(1+International_Fuel_Surcharge),2)))*(1+FedEx_Markup),2)</f>
        <v>150.85</v>
      </c>
      <c r="M40" s="295">
        <f>ROUND((IF('F Intl Con Plus Base'!$M$120&gt;ROUND(((1-'F Intl Con Plus Base'!$M$117)*'F Intl Con Plus Base'!M37),2),ROUND('F Intl Con Plus Base'!$M$120*(1+International_Fuel_Surcharge),2),ROUND(((1-'F Intl Con Plus Base'!$M$117)*'F Intl Con Plus Base'!M37)*(1+International_Fuel_Surcharge),2)))*(1+FedEx_Markup),2)</f>
        <v>214.76</v>
      </c>
      <c r="N40" s="295">
        <f>ROUND((IF('F Intl Con Plus Base'!$N$120&gt;ROUND(((1-'F Intl Con Plus Base'!$N$117)*'F Intl Con Plus Base'!N37),2),ROUND('F Intl Con Plus Base'!$N$120*(1+International_Fuel_Surcharge),2),ROUND(((1-'F Intl Con Plus Base'!$N$117)*'F Intl Con Plus Base'!N37)*(1+International_Fuel_Surcharge),2)))*(1+FedEx_Markup),2)</f>
        <v>201.47</v>
      </c>
      <c r="O40" s="295">
        <f>ROUND((IF('F Intl Con Plus Base'!$O$120&gt;ROUND(((1-'F Intl Con Plus Base'!$O$117)*'F Intl Con Plus Base'!O37),2),ROUND('F Intl Con Plus Base'!$O$120*(1+International_Fuel_Surcharge),2),ROUND(((1-'F Intl Con Plus Base'!$O$117)*'F Intl Con Plus Base'!O37)*(1+International_Fuel_Surcharge),2)))*(1+FedEx_Markup),2)</f>
        <v>168.52</v>
      </c>
      <c r="P40" s="295">
        <f>ROUND((IF('F Intl Con Plus Base'!$P$120&gt;ROUND(((1-'F Intl Con Plus Base'!$P$117)*'F Intl Con Plus Base'!P37),2),ROUND('F Intl Con Plus Base'!$P$120*(1+International_Fuel_Surcharge),2),ROUND(((1-'F Intl Con Plus Base'!$P$117)*'F Intl Con Plus Base'!P37)*(1+International_Fuel_Surcharge),2)))*(1+FedEx_Markup),2)</f>
        <v>166.43</v>
      </c>
      <c r="Q40" s="138"/>
      <c r="R40" s="138"/>
      <c r="S40" s="138"/>
      <c r="T40" s="138"/>
      <c r="U40" s="138"/>
      <c r="V40" s="138"/>
      <c r="W40" s="138"/>
      <c r="X40" s="138"/>
      <c r="Y40" s="138"/>
      <c r="Z40" s="138"/>
    </row>
    <row r="41" ht="12.75" customHeight="1">
      <c r="A41" s="294">
        <v>36.0</v>
      </c>
      <c r="B41" s="295">
        <f>ROUND((IF('F Intl Con Plus Base'!$B$120&gt;ROUND(((1-'F Intl Con Plus Base'!$B$117)*'F Intl Con Plus Base'!B38),2),ROUND('F Intl Con Plus Base'!$B$120*(1+International_Fuel_Surcharge),2),ROUND(((1-'F Intl Con Plus Base'!$B$117)*'F Intl Con Plus Base'!B38)*(1+International_Fuel_Surcharge),2)))*(1+FedEx_Markup),2)</f>
        <v>83.36</v>
      </c>
      <c r="C41" s="295">
        <f>ROUND((IF('F Intl Con Plus Base'!$C$120&gt;ROUND(((1-'F Intl Con Plus Base'!$C$117)*'F Intl Con Plus Base'!C38),2),ROUND('F Intl Con Plus Base'!$C$120*(1+International_Fuel_Surcharge),2),ROUND(((1-'F Intl Con Plus Base'!$C$117)*'F Intl Con Plus Base'!C38)*(1+International_Fuel_Surcharge),2)))*(1+FedEx_Markup),2)</f>
        <v>95.89</v>
      </c>
      <c r="D41" s="295">
        <f>ROUND((IF('F Intl Con Plus Base'!$D$120&gt;ROUND(((1-'F Intl Con Plus Base'!$D$117)*'F Intl Con Plus Base'!D38),2),ROUND('F Intl Con Plus Base'!$D$120*(1+International_Fuel_Surcharge),2),ROUND(((1-'F Intl Con Plus Base'!$D$117)*'F Intl Con Plus Base'!D38)*(1+International_Fuel_Surcharge),2)))*(1+FedEx_Markup),2)</f>
        <v>71.4</v>
      </c>
      <c r="E41" s="295">
        <f>ROUND((IF('F Intl Con Plus Base'!$E$120&gt;ROUND(((1-'F Intl Con Plus Base'!$E$117)*'F Intl Con Plus Base'!E38),2),ROUND('F Intl Con Plus Base'!$E$120*(1+International_Fuel_Surcharge),2),ROUND(((1-'F Intl Con Plus Base'!$E$117)*'F Intl Con Plus Base'!E38)*(1+International_Fuel_Surcharge),2)))*(1+FedEx_Markup),2)</f>
        <v>113.28</v>
      </c>
      <c r="F41" s="295">
        <f>ROUND((IF('F Intl Con Plus Base'!$F$120&gt;ROUND(((1-'F Intl Con Plus Base'!$F$117)*'F Intl Con Plus Base'!F38),2),ROUND('F Intl Con Plus Base'!$F$120*(1+International_Fuel_Surcharge),2),ROUND(((1-'F Intl Con Plus Base'!$F$117)*'F Intl Con Plus Base'!F38)*(1+International_Fuel_Surcharge),2)))*(1+FedEx_Markup),2)</f>
        <v>218.5</v>
      </c>
      <c r="G41" s="295">
        <f>ROUND((IF('F Intl Con Plus Base'!$G$120&gt;ROUND(((1-'F Intl Con Plus Base'!$G$117)*'F Intl Con Plus Base'!G38),2),ROUND('F Intl Con Plus Base'!$G$120*(1+International_Fuel_Surcharge),2),ROUND(((1-'F Intl Con Plus Base'!$G$117)*'F Intl Con Plus Base'!G38)*(1+International_Fuel_Surcharge),2)))*(1+FedEx_Markup),2)</f>
        <v>130.92</v>
      </c>
      <c r="H41" s="295">
        <f>ROUND((IF('F Intl Con Plus Base'!$H$120&gt;ROUND(((1-'F Intl Con Plus Base'!$H$117)*'F Intl Con Plus Base'!H38),2),ROUND('F Intl Con Plus Base'!$H$120*(1+International_Fuel_Surcharge),2),ROUND(((1-'F Intl Con Plus Base'!$H$117)*'F Intl Con Plus Base'!H38)*(1+International_Fuel_Surcharge),2)))*(1+FedEx_Markup),2)</f>
        <v>135.88</v>
      </c>
      <c r="I41" s="295">
        <f>ROUND((IF('F Intl Con Plus Base'!$I$120&gt;ROUND(((1-'F Intl Con Plus Base'!$I$117)*'F Intl Con Plus Base'!I38),2),ROUND('F Intl Con Plus Base'!$I$120*(1+International_Fuel_Surcharge),2),ROUND(((1-'F Intl Con Plus Base'!$I$117)*'F Intl Con Plus Base'!I38)*(1+International_Fuel_Surcharge),2)))*(1+FedEx_Markup),2)</f>
        <v>151.83</v>
      </c>
      <c r="J41" s="295">
        <f>ROUND((IF('F Intl Con Plus Base'!$J$120&gt;ROUND(((1-'F Intl Con Plus Base'!$J$117)*'F Intl Con Plus Base'!J38),2),ROUND('F Intl Con Plus Base'!$J$120*(1+International_Fuel_Surcharge),2),ROUND(((1-'F Intl Con Plus Base'!$J$117)*'F Intl Con Plus Base'!J38)*(1+International_Fuel_Surcharge),2)))*(1+FedEx_Markup),2)</f>
        <v>89.33</v>
      </c>
      <c r="K41" s="295">
        <f>ROUND((IF('F Intl Con Plus Base'!$K$120&gt;ROUND(((1-'F Intl Con Plus Base'!$K$117)*'F Intl Con Plus Base'!K38),2),ROUND('F Intl Con Plus Base'!$K$120*(1+International_Fuel_Surcharge),2),ROUND(((1-'F Intl Con Plus Base'!$K$117)*'F Intl Con Plus Base'!K38)*(1+International_Fuel_Surcharge),2)))*(1+FedEx_Markup),2)</f>
        <v>196.95</v>
      </c>
      <c r="L41" s="295">
        <f>ROUND((IF('F Intl Con Plus Base'!$L$120&gt;ROUND(((1-'F Intl Con Plus Base'!$L$117)*'F Intl Con Plus Base'!L38),2),ROUND('F Intl Con Plus Base'!$L$120*(1+International_Fuel_Surcharge),2),ROUND(((1-'F Intl Con Plus Base'!$L$117)*'F Intl Con Plus Base'!L38)*(1+International_Fuel_Surcharge),2)))*(1+FedEx_Markup),2)</f>
        <v>155.7</v>
      </c>
      <c r="M41" s="295">
        <f>ROUND((IF('F Intl Con Plus Base'!$M$120&gt;ROUND(((1-'F Intl Con Plus Base'!$M$117)*'F Intl Con Plus Base'!M38),2),ROUND('F Intl Con Plus Base'!$M$120*(1+International_Fuel_Surcharge),2),ROUND(((1-'F Intl Con Plus Base'!$M$117)*'F Intl Con Plus Base'!M38)*(1+International_Fuel_Surcharge),2)))*(1+FedEx_Markup),2)</f>
        <v>215.15</v>
      </c>
      <c r="N41" s="295">
        <f>ROUND((IF('F Intl Con Plus Base'!$N$120&gt;ROUND(((1-'F Intl Con Plus Base'!$N$117)*'F Intl Con Plus Base'!N38),2),ROUND('F Intl Con Plus Base'!$N$120*(1+International_Fuel_Surcharge),2),ROUND(((1-'F Intl Con Plus Base'!$N$117)*'F Intl Con Plus Base'!N38)*(1+International_Fuel_Surcharge),2)))*(1+FedEx_Markup),2)</f>
        <v>201.54</v>
      </c>
      <c r="O41" s="295">
        <f>ROUND((IF('F Intl Con Plus Base'!$O$120&gt;ROUND(((1-'F Intl Con Plus Base'!$O$117)*'F Intl Con Plus Base'!O38),2),ROUND('F Intl Con Plus Base'!$O$120*(1+International_Fuel_Surcharge),2),ROUND(((1-'F Intl Con Plus Base'!$O$117)*'F Intl Con Plus Base'!O38)*(1+International_Fuel_Surcharge),2)))*(1+FedEx_Markup),2)</f>
        <v>179.95</v>
      </c>
      <c r="P41" s="295">
        <f>ROUND((IF('F Intl Con Plus Base'!$P$120&gt;ROUND(((1-'F Intl Con Plus Base'!$P$117)*'F Intl Con Plus Base'!P38),2),ROUND('F Intl Con Plus Base'!$P$120*(1+International_Fuel_Surcharge),2),ROUND(((1-'F Intl Con Plus Base'!$P$117)*'F Intl Con Plus Base'!P38)*(1+International_Fuel_Surcharge),2)))*(1+FedEx_Markup),2)</f>
        <v>166.55</v>
      </c>
      <c r="Q41" s="138"/>
      <c r="R41" s="138"/>
      <c r="S41" s="138"/>
      <c r="T41" s="138"/>
      <c r="U41" s="138"/>
      <c r="V41" s="138"/>
      <c r="W41" s="138"/>
      <c r="X41" s="138"/>
      <c r="Y41" s="138"/>
      <c r="Z41" s="138"/>
    </row>
    <row r="42" ht="12.75" customHeight="1">
      <c r="A42" s="294">
        <v>37.0</v>
      </c>
      <c r="B42" s="295">
        <f>ROUND((IF('F Intl Con Plus Base'!$B$120&gt;ROUND(((1-'F Intl Con Plus Base'!$B$117)*'F Intl Con Plus Base'!B39),2),ROUND('F Intl Con Plus Base'!$B$120*(1+International_Fuel_Surcharge),2),ROUND(((1-'F Intl Con Plus Base'!$B$117)*'F Intl Con Plus Base'!B39)*(1+International_Fuel_Surcharge),2)))*(1+FedEx_Markup),2)</f>
        <v>84.21</v>
      </c>
      <c r="C42" s="295">
        <f>ROUND((IF('F Intl Con Plus Base'!$C$120&gt;ROUND(((1-'F Intl Con Plus Base'!$C$117)*'F Intl Con Plus Base'!C39),2),ROUND('F Intl Con Plus Base'!$C$120*(1+International_Fuel_Surcharge),2),ROUND(((1-'F Intl Con Plus Base'!$C$117)*'F Intl Con Plus Base'!C39)*(1+International_Fuel_Surcharge),2)))*(1+FedEx_Markup),2)</f>
        <v>97.7</v>
      </c>
      <c r="D42" s="295">
        <f>ROUND((IF('F Intl Con Plus Base'!$D$120&gt;ROUND(((1-'F Intl Con Plus Base'!$D$117)*'F Intl Con Plus Base'!D39),2),ROUND('F Intl Con Plus Base'!$D$120*(1+International_Fuel_Surcharge),2),ROUND(((1-'F Intl Con Plus Base'!$D$117)*'F Intl Con Plus Base'!D39)*(1+International_Fuel_Surcharge),2)))*(1+FedEx_Markup),2)</f>
        <v>72.34</v>
      </c>
      <c r="E42" s="295">
        <f>ROUND((IF('F Intl Con Plus Base'!$E$120&gt;ROUND(((1-'F Intl Con Plus Base'!$E$117)*'F Intl Con Plus Base'!E39),2),ROUND('F Intl Con Plus Base'!$E$120*(1+International_Fuel_Surcharge),2),ROUND(((1-'F Intl Con Plus Base'!$E$117)*'F Intl Con Plus Base'!E39)*(1+International_Fuel_Surcharge),2)))*(1+FedEx_Markup),2)</f>
        <v>113.72</v>
      </c>
      <c r="F42" s="295">
        <f>ROUND((IF('F Intl Con Plus Base'!$F$120&gt;ROUND(((1-'F Intl Con Plus Base'!$F$117)*'F Intl Con Plus Base'!F39),2),ROUND('F Intl Con Plus Base'!$F$120*(1+International_Fuel_Surcharge),2),ROUND(((1-'F Intl Con Plus Base'!$F$117)*'F Intl Con Plus Base'!F39)*(1+International_Fuel_Surcharge),2)))*(1+FedEx_Markup),2)</f>
        <v>218.56</v>
      </c>
      <c r="G42" s="295">
        <f>ROUND((IF('F Intl Con Plus Base'!$G$120&gt;ROUND(((1-'F Intl Con Plus Base'!$G$117)*'F Intl Con Plus Base'!G39),2),ROUND('F Intl Con Plus Base'!$G$120*(1+International_Fuel_Surcharge),2),ROUND(((1-'F Intl Con Plus Base'!$G$117)*'F Intl Con Plus Base'!G39)*(1+International_Fuel_Surcharge),2)))*(1+FedEx_Markup),2)</f>
        <v>130.99</v>
      </c>
      <c r="H42" s="295">
        <f>ROUND((IF('F Intl Con Plus Base'!$H$120&gt;ROUND(((1-'F Intl Con Plus Base'!$H$117)*'F Intl Con Plus Base'!H39),2),ROUND('F Intl Con Plus Base'!$H$120*(1+International_Fuel_Surcharge),2),ROUND(((1-'F Intl Con Plus Base'!$H$117)*'F Intl Con Plus Base'!H39)*(1+International_Fuel_Surcharge),2)))*(1+FedEx_Markup),2)</f>
        <v>136.94</v>
      </c>
      <c r="I42" s="295">
        <f>ROUND((IF('F Intl Con Plus Base'!$I$120&gt;ROUND(((1-'F Intl Con Plus Base'!$I$117)*'F Intl Con Plus Base'!I39),2),ROUND('F Intl Con Plus Base'!$I$120*(1+International_Fuel_Surcharge),2),ROUND(((1-'F Intl Con Plus Base'!$I$117)*'F Intl Con Plus Base'!I39)*(1+International_Fuel_Surcharge),2)))*(1+FedEx_Markup),2)</f>
        <v>152.57</v>
      </c>
      <c r="J42" s="295">
        <f>ROUND((IF('F Intl Con Plus Base'!$J$120&gt;ROUND(((1-'F Intl Con Plus Base'!$J$117)*'F Intl Con Plus Base'!J39),2),ROUND('F Intl Con Plus Base'!$J$120*(1+International_Fuel_Surcharge),2),ROUND(((1-'F Intl Con Plus Base'!$J$117)*'F Intl Con Plus Base'!J39)*(1+International_Fuel_Surcharge),2)))*(1+FedEx_Markup),2)</f>
        <v>89.47</v>
      </c>
      <c r="K42" s="295">
        <f>ROUND((IF('F Intl Con Plus Base'!$K$120&gt;ROUND(((1-'F Intl Con Plus Base'!$K$117)*'F Intl Con Plus Base'!K39),2),ROUND('F Intl Con Plus Base'!$K$120*(1+International_Fuel_Surcharge),2),ROUND(((1-'F Intl Con Plus Base'!$K$117)*'F Intl Con Plus Base'!K39)*(1+International_Fuel_Surcharge),2)))*(1+FedEx_Markup),2)</f>
        <v>200.11</v>
      </c>
      <c r="L42" s="295">
        <f>ROUND((IF('F Intl Con Plus Base'!$L$120&gt;ROUND(((1-'F Intl Con Plus Base'!$L$117)*'F Intl Con Plus Base'!L39),2),ROUND('F Intl Con Plus Base'!$L$120*(1+International_Fuel_Surcharge),2),ROUND(((1-'F Intl Con Plus Base'!$L$117)*'F Intl Con Plus Base'!L39)*(1+International_Fuel_Surcharge),2)))*(1+FedEx_Markup),2)</f>
        <v>156.18</v>
      </c>
      <c r="M42" s="295">
        <f>ROUND((IF('F Intl Con Plus Base'!$M$120&gt;ROUND(((1-'F Intl Con Plus Base'!$M$117)*'F Intl Con Plus Base'!M39),2),ROUND('F Intl Con Plus Base'!$M$120*(1+International_Fuel_Surcharge),2),ROUND(((1-'F Intl Con Plus Base'!$M$117)*'F Intl Con Plus Base'!M39)*(1+International_Fuel_Surcharge),2)))*(1+FedEx_Markup),2)</f>
        <v>215.56</v>
      </c>
      <c r="N42" s="295">
        <f>ROUND((IF('F Intl Con Plus Base'!$N$120&gt;ROUND(((1-'F Intl Con Plus Base'!$N$117)*'F Intl Con Plus Base'!N39),2),ROUND('F Intl Con Plus Base'!$N$120*(1+International_Fuel_Surcharge),2),ROUND(((1-'F Intl Con Plus Base'!$N$117)*'F Intl Con Plus Base'!N39)*(1+International_Fuel_Surcharge),2)))*(1+FedEx_Markup),2)</f>
        <v>202.27</v>
      </c>
      <c r="O42" s="295">
        <f>ROUND((IF('F Intl Con Plus Base'!$O$120&gt;ROUND(((1-'F Intl Con Plus Base'!$O$117)*'F Intl Con Plus Base'!O39),2),ROUND('F Intl Con Plus Base'!$O$120*(1+International_Fuel_Surcharge),2),ROUND(((1-'F Intl Con Plus Base'!$O$117)*'F Intl Con Plus Base'!O39)*(1+International_Fuel_Surcharge),2)))*(1+FedEx_Markup),2)</f>
        <v>181.11</v>
      </c>
      <c r="P42" s="295">
        <f>ROUND((IF('F Intl Con Plus Base'!$P$120&gt;ROUND(((1-'F Intl Con Plus Base'!$P$117)*'F Intl Con Plus Base'!P39),2),ROUND('F Intl Con Plus Base'!$P$120*(1+International_Fuel_Surcharge),2),ROUND(((1-'F Intl Con Plus Base'!$P$117)*'F Intl Con Plus Base'!P39)*(1+International_Fuel_Surcharge),2)))*(1+FedEx_Markup),2)</f>
        <v>169.18</v>
      </c>
      <c r="Q42" s="138"/>
      <c r="R42" s="138"/>
      <c r="S42" s="138"/>
      <c r="T42" s="138"/>
      <c r="U42" s="138"/>
      <c r="V42" s="138"/>
      <c r="W42" s="138"/>
      <c r="X42" s="138"/>
      <c r="Y42" s="138"/>
      <c r="Z42" s="138"/>
    </row>
    <row r="43" ht="12.75" customHeight="1">
      <c r="A43" s="294">
        <v>38.0</v>
      </c>
      <c r="B43" s="295">
        <f>ROUND((IF('F Intl Con Plus Base'!$B$120&gt;ROUND(((1-'F Intl Con Plus Base'!$B$117)*'F Intl Con Plus Base'!B40),2),ROUND('F Intl Con Plus Base'!$B$120*(1+International_Fuel_Surcharge),2),ROUND(((1-'F Intl Con Plus Base'!$B$117)*'F Intl Con Plus Base'!B40)*(1+International_Fuel_Surcharge),2)))*(1+FedEx_Markup),2)</f>
        <v>86.63</v>
      </c>
      <c r="C43" s="295">
        <f>ROUND((IF('F Intl Con Plus Base'!$C$120&gt;ROUND(((1-'F Intl Con Plus Base'!$C$117)*'F Intl Con Plus Base'!C40),2),ROUND('F Intl Con Plus Base'!$C$120*(1+International_Fuel_Surcharge),2),ROUND(((1-'F Intl Con Plus Base'!$C$117)*'F Intl Con Plus Base'!C40)*(1+International_Fuel_Surcharge),2)))*(1+FedEx_Markup),2)</f>
        <v>99.52</v>
      </c>
      <c r="D43" s="295">
        <f>ROUND((IF('F Intl Con Plus Base'!$D$120&gt;ROUND(((1-'F Intl Con Plus Base'!$D$117)*'F Intl Con Plus Base'!D40),2),ROUND('F Intl Con Plus Base'!$D$120*(1+International_Fuel_Surcharge),2),ROUND(((1-'F Intl Con Plus Base'!$D$117)*'F Intl Con Plus Base'!D40)*(1+International_Fuel_Surcharge),2)))*(1+FedEx_Markup),2)</f>
        <v>72.43</v>
      </c>
      <c r="E43" s="295">
        <f>ROUND((IF('F Intl Con Plus Base'!$E$120&gt;ROUND(((1-'F Intl Con Plus Base'!$E$117)*'F Intl Con Plus Base'!E40),2),ROUND('F Intl Con Plus Base'!$E$120*(1+International_Fuel_Surcharge),2),ROUND(((1-'F Intl Con Plus Base'!$E$117)*'F Intl Con Plus Base'!E40)*(1+International_Fuel_Surcharge),2)))*(1+FedEx_Markup),2)</f>
        <v>116</v>
      </c>
      <c r="F43" s="295">
        <f>ROUND((IF('F Intl Con Plus Base'!$F$120&gt;ROUND(((1-'F Intl Con Plus Base'!$F$117)*'F Intl Con Plus Base'!F40),2),ROUND('F Intl Con Plus Base'!$F$120*(1+International_Fuel_Surcharge),2),ROUND(((1-'F Intl Con Plus Base'!$F$117)*'F Intl Con Plus Base'!F40)*(1+International_Fuel_Surcharge),2)))*(1+FedEx_Markup),2)</f>
        <v>218.64</v>
      </c>
      <c r="G43" s="295">
        <f>ROUND((IF('F Intl Con Plus Base'!$G$120&gt;ROUND(((1-'F Intl Con Plus Base'!$G$117)*'F Intl Con Plus Base'!G40),2),ROUND('F Intl Con Plus Base'!$G$120*(1+International_Fuel_Surcharge),2),ROUND(((1-'F Intl Con Plus Base'!$G$117)*'F Intl Con Plus Base'!G40)*(1+International_Fuel_Surcharge),2)))*(1+FedEx_Markup),2)</f>
        <v>131.07</v>
      </c>
      <c r="H43" s="295">
        <f>ROUND((IF('F Intl Con Plus Base'!$H$120&gt;ROUND(((1-'F Intl Con Plus Base'!$H$117)*'F Intl Con Plus Base'!H40),2),ROUND('F Intl Con Plus Base'!$H$120*(1+International_Fuel_Surcharge),2),ROUND(((1-'F Intl Con Plus Base'!$H$117)*'F Intl Con Plus Base'!H40)*(1+International_Fuel_Surcharge),2)))*(1+FedEx_Markup),2)</f>
        <v>139.31</v>
      </c>
      <c r="I43" s="295">
        <f>ROUND((IF('F Intl Con Plus Base'!$I$120&gt;ROUND(((1-'F Intl Con Plus Base'!$I$117)*'F Intl Con Plus Base'!I40),2),ROUND('F Intl Con Plus Base'!$I$120*(1+International_Fuel_Surcharge),2),ROUND(((1-'F Intl Con Plus Base'!$I$117)*'F Intl Con Plus Base'!I40)*(1+International_Fuel_Surcharge),2)))*(1+FedEx_Markup),2)</f>
        <v>152.89</v>
      </c>
      <c r="J43" s="295">
        <f>ROUND((IF('F Intl Con Plus Base'!$J$120&gt;ROUND(((1-'F Intl Con Plus Base'!$J$117)*'F Intl Con Plus Base'!J40),2),ROUND('F Intl Con Plus Base'!$J$120*(1+International_Fuel_Surcharge),2),ROUND(((1-'F Intl Con Plus Base'!$J$117)*'F Intl Con Plus Base'!J40)*(1+International_Fuel_Surcharge),2)))*(1+FedEx_Markup),2)</f>
        <v>89.52</v>
      </c>
      <c r="K43" s="295">
        <f>ROUND((IF('F Intl Con Plus Base'!$K$120&gt;ROUND(((1-'F Intl Con Plus Base'!$K$117)*'F Intl Con Plus Base'!K40),2),ROUND('F Intl Con Plus Base'!$K$120*(1+International_Fuel_Surcharge),2),ROUND(((1-'F Intl Con Plus Base'!$K$117)*'F Intl Con Plus Base'!K40)*(1+International_Fuel_Surcharge),2)))*(1+FedEx_Markup),2)</f>
        <v>206.71</v>
      </c>
      <c r="L43" s="295">
        <f>ROUND((IF('F Intl Con Plus Base'!$L$120&gt;ROUND(((1-'F Intl Con Plus Base'!$L$117)*'F Intl Con Plus Base'!L40),2),ROUND('F Intl Con Plus Base'!$L$120*(1+International_Fuel_Surcharge),2),ROUND(((1-'F Intl Con Plus Base'!$L$117)*'F Intl Con Plus Base'!L40)*(1+International_Fuel_Surcharge),2)))*(1+FedEx_Markup),2)</f>
        <v>159.87</v>
      </c>
      <c r="M43" s="295">
        <f>ROUND((IF('F Intl Con Plus Base'!$M$120&gt;ROUND(((1-'F Intl Con Plus Base'!$M$117)*'F Intl Con Plus Base'!M40),2),ROUND('F Intl Con Plus Base'!$M$120*(1+International_Fuel_Surcharge),2),ROUND(((1-'F Intl Con Plus Base'!$M$117)*'F Intl Con Plus Base'!M40)*(1+International_Fuel_Surcharge),2)))*(1+FedEx_Markup),2)</f>
        <v>223.62</v>
      </c>
      <c r="N43" s="295">
        <f>ROUND((IF('F Intl Con Plus Base'!$N$120&gt;ROUND(((1-'F Intl Con Plus Base'!$N$117)*'F Intl Con Plus Base'!N40),2),ROUND('F Intl Con Plus Base'!$N$120*(1+International_Fuel_Surcharge),2),ROUND(((1-'F Intl Con Plus Base'!$N$117)*'F Intl Con Plus Base'!N40)*(1+International_Fuel_Surcharge),2)))*(1+FedEx_Markup),2)</f>
        <v>206.63</v>
      </c>
      <c r="O43" s="295">
        <f>ROUND((IF('F Intl Con Plus Base'!$O$120&gt;ROUND(((1-'F Intl Con Plus Base'!$O$117)*'F Intl Con Plus Base'!O40),2),ROUND('F Intl Con Plus Base'!$O$120*(1+International_Fuel_Surcharge),2),ROUND(((1-'F Intl Con Plus Base'!$O$117)*'F Intl Con Plus Base'!O40)*(1+International_Fuel_Surcharge),2)))*(1+FedEx_Markup),2)</f>
        <v>181.24</v>
      </c>
      <c r="P43" s="295">
        <f>ROUND((IF('F Intl Con Plus Base'!$P$120&gt;ROUND(((1-'F Intl Con Plus Base'!$P$117)*'F Intl Con Plus Base'!P40),2),ROUND('F Intl Con Plus Base'!$P$120*(1+International_Fuel_Surcharge),2),ROUND(((1-'F Intl Con Plus Base'!$P$117)*'F Intl Con Plus Base'!P40)*(1+International_Fuel_Surcharge),2)))*(1+FedEx_Markup),2)</f>
        <v>171.61</v>
      </c>
      <c r="Q43" s="138"/>
      <c r="R43" s="138"/>
      <c r="S43" s="138"/>
      <c r="T43" s="138"/>
      <c r="U43" s="138"/>
      <c r="V43" s="138"/>
      <c r="W43" s="138"/>
      <c r="X43" s="138"/>
      <c r="Y43" s="138"/>
      <c r="Z43" s="138"/>
    </row>
    <row r="44" ht="12.75" customHeight="1">
      <c r="A44" s="294">
        <v>39.0</v>
      </c>
      <c r="B44" s="295">
        <f>ROUND((IF('F Intl Con Plus Base'!$B$120&gt;ROUND(((1-'F Intl Con Plus Base'!$B$117)*'F Intl Con Plus Base'!B41),2),ROUND('F Intl Con Plus Base'!$B$120*(1+International_Fuel_Surcharge),2),ROUND(((1-'F Intl Con Plus Base'!$B$117)*'F Intl Con Plus Base'!B41)*(1+International_Fuel_Surcharge),2)))*(1+FedEx_Markup),2)</f>
        <v>88.26</v>
      </c>
      <c r="C44" s="295">
        <f>ROUND((IF('F Intl Con Plus Base'!$C$120&gt;ROUND(((1-'F Intl Con Plus Base'!$C$117)*'F Intl Con Plus Base'!C41),2),ROUND('F Intl Con Plus Base'!$C$120*(1+International_Fuel_Surcharge),2),ROUND(((1-'F Intl Con Plus Base'!$C$117)*'F Intl Con Plus Base'!C41)*(1+International_Fuel_Surcharge),2)))*(1+FedEx_Markup),2)</f>
        <v>101.34</v>
      </c>
      <c r="D44" s="295">
        <f>ROUND((IF('F Intl Con Plus Base'!$D$120&gt;ROUND(((1-'F Intl Con Plus Base'!$D$117)*'F Intl Con Plus Base'!D41),2),ROUND('F Intl Con Plus Base'!$D$120*(1+International_Fuel_Surcharge),2),ROUND(((1-'F Intl Con Plus Base'!$D$117)*'F Intl Con Plus Base'!D41)*(1+International_Fuel_Surcharge),2)))*(1+FedEx_Markup),2)</f>
        <v>72.91</v>
      </c>
      <c r="E44" s="295">
        <f>ROUND((IF('F Intl Con Plus Base'!$E$120&gt;ROUND(((1-'F Intl Con Plus Base'!$E$117)*'F Intl Con Plus Base'!E41),2),ROUND('F Intl Con Plus Base'!$E$120*(1+International_Fuel_Surcharge),2),ROUND(((1-'F Intl Con Plus Base'!$E$117)*'F Intl Con Plus Base'!E41)*(1+International_Fuel_Surcharge),2)))*(1+FedEx_Markup),2)</f>
        <v>128.05</v>
      </c>
      <c r="F44" s="295">
        <f>ROUND((IF('F Intl Con Plus Base'!$F$120&gt;ROUND(((1-'F Intl Con Plus Base'!$F$117)*'F Intl Con Plus Base'!F41),2),ROUND('F Intl Con Plus Base'!$F$120*(1+International_Fuel_Surcharge),2),ROUND(((1-'F Intl Con Plus Base'!$F$117)*'F Intl Con Plus Base'!F41)*(1+International_Fuel_Surcharge),2)))*(1+FedEx_Markup),2)</f>
        <v>220.27</v>
      </c>
      <c r="G44" s="295">
        <f>ROUND((IF('F Intl Con Plus Base'!$G$120&gt;ROUND(((1-'F Intl Con Plus Base'!$G$117)*'F Intl Con Plus Base'!G41),2),ROUND('F Intl Con Plus Base'!$G$120*(1+International_Fuel_Surcharge),2),ROUND(((1-'F Intl Con Plus Base'!$G$117)*'F Intl Con Plus Base'!G41)*(1+International_Fuel_Surcharge),2)))*(1+FedEx_Markup),2)</f>
        <v>131.12</v>
      </c>
      <c r="H44" s="295">
        <f>ROUND((IF('F Intl Con Plus Base'!$H$120&gt;ROUND(((1-'F Intl Con Plus Base'!$H$117)*'F Intl Con Plus Base'!H41),2),ROUND('F Intl Con Plus Base'!$H$120*(1+International_Fuel_Surcharge),2),ROUND(((1-'F Intl Con Plus Base'!$H$117)*'F Intl Con Plus Base'!H41)*(1+International_Fuel_Surcharge),2)))*(1+FedEx_Markup),2)</f>
        <v>141.23</v>
      </c>
      <c r="I44" s="295">
        <f>ROUND((IF('F Intl Con Plus Base'!$I$120&gt;ROUND(((1-'F Intl Con Plus Base'!$I$117)*'F Intl Con Plus Base'!I41),2),ROUND('F Intl Con Plus Base'!$I$120*(1+International_Fuel_Surcharge),2),ROUND(((1-'F Intl Con Plus Base'!$I$117)*'F Intl Con Plus Base'!I41)*(1+International_Fuel_Surcharge),2)))*(1+FedEx_Markup),2)</f>
        <v>159.17</v>
      </c>
      <c r="J44" s="295">
        <f>ROUND((IF('F Intl Con Plus Base'!$J$120&gt;ROUND(((1-'F Intl Con Plus Base'!$J$117)*'F Intl Con Plus Base'!J41),2),ROUND('F Intl Con Plus Base'!$J$120*(1+International_Fuel_Surcharge),2),ROUND(((1-'F Intl Con Plus Base'!$J$117)*'F Intl Con Plus Base'!J41)*(1+International_Fuel_Surcharge),2)))*(1+FedEx_Markup),2)</f>
        <v>89.94</v>
      </c>
      <c r="K44" s="295">
        <f>ROUND((IF('F Intl Con Plus Base'!$K$120&gt;ROUND(((1-'F Intl Con Plus Base'!$K$117)*'F Intl Con Plus Base'!K41),2),ROUND('F Intl Con Plus Base'!$K$120*(1+International_Fuel_Surcharge),2),ROUND(((1-'F Intl Con Plus Base'!$K$117)*'F Intl Con Plus Base'!K41)*(1+International_Fuel_Surcharge),2)))*(1+FedEx_Markup),2)</f>
        <v>212.52</v>
      </c>
      <c r="L44" s="295">
        <f>ROUND((IF('F Intl Con Plus Base'!$L$120&gt;ROUND(((1-'F Intl Con Plus Base'!$L$117)*'F Intl Con Plus Base'!L41),2),ROUND('F Intl Con Plus Base'!$L$120*(1+International_Fuel_Surcharge),2),ROUND(((1-'F Intl Con Plus Base'!$L$117)*'F Intl Con Plus Base'!L41)*(1+International_Fuel_Surcharge),2)))*(1+FedEx_Markup),2)</f>
        <v>174.69</v>
      </c>
      <c r="M44" s="295">
        <f>ROUND((IF('F Intl Con Plus Base'!$M$120&gt;ROUND(((1-'F Intl Con Plus Base'!$M$117)*'F Intl Con Plus Base'!M41),2),ROUND('F Intl Con Plus Base'!$M$120*(1+International_Fuel_Surcharge),2),ROUND(((1-'F Intl Con Plus Base'!$M$117)*'F Intl Con Plus Base'!M41)*(1+International_Fuel_Surcharge),2)))*(1+FedEx_Markup),2)</f>
        <v>246.31</v>
      </c>
      <c r="N44" s="295">
        <f>ROUND((IF('F Intl Con Plus Base'!$N$120&gt;ROUND(((1-'F Intl Con Plus Base'!$N$117)*'F Intl Con Plus Base'!N41),2),ROUND('F Intl Con Plus Base'!$N$120*(1+International_Fuel_Surcharge),2),ROUND(((1-'F Intl Con Plus Base'!$N$117)*'F Intl Con Plus Base'!N41)*(1+International_Fuel_Surcharge),2)))*(1+FedEx_Markup),2)</f>
        <v>212.34</v>
      </c>
      <c r="O44" s="295">
        <f>ROUND((IF('F Intl Con Plus Base'!$O$120&gt;ROUND(((1-'F Intl Con Plus Base'!$O$117)*'F Intl Con Plus Base'!O41),2),ROUND('F Intl Con Plus Base'!$O$120*(1+International_Fuel_Surcharge),2),ROUND(((1-'F Intl Con Plus Base'!$O$117)*'F Intl Con Plus Base'!O41)*(1+International_Fuel_Surcharge),2)))*(1+FedEx_Markup),2)</f>
        <v>181.29</v>
      </c>
      <c r="P44" s="295">
        <f>ROUND((IF('F Intl Con Plus Base'!$P$120&gt;ROUND(((1-'F Intl Con Plus Base'!$P$117)*'F Intl Con Plus Base'!P41),2),ROUND('F Intl Con Plus Base'!$P$120*(1+International_Fuel_Surcharge),2),ROUND(((1-'F Intl Con Plus Base'!$P$117)*'F Intl Con Plus Base'!P41)*(1+International_Fuel_Surcharge),2)))*(1+FedEx_Markup),2)</f>
        <v>179.19</v>
      </c>
      <c r="Q44" s="138"/>
      <c r="R44" s="138"/>
      <c r="S44" s="138"/>
      <c r="T44" s="138"/>
      <c r="U44" s="138"/>
      <c r="V44" s="138"/>
      <c r="W44" s="138"/>
      <c r="X44" s="138"/>
      <c r="Y44" s="138"/>
      <c r="Z44" s="138"/>
    </row>
    <row r="45" ht="12.75" customHeight="1">
      <c r="A45" s="294">
        <v>40.0</v>
      </c>
      <c r="B45" s="295">
        <f>ROUND((IF('F Intl Con Plus Base'!$B$120&gt;ROUND(((1-'F Intl Con Plus Base'!$B$117)*'F Intl Con Plus Base'!B42),2),ROUND('F Intl Con Plus Base'!$B$120*(1+International_Fuel_Surcharge),2),ROUND(((1-'F Intl Con Plus Base'!$B$117)*'F Intl Con Plus Base'!B42)*(1+International_Fuel_Surcharge),2)))*(1+FedEx_Markup),2)</f>
        <v>89.9</v>
      </c>
      <c r="C45" s="295">
        <f>ROUND((IF('F Intl Con Plus Base'!$C$120&gt;ROUND(((1-'F Intl Con Plus Base'!$C$117)*'F Intl Con Plus Base'!C42),2),ROUND('F Intl Con Plus Base'!$C$120*(1+International_Fuel_Surcharge),2),ROUND(((1-'F Intl Con Plus Base'!$C$117)*'F Intl Con Plus Base'!C42)*(1+International_Fuel_Surcharge),2)))*(1+FedEx_Markup),2)</f>
        <v>104.09</v>
      </c>
      <c r="D45" s="295">
        <f>ROUND((IF('F Intl Con Plus Base'!$D$120&gt;ROUND(((1-'F Intl Con Plus Base'!$D$117)*'F Intl Con Plus Base'!D42),2),ROUND('F Intl Con Plus Base'!$D$120*(1+International_Fuel_Surcharge),2),ROUND(((1-'F Intl Con Plus Base'!$D$117)*'F Intl Con Plus Base'!D42)*(1+International_Fuel_Surcharge),2)))*(1+FedEx_Markup),2)</f>
        <v>72.97</v>
      </c>
      <c r="E45" s="295">
        <f>ROUND((IF('F Intl Con Plus Base'!$E$120&gt;ROUND(((1-'F Intl Con Plus Base'!$E$117)*'F Intl Con Plus Base'!E42),2),ROUND('F Intl Con Plus Base'!$E$120*(1+International_Fuel_Surcharge),2),ROUND(((1-'F Intl Con Plus Base'!$E$117)*'F Intl Con Plus Base'!E42)*(1+International_Fuel_Surcharge),2)))*(1+FedEx_Markup),2)</f>
        <v>129.26</v>
      </c>
      <c r="F45" s="295">
        <f>ROUND((IF('F Intl Con Plus Base'!$F$120&gt;ROUND(((1-'F Intl Con Plus Base'!$F$117)*'F Intl Con Plus Base'!F42),2),ROUND('F Intl Con Plus Base'!$F$120*(1+International_Fuel_Surcharge),2),ROUND(((1-'F Intl Con Plus Base'!$F$117)*'F Intl Con Plus Base'!F42)*(1+International_Fuel_Surcharge),2)))*(1+FedEx_Markup),2)</f>
        <v>252.78</v>
      </c>
      <c r="G45" s="295">
        <f>ROUND((IF('F Intl Con Plus Base'!$G$120&gt;ROUND(((1-'F Intl Con Plus Base'!$G$117)*'F Intl Con Plus Base'!G42),2),ROUND('F Intl Con Plus Base'!$G$120*(1+International_Fuel_Surcharge),2),ROUND(((1-'F Intl Con Plus Base'!$G$117)*'F Intl Con Plus Base'!G42)*(1+International_Fuel_Surcharge),2)))*(1+FedEx_Markup),2)</f>
        <v>131.3</v>
      </c>
      <c r="H45" s="295">
        <f>ROUND((IF('F Intl Con Plus Base'!$H$120&gt;ROUND(((1-'F Intl Con Plus Base'!$H$117)*'F Intl Con Plus Base'!H42),2),ROUND('F Intl Con Plus Base'!$H$120*(1+International_Fuel_Surcharge),2),ROUND(((1-'F Intl Con Plus Base'!$H$117)*'F Intl Con Plus Base'!H42)*(1+International_Fuel_Surcharge),2)))*(1+FedEx_Markup),2)</f>
        <v>141.73</v>
      </c>
      <c r="I45" s="295">
        <f>ROUND((IF('F Intl Con Plus Base'!$I$120&gt;ROUND(((1-'F Intl Con Plus Base'!$I$117)*'F Intl Con Plus Base'!I42),2),ROUND('F Intl Con Plus Base'!$I$120*(1+International_Fuel_Surcharge),2),ROUND(((1-'F Intl Con Plus Base'!$I$117)*'F Intl Con Plus Base'!I42)*(1+International_Fuel_Surcharge),2)))*(1+FedEx_Markup),2)</f>
        <v>166.52</v>
      </c>
      <c r="J45" s="295">
        <f>ROUND((IF('F Intl Con Plus Base'!$J$120&gt;ROUND(((1-'F Intl Con Plus Base'!$J$117)*'F Intl Con Plus Base'!J42),2),ROUND('F Intl Con Plus Base'!$J$120*(1+International_Fuel_Surcharge),2),ROUND(((1-'F Intl Con Plus Base'!$J$117)*'F Intl Con Plus Base'!J42)*(1+International_Fuel_Surcharge),2)))*(1+FedEx_Markup),2)</f>
        <v>98.31</v>
      </c>
      <c r="K45" s="295">
        <f>ROUND((IF('F Intl Con Plus Base'!$K$120&gt;ROUND(((1-'F Intl Con Plus Base'!$K$117)*'F Intl Con Plus Base'!K42),2),ROUND('F Intl Con Plus Base'!$K$120*(1+International_Fuel_Surcharge),2),ROUND(((1-'F Intl Con Plus Base'!$K$117)*'F Intl Con Plus Base'!K42)*(1+International_Fuel_Surcharge),2)))*(1+FedEx_Markup),2)</f>
        <v>213.29</v>
      </c>
      <c r="L45" s="295">
        <f>ROUND((IF('F Intl Con Plus Base'!$L$120&gt;ROUND(((1-'F Intl Con Plus Base'!$L$117)*'F Intl Con Plus Base'!L42),2),ROUND('F Intl Con Plus Base'!$L$120*(1+International_Fuel_Surcharge),2),ROUND(((1-'F Intl Con Plus Base'!$L$117)*'F Intl Con Plus Base'!L42)*(1+International_Fuel_Surcharge),2)))*(1+FedEx_Markup),2)</f>
        <v>176.16</v>
      </c>
      <c r="M45" s="295">
        <f>ROUND((IF('F Intl Con Plus Base'!$M$120&gt;ROUND(((1-'F Intl Con Plus Base'!$M$117)*'F Intl Con Plus Base'!M42),2),ROUND('F Intl Con Plus Base'!$M$120*(1+International_Fuel_Surcharge),2),ROUND(((1-'F Intl Con Plus Base'!$M$117)*'F Intl Con Plus Base'!M42)*(1+International_Fuel_Surcharge),2)))*(1+FedEx_Markup),2)</f>
        <v>248.57</v>
      </c>
      <c r="N45" s="295">
        <f>ROUND((IF('F Intl Con Plus Base'!$N$120&gt;ROUND(((1-'F Intl Con Plus Base'!$N$117)*'F Intl Con Plus Base'!N42),2),ROUND('F Intl Con Plus Base'!$N$120*(1+International_Fuel_Surcharge),2),ROUND(((1-'F Intl Con Plus Base'!$N$117)*'F Intl Con Plus Base'!N42)*(1+International_Fuel_Surcharge),2)))*(1+FedEx_Markup),2)</f>
        <v>230.64</v>
      </c>
      <c r="O45" s="295">
        <f>ROUND((IF('F Intl Con Plus Base'!$O$120&gt;ROUND(((1-'F Intl Con Plus Base'!$O$117)*'F Intl Con Plus Base'!O42),2),ROUND('F Intl Con Plus Base'!$O$120*(1+International_Fuel_Surcharge),2),ROUND(((1-'F Intl Con Plus Base'!$O$117)*'F Intl Con Plus Base'!O42)*(1+International_Fuel_Surcharge),2)))*(1+FedEx_Markup),2)</f>
        <v>182.1</v>
      </c>
      <c r="P45" s="295">
        <f>ROUND((IF('F Intl Con Plus Base'!$P$120&gt;ROUND(((1-'F Intl Con Plus Base'!$P$117)*'F Intl Con Plus Base'!P42),2),ROUND('F Intl Con Plus Base'!$P$120*(1+International_Fuel_Surcharge),2),ROUND(((1-'F Intl Con Plus Base'!$P$117)*'F Intl Con Plus Base'!P42)*(1+International_Fuel_Surcharge),2)))*(1+FedEx_Markup),2)</f>
        <v>187.42</v>
      </c>
      <c r="Q45" s="138"/>
      <c r="R45" s="138"/>
      <c r="S45" s="138"/>
      <c r="T45" s="138"/>
      <c r="U45" s="138"/>
      <c r="V45" s="138"/>
      <c r="W45" s="138"/>
      <c r="X45" s="138"/>
      <c r="Y45" s="138"/>
      <c r="Z45" s="138"/>
    </row>
    <row r="46" ht="12.75" customHeight="1">
      <c r="A46" s="294">
        <v>41.0</v>
      </c>
      <c r="B46" s="295">
        <f>ROUND((IF('F Intl Con Plus Base'!$B$120&gt;ROUND(((1-'F Intl Con Plus Base'!$B$117)*'F Intl Con Plus Base'!B43),2),ROUND('F Intl Con Plus Base'!$B$120*(1+International_Fuel_Surcharge),2),ROUND(((1-'F Intl Con Plus Base'!$B$117)*'F Intl Con Plus Base'!B43)*(1+International_Fuel_Surcharge),2)))*(1+FedEx_Markup),2)</f>
        <v>91.53</v>
      </c>
      <c r="C46" s="295">
        <f>ROUND((IF('F Intl Con Plus Base'!$C$120&gt;ROUND(((1-'F Intl Con Plus Base'!$C$117)*'F Intl Con Plus Base'!C43),2),ROUND('F Intl Con Plus Base'!$C$120*(1+International_Fuel_Surcharge),2),ROUND(((1-'F Intl Con Plus Base'!$C$117)*'F Intl Con Plus Base'!C43)*(1+International_Fuel_Surcharge),2)))*(1+FedEx_Markup),2)</f>
        <v>104.36</v>
      </c>
      <c r="D46" s="295">
        <f>ROUND((IF('F Intl Con Plus Base'!$D$120&gt;ROUND(((1-'F Intl Con Plus Base'!$D$117)*'F Intl Con Plus Base'!D43),2),ROUND('F Intl Con Plus Base'!$D$120*(1+International_Fuel_Surcharge),2),ROUND(((1-'F Intl Con Plus Base'!$D$117)*'F Intl Con Plus Base'!D43)*(1+International_Fuel_Surcharge),2)))*(1+FedEx_Markup),2)</f>
        <v>73.74</v>
      </c>
      <c r="E46" s="295">
        <f>ROUND((IF('F Intl Con Plus Base'!$E$120&gt;ROUND(((1-'F Intl Con Plus Base'!$E$117)*'F Intl Con Plus Base'!E43),2),ROUND('F Intl Con Plus Base'!$E$120*(1+International_Fuel_Surcharge),2),ROUND(((1-'F Intl Con Plus Base'!$E$117)*'F Intl Con Plus Base'!E43)*(1+International_Fuel_Surcharge),2)))*(1+FedEx_Markup),2)</f>
        <v>130.35</v>
      </c>
      <c r="F46" s="295">
        <f>ROUND((IF('F Intl Con Plus Base'!$F$120&gt;ROUND(((1-'F Intl Con Plus Base'!$F$117)*'F Intl Con Plus Base'!F43),2),ROUND('F Intl Con Plus Base'!$F$120*(1+International_Fuel_Surcharge),2),ROUND(((1-'F Intl Con Plus Base'!$F$117)*'F Intl Con Plus Base'!F43)*(1+International_Fuel_Surcharge),2)))*(1+FedEx_Markup),2)</f>
        <v>260.14</v>
      </c>
      <c r="G46" s="295">
        <f>ROUND((IF('F Intl Con Plus Base'!$G$120&gt;ROUND(((1-'F Intl Con Plus Base'!$G$117)*'F Intl Con Plus Base'!G43),2),ROUND('F Intl Con Plus Base'!$G$120*(1+International_Fuel_Surcharge),2),ROUND(((1-'F Intl Con Plus Base'!$G$117)*'F Intl Con Plus Base'!G43)*(1+International_Fuel_Surcharge),2)))*(1+FedEx_Markup),2)</f>
        <v>134.72</v>
      </c>
      <c r="H46" s="295">
        <f>ROUND((IF('F Intl Con Plus Base'!$H$120&gt;ROUND(((1-'F Intl Con Plus Base'!$H$117)*'F Intl Con Plus Base'!H43),2),ROUND('F Intl Con Plus Base'!$H$120*(1+International_Fuel_Surcharge),2),ROUND(((1-'F Intl Con Plus Base'!$H$117)*'F Intl Con Plus Base'!H43)*(1+International_Fuel_Surcharge),2)))*(1+FedEx_Markup),2)</f>
        <v>144.35</v>
      </c>
      <c r="I46" s="295">
        <f>ROUND((IF('F Intl Con Plus Base'!$I$120&gt;ROUND(((1-'F Intl Con Plus Base'!$I$117)*'F Intl Con Plus Base'!I43),2),ROUND('F Intl Con Plus Base'!$I$120*(1+International_Fuel_Surcharge),2),ROUND(((1-'F Intl Con Plus Base'!$I$117)*'F Intl Con Plus Base'!I43)*(1+International_Fuel_Surcharge),2)))*(1+FedEx_Markup),2)</f>
        <v>169.66</v>
      </c>
      <c r="J46" s="295">
        <f>ROUND((IF('F Intl Con Plus Base'!$J$120&gt;ROUND(((1-'F Intl Con Plus Base'!$J$117)*'F Intl Con Plus Base'!J43),2),ROUND('F Intl Con Plus Base'!$J$120*(1+International_Fuel_Surcharge),2),ROUND(((1-'F Intl Con Plus Base'!$J$117)*'F Intl Con Plus Base'!J43)*(1+International_Fuel_Surcharge),2)))*(1+FedEx_Markup),2)</f>
        <v>99.61</v>
      </c>
      <c r="K46" s="295">
        <f>ROUND((IF('F Intl Con Plus Base'!$K$120&gt;ROUND(((1-'F Intl Con Plus Base'!$K$117)*'F Intl Con Plus Base'!K43),2),ROUND('F Intl Con Plus Base'!$K$120*(1+International_Fuel_Surcharge),2),ROUND(((1-'F Intl Con Plus Base'!$K$117)*'F Intl Con Plus Base'!K43)*(1+International_Fuel_Surcharge),2)))*(1+FedEx_Markup),2)</f>
        <v>218.7</v>
      </c>
      <c r="L46" s="295">
        <f>ROUND((IF('F Intl Con Plus Base'!$L$120&gt;ROUND(((1-'F Intl Con Plus Base'!$L$117)*'F Intl Con Plus Base'!L43),2),ROUND('F Intl Con Plus Base'!$L$120*(1+International_Fuel_Surcharge),2),ROUND(((1-'F Intl Con Plus Base'!$L$117)*'F Intl Con Plus Base'!L43)*(1+International_Fuel_Surcharge),2)))*(1+FedEx_Markup),2)</f>
        <v>176.34</v>
      </c>
      <c r="M46" s="295">
        <f>ROUND((IF('F Intl Con Plus Base'!$M$120&gt;ROUND(((1-'F Intl Con Plus Base'!$M$117)*'F Intl Con Plus Base'!M43),2),ROUND('F Intl Con Plus Base'!$M$120*(1+International_Fuel_Surcharge),2),ROUND(((1-'F Intl Con Plus Base'!$M$117)*'F Intl Con Plus Base'!M43)*(1+International_Fuel_Surcharge),2)))*(1+FedEx_Markup),2)</f>
        <v>248.8</v>
      </c>
      <c r="N46" s="295">
        <f>ROUND((IF('F Intl Con Plus Base'!$N$120&gt;ROUND(((1-'F Intl Con Plus Base'!$N$117)*'F Intl Con Plus Base'!N43),2),ROUND('F Intl Con Plus Base'!$N$120*(1+International_Fuel_Surcharge),2),ROUND(((1-'F Intl Con Plus Base'!$N$117)*'F Intl Con Plus Base'!N43)*(1+International_Fuel_Surcharge),2)))*(1+FedEx_Markup),2)</f>
        <v>232.48</v>
      </c>
      <c r="O46" s="295">
        <f>ROUND((IF('F Intl Con Plus Base'!$O$120&gt;ROUND(((1-'F Intl Con Plus Base'!$O$117)*'F Intl Con Plus Base'!O43),2),ROUND('F Intl Con Plus Base'!$O$120*(1+International_Fuel_Surcharge),2),ROUND(((1-'F Intl Con Plus Base'!$O$117)*'F Intl Con Plus Base'!O43)*(1+International_Fuel_Surcharge),2)))*(1+FedEx_Markup),2)</f>
        <v>197.8</v>
      </c>
      <c r="P46" s="295">
        <f>ROUND((IF('F Intl Con Plus Base'!$P$120&gt;ROUND(((1-'F Intl Con Plus Base'!$P$117)*'F Intl Con Plus Base'!P43),2),ROUND('F Intl Con Plus Base'!$P$120*(1+International_Fuel_Surcharge),2),ROUND(((1-'F Intl Con Plus Base'!$P$117)*'F Intl Con Plus Base'!P43)*(1+International_Fuel_Surcharge),2)))*(1+FedEx_Markup),2)</f>
        <v>188.75</v>
      </c>
      <c r="Q46" s="138"/>
      <c r="R46" s="138"/>
      <c r="S46" s="138"/>
      <c r="T46" s="138"/>
      <c r="U46" s="138"/>
      <c r="V46" s="138"/>
      <c r="W46" s="138"/>
      <c r="X46" s="138"/>
      <c r="Y46" s="138"/>
      <c r="Z46" s="138"/>
    </row>
    <row r="47" ht="12.75" customHeight="1">
      <c r="A47" s="294">
        <v>42.0</v>
      </c>
      <c r="B47" s="295">
        <f>ROUND((IF('F Intl Con Plus Base'!$B$120&gt;ROUND(((1-'F Intl Con Plus Base'!$B$117)*'F Intl Con Plus Base'!B44),2),ROUND('F Intl Con Plus Base'!$B$120*(1+International_Fuel_Surcharge),2),ROUND(((1-'F Intl Con Plus Base'!$B$117)*'F Intl Con Plus Base'!B44)*(1+International_Fuel_Surcharge),2)))*(1+FedEx_Markup),2)</f>
        <v>93.17</v>
      </c>
      <c r="C47" s="295">
        <f>ROUND((IF('F Intl Con Plus Base'!$C$120&gt;ROUND(((1-'F Intl Con Plus Base'!$C$117)*'F Intl Con Plus Base'!C44),2),ROUND('F Intl Con Plus Base'!$C$120*(1+International_Fuel_Surcharge),2),ROUND(((1-'F Intl Con Plus Base'!$C$117)*'F Intl Con Plus Base'!C44)*(1+International_Fuel_Surcharge),2)))*(1+FedEx_Markup),2)</f>
        <v>105.87</v>
      </c>
      <c r="D47" s="295">
        <f>ROUND((IF('F Intl Con Plus Base'!$D$120&gt;ROUND(((1-'F Intl Con Plus Base'!$D$117)*'F Intl Con Plus Base'!D44),2),ROUND('F Intl Con Plus Base'!$D$120*(1+International_Fuel_Surcharge),2),ROUND(((1-'F Intl Con Plus Base'!$D$117)*'F Intl Con Plus Base'!D44)*(1+International_Fuel_Surcharge),2)))*(1+FedEx_Markup),2)</f>
        <v>73.82</v>
      </c>
      <c r="E47" s="295">
        <f>ROUND((IF('F Intl Con Plus Base'!$E$120&gt;ROUND(((1-'F Intl Con Plus Base'!$E$117)*'F Intl Con Plus Base'!E44),2),ROUND('F Intl Con Plus Base'!$E$120*(1+International_Fuel_Surcharge),2),ROUND(((1-'F Intl Con Plus Base'!$E$117)*'F Intl Con Plus Base'!E44)*(1+International_Fuel_Surcharge),2)))*(1+FedEx_Markup),2)</f>
        <v>134.55</v>
      </c>
      <c r="F47" s="295">
        <f>ROUND((IF('F Intl Con Plus Base'!$F$120&gt;ROUND(((1-'F Intl Con Plus Base'!$F$117)*'F Intl Con Plus Base'!F44),2),ROUND('F Intl Con Plus Base'!$F$120*(1+International_Fuel_Surcharge),2),ROUND(((1-'F Intl Con Plus Base'!$F$117)*'F Intl Con Plus Base'!F44)*(1+International_Fuel_Surcharge),2)))*(1+FedEx_Markup),2)</f>
        <v>260.88</v>
      </c>
      <c r="G47" s="295">
        <f>ROUND((IF('F Intl Con Plus Base'!$G$120&gt;ROUND(((1-'F Intl Con Plus Base'!$G$117)*'F Intl Con Plus Base'!G44),2),ROUND('F Intl Con Plus Base'!$G$120*(1+International_Fuel_Surcharge),2),ROUND(((1-'F Intl Con Plus Base'!$G$117)*'F Intl Con Plus Base'!G44)*(1+International_Fuel_Surcharge),2)))*(1+FedEx_Markup),2)</f>
        <v>146.14</v>
      </c>
      <c r="H47" s="295">
        <f>ROUND((IF('F Intl Con Plus Base'!$H$120&gt;ROUND(((1-'F Intl Con Plus Base'!$H$117)*'F Intl Con Plus Base'!H44),2),ROUND('F Intl Con Plus Base'!$H$120*(1+International_Fuel_Surcharge),2),ROUND(((1-'F Intl Con Plus Base'!$H$117)*'F Intl Con Plus Base'!H44)*(1+International_Fuel_Surcharge),2)))*(1+FedEx_Markup),2)</f>
        <v>144.61</v>
      </c>
      <c r="I47" s="295">
        <f>ROUND((IF('F Intl Con Plus Base'!$I$120&gt;ROUND(((1-'F Intl Con Plus Base'!$I$117)*'F Intl Con Plus Base'!I44),2),ROUND('F Intl Con Plus Base'!$I$120*(1+International_Fuel_Surcharge),2),ROUND(((1-'F Intl Con Plus Base'!$I$117)*'F Intl Con Plus Base'!I44)*(1+International_Fuel_Surcharge),2)))*(1+FedEx_Markup),2)</f>
        <v>170.21</v>
      </c>
      <c r="J47" s="295">
        <f>ROUND((IF('F Intl Con Plus Base'!$J$120&gt;ROUND(((1-'F Intl Con Plus Base'!$J$117)*'F Intl Con Plus Base'!J44),2),ROUND('F Intl Con Plus Base'!$J$120*(1+International_Fuel_Surcharge),2),ROUND(((1-'F Intl Con Plus Base'!$J$117)*'F Intl Con Plus Base'!J44)*(1+International_Fuel_Surcharge),2)))*(1+FedEx_Markup),2)</f>
        <v>100.61</v>
      </c>
      <c r="K47" s="295">
        <f>ROUND((IF('F Intl Con Plus Base'!$K$120&gt;ROUND(((1-'F Intl Con Plus Base'!$K$117)*'F Intl Con Plus Base'!K44),2),ROUND('F Intl Con Plus Base'!$K$120*(1+International_Fuel_Surcharge),2),ROUND(((1-'F Intl Con Plus Base'!$K$117)*'F Intl Con Plus Base'!K44)*(1+International_Fuel_Surcharge),2)))*(1+FedEx_Markup),2)</f>
        <v>219.25</v>
      </c>
      <c r="L47" s="295">
        <f>ROUND((IF('F Intl Con Plus Base'!$L$120&gt;ROUND(((1-'F Intl Con Plus Base'!$L$117)*'F Intl Con Plus Base'!L44),2),ROUND('F Intl Con Plus Base'!$L$120*(1+International_Fuel_Surcharge),2),ROUND(((1-'F Intl Con Plus Base'!$L$117)*'F Intl Con Plus Base'!L44)*(1+International_Fuel_Surcharge),2)))*(1+FedEx_Markup),2)</f>
        <v>176.94</v>
      </c>
      <c r="M47" s="295">
        <f>ROUND((IF('F Intl Con Plus Base'!$M$120&gt;ROUND(((1-'F Intl Con Plus Base'!$M$117)*'F Intl Con Plus Base'!M44),2),ROUND('F Intl Con Plus Base'!$M$120*(1+International_Fuel_Surcharge),2),ROUND(((1-'F Intl Con Plus Base'!$M$117)*'F Intl Con Plus Base'!M44)*(1+International_Fuel_Surcharge),2)))*(1+FedEx_Markup),2)</f>
        <v>248.91</v>
      </c>
      <c r="N47" s="295">
        <f>ROUND((IF('F Intl Con Plus Base'!$N$120&gt;ROUND(((1-'F Intl Con Plus Base'!$N$117)*'F Intl Con Plus Base'!N44),2),ROUND('F Intl Con Plus Base'!$N$120*(1+International_Fuel_Surcharge),2),ROUND(((1-'F Intl Con Plus Base'!$N$117)*'F Intl Con Plus Base'!N44)*(1+International_Fuel_Surcharge),2)))*(1+FedEx_Markup),2)</f>
        <v>244.98</v>
      </c>
      <c r="O47" s="295">
        <f>ROUND((IF('F Intl Con Plus Base'!$O$120&gt;ROUND(((1-'F Intl Con Plus Base'!$O$117)*'F Intl Con Plus Base'!O44),2),ROUND('F Intl Con Plus Base'!$O$120*(1+International_Fuel_Surcharge),2),ROUND(((1-'F Intl Con Plus Base'!$O$117)*'F Intl Con Plus Base'!O44)*(1+International_Fuel_Surcharge),2)))*(1+FedEx_Markup),2)</f>
        <v>200</v>
      </c>
      <c r="P47" s="295">
        <f>ROUND((IF('F Intl Con Plus Base'!$P$120&gt;ROUND(((1-'F Intl Con Plus Base'!$P$117)*'F Intl Con Plus Base'!P44),2),ROUND('F Intl Con Plus Base'!$P$120*(1+International_Fuel_Surcharge),2),ROUND(((1-'F Intl Con Plus Base'!$P$117)*'F Intl Con Plus Base'!P44)*(1+International_Fuel_Surcharge),2)))*(1+FedEx_Markup),2)</f>
        <v>188.89</v>
      </c>
      <c r="Q47" s="138"/>
      <c r="R47" s="138"/>
      <c r="S47" s="138"/>
      <c r="T47" s="138"/>
      <c r="U47" s="138"/>
      <c r="V47" s="138"/>
      <c r="W47" s="138"/>
      <c r="X47" s="138"/>
      <c r="Y47" s="138"/>
      <c r="Z47" s="138"/>
    </row>
    <row r="48" ht="12.75" customHeight="1">
      <c r="A48" s="294">
        <v>43.0</v>
      </c>
      <c r="B48" s="295">
        <f>ROUND((IF('F Intl Con Plus Base'!$B$120&gt;ROUND(((1-'F Intl Con Plus Base'!$B$117)*'F Intl Con Plus Base'!B45),2),ROUND('F Intl Con Plus Base'!$B$120*(1+International_Fuel_Surcharge),2),ROUND(((1-'F Intl Con Plus Base'!$B$117)*'F Intl Con Plus Base'!B45)*(1+International_Fuel_Surcharge),2)))*(1+FedEx_Markup),2)</f>
        <v>94.81</v>
      </c>
      <c r="C48" s="295">
        <f>ROUND((IF('F Intl Con Plus Base'!$C$120&gt;ROUND(((1-'F Intl Con Plus Base'!$C$117)*'F Intl Con Plus Base'!C45),2),ROUND('F Intl Con Plus Base'!$C$120*(1+International_Fuel_Surcharge),2),ROUND(((1-'F Intl Con Plus Base'!$C$117)*'F Intl Con Plus Base'!C45)*(1+International_Fuel_Surcharge),2)))*(1+FedEx_Markup),2)</f>
        <v>107.84</v>
      </c>
      <c r="D48" s="295">
        <f>ROUND((IF('F Intl Con Plus Base'!$D$120&gt;ROUND(((1-'F Intl Con Plus Base'!$D$117)*'F Intl Con Plus Base'!D45),2),ROUND('F Intl Con Plus Base'!$D$120*(1+International_Fuel_Surcharge),2),ROUND(((1-'F Intl Con Plus Base'!$D$117)*'F Intl Con Plus Base'!D45)*(1+International_Fuel_Surcharge),2)))*(1+FedEx_Markup),2)</f>
        <v>74.04</v>
      </c>
      <c r="E48" s="295">
        <f>ROUND((IF('F Intl Con Plus Base'!$E$120&gt;ROUND(((1-'F Intl Con Plus Base'!$E$117)*'F Intl Con Plus Base'!E45),2),ROUND('F Intl Con Plus Base'!$E$120*(1+International_Fuel_Surcharge),2),ROUND(((1-'F Intl Con Plus Base'!$E$117)*'F Intl Con Plus Base'!E45)*(1+International_Fuel_Surcharge),2)))*(1+FedEx_Markup),2)</f>
        <v>134.98</v>
      </c>
      <c r="F48" s="295">
        <f>ROUND((IF('F Intl Con Plus Base'!$F$120&gt;ROUND(((1-'F Intl Con Plus Base'!$F$117)*'F Intl Con Plus Base'!F45),2),ROUND('F Intl Con Plus Base'!$F$120*(1+International_Fuel_Surcharge),2),ROUND(((1-'F Intl Con Plus Base'!$F$117)*'F Intl Con Plus Base'!F45)*(1+International_Fuel_Surcharge),2)))*(1+FedEx_Markup),2)</f>
        <v>268.02</v>
      </c>
      <c r="G48" s="295">
        <f>ROUND((IF('F Intl Con Plus Base'!$G$120&gt;ROUND(((1-'F Intl Con Plus Base'!$G$117)*'F Intl Con Plus Base'!G45),2),ROUND('F Intl Con Plus Base'!$G$120*(1+International_Fuel_Surcharge),2),ROUND(((1-'F Intl Con Plus Base'!$G$117)*'F Intl Con Plus Base'!G45)*(1+International_Fuel_Surcharge),2)))*(1+FedEx_Markup),2)</f>
        <v>147.56</v>
      </c>
      <c r="H48" s="295">
        <f>ROUND((IF('F Intl Con Plus Base'!$H$120&gt;ROUND(((1-'F Intl Con Plus Base'!$H$117)*'F Intl Con Plus Base'!H45),2),ROUND('F Intl Con Plus Base'!$H$120*(1+International_Fuel_Surcharge),2),ROUND(((1-'F Intl Con Plus Base'!$H$117)*'F Intl Con Plus Base'!H45)*(1+International_Fuel_Surcharge),2)))*(1+FedEx_Markup),2)</f>
        <v>144.74</v>
      </c>
      <c r="I48" s="295">
        <f>ROUND((IF('F Intl Con Plus Base'!$I$120&gt;ROUND(((1-'F Intl Con Plus Base'!$I$117)*'F Intl Con Plus Base'!I45),2),ROUND('F Intl Con Plus Base'!$I$120*(1+International_Fuel_Surcharge),2),ROUND(((1-'F Intl Con Plus Base'!$I$117)*'F Intl Con Plus Base'!I45)*(1+International_Fuel_Surcharge),2)))*(1+FedEx_Markup),2)</f>
        <v>178.46</v>
      </c>
      <c r="J48" s="295">
        <f>ROUND((IF('F Intl Con Plus Base'!$J$120&gt;ROUND(((1-'F Intl Con Plus Base'!$J$117)*'F Intl Con Plus Base'!J45),2),ROUND('F Intl Con Plus Base'!$J$120*(1+International_Fuel_Surcharge),2),ROUND(((1-'F Intl Con Plus Base'!$J$117)*'F Intl Con Plus Base'!J45)*(1+International_Fuel_Surcharge),2)))*(1+FedEx_Markup),2)</f>
        <v>102.01</v>
      </c>
      <c r="K48" s="295">
        <f>ROUND((IF('F Intl Con Plus Base'!$K$120&gt;ROUND(((1-'F Intl Con Plus Base'!$K$117)*'F Intl Con Plus Base'!K45),2),ROUND('F Intl Con Plus Base'!$K$120*(1+International_Fuel_Surcharge),2),ROUND(((1-'F Intl Con Plus Base'!$K$117)*'F Intl Con Plus Base'!K45)*(1+International_Fuel_Surcharge),2)))*(1+FedEx_Markup),2)</f>
        <v>226.37</v>
      </c>
      <c r="L48" s="295">
        <f>ROUND((IF('F Intl Con Plus Base'!$L$120&gt;ROUND(((1-'F Intl Con Plus Base'!$L$117)*'F Intl Con Plus Base'!L45),2),ROUND('F Intl Con Plus Base'!$L$120*(1+International_Fuel_Surcharge),2),ROUND(((1-'F Intl Con Plus Base'!$L$117)*'F Intl Con Plus Base'!L45)*(1+International_Fuel_Surcharge),2)))*(1+FedEx_Markup),2)</f>
        <v>186.01</v>
      </c>
      <c r="M48" s="295">
        <f>ROUND((IF('F Intl Con Plus Base'!$M$120&gt;ROUND(((1-'F Intl Con Plus Base'!$M$117)*'F Intl Con Plus Base'!M45),2),ROUND('F Intl Con Plus Base'!$M$120*(1+International_Fuel_Surcharge),2),ROUND(((1-'F Intl Con Plus Base'!$M$117)*'F Intl Con Plus Base'!M45)*(1+International_Fuel_Surcharge),2)))*(1+FedEx_Markup),2)</f>
        <v>248.96</v>
      </c>
      <c r="N48" s="295">
        <f>ROUND((IF('F Intl Con Plus Base'!$N$120&gt;ROUND(((1-'F Intl Con Plus Base'!$N$117)*'F Intl Con Plus Base'!N45),2),ROUND('F Intl Con Plus Base'!$N$120*(1+International_Fuel_Surcharge),2),ROUND(((1-'F Intl Con Plus Base'!$N$117)*'F Intl Con Plus Base'!N45)*(1+International_Fuel_Surcharge),2)))*(1+FedEx_Markup),2)</f>
        <v>264.44</v>
      </c>
      <c r="O48" s="295">
        <f>ROUND((IF('F Intl Con Plus Base'!$O$120&gt;ROUND(((1-'F Intl Con Plus Base'!$O$117)*'F Intl Con Plus Base'!O45),2),ROUND('F Intl Con Plus Base'!$O$120*(1+International_Fuel_Surcharge),2),ROUND(((1-'F Intl Con Plus Base'!$O$117)*'F Intl Con Plus Base'!O45)*(1+International_Fuel_Surcharge),2)))*(1+FedEx_Markup),2)</f>
        <v>200.5</v>
      </c>
      <c r="P48" s="295">
        <f>ROUND((IF('F Intl Con Plus Base'!$P$120&gt;ROUND(((1-'F Intl Con Plus Base'!$P$117)*'F Intl Con Plus Base'!P45),2),ROUND('F Intl Con Plus Base'!$P$120*(1+International_Fuel_Surcharge),2),ROUND(((1-'F Intl Con Plus Base'!$P$117)*'F Intl Con Plus Base'!P45)*(1+International_Fuel_Surcharge),2)))*(1+FedEx_Markup),2)</f>
        <v>188.95</v>
      </c>
      <c r="Q48" s="138"/>
      <c r="R48" s="138"/>
      <c r="S48" s="138"/>
      <c r="T48" s="138"/>
      <c r="U48" s="138"/>
      <c r="V48" s="138"/>
      <c r="W48" s="138"/>
      <c r="X48" s="138"/>
      <c r="Y48" s="138"/>
      <c r="Z48" s="138"/>
    </row>
    <row r="49" ht="12.75" customHeight="1">
      <c r="A49" s="294">
        <v>44.0</v>
      </c>
      <c r="B49" s="295">
        <f>ROUND((IF('F Intl Con Plus Base'!$B$120&gt;ROUND(((1-'F Intl Con Plus Base'!$B$117)*'F Intl Con Plus Base'!B46),2),ROUND('F Intl Con Plus Base'!$B$120*(1+International_Fuel_Surcharge),2),ROUND(((1-'F Intl Con Plus Base'!$B$117)*'F Intl Con Plus Base'!B46)*(1+International_Fuel_Surcharge),2)))*(1+FedEx_Markup),2)</f>
        <v>96.45</v>
      </c>
      <c r="C49" s="295">
        <f>ROUND((IF('F Intl Con Plus Base'!$C$120&gt;ROUND(((1-'F Intl Con Plus Base'!$C$117)*'F Intl Con Plus Base'!C46),2),ROUND('F Intl Con Plus Base'!$C$120*(1+International_Fuel_Surcharge),2),ROUND(((1-'F Intl Con Plus Base'!$C$117)*'F Intl Con Plus Base'!C46)*(1+International_Fuel_Surcharge),2)))*(1+FedEx_Markup),2)</f>
        <v>109.34</v>
      </c>
      <c r="D49" s="295">
        <f>ROUND((IF('F Intl Con Plus Base'!$D$120&gt;ROUND(((1-'F Intl Con Plus Base'!$D$117)*'F Intl Con Plus Base'!D46),2),ROUND('F Intl Con Plus Base'!$D$120*(1+International_Fuel_Surcharge),2),ROUND(((1-'F Intl Con Plus Base'!$D$117)*'F Intl Con Plus Base'!D46)*(1+International_Fuel_Surcharge),2)))*(1+FedEx_Markup),2)</f>
        <v>78.41</v>
      </c>
      <c r="E49" s="295">
        <f>ROUND((IF('F Intl Con Plus Base'!$E$120&gt;ROUND(((1-'F Intl Con Plus Base'!$E$117)*'F Intl Con Plus Base'!E46),2),ROUND('F Intl Con Plus Base'!$E$120*(1+International_Fuel_Surcharge),2),ROUND(((1-'F Intl Con Plus Base'!$E$117)*'F Intl Con Plus Base'!E46)*(1+International_Fuel_Surcharge),2)))*(1+FedEx_Markup),2)</f>
        <v>135.02</v>
      </c>
      <c r="F49" s="295">
        <f>ROUND((IF('F Intl Con Plus Base'!$F$120&gt;ROUND(((1-'F Intl Con Plus Base'!$F$117)*'F Intl Con Plus Base'!F46),2),ROUND('F Intl Con Plus Base'!$F$120*(1+International_Fuel_Surcharge),2),ROUND(((1-'F Intl Con Plus Base'!$F$117)*'F Intl Con Plus Base'!F46)*(1+International_Fuel_Surcharge),2)))*(1+FedEx_Markup),2)</f>
        <v>268.73</v>
      </c>
      <c r="G49" s="295">
        <f>ROUND((IF('F Intl Con Plus Base'!$G$120&gt;ROUND(((1-'F Intl Con Plus Base'!$G$117)*'F Intl Con Plus Base'!G46),2),ROUND('F Intl Con Plus Base'!$G$120*(1+International_Fuel_Surcharge),2),ROUND(((1-'F Intl Con Plus Base'!$G$117)*'F Intl Con Plus Base'!G46)*(1+International_Fuel_Surcharge),2)))*(1+FedEx_Markup),2)</f>
        <v>147.71</v>
      </c>
      <c r="H49" s="295">
        <f>ROUND((IF('F Intl Con Plus Base'!$H$120&gt;ROUND(((1-'F Intl Con Plus Base'!$H$117)*'F Intl Con Plus Base'!H46),2),ROUND('F Intl Con Plus Base'!$H$120*(1+International_Fuel_Surcharge),2),ROUND(((1-'F Intl Con Plus Base'!$H$117)*'F Intl Con Plus Base'!H46)*(1+International_Fuel_Surcharge),2)))*(1+FedEx_Markup),2)</f>
        <v>145.85</v>
      </c>
      <c r="I49" s="295">
        <f>ROUND((IF('F Intl Con Plus Base'!$I$120&gt;ROUND(((1-'F Intl Con Plus Base'!$I$117)*'F Intl Con Plus Base'!I46),2),ROUND('F Intl Con Plus Base'!$I$120*(1+International_Fuel_Surcharge),2),ROUND(((1-'F Intl Con Plus Base'!$I$117)*'F Intl Con Plus Base'!I46)*(1+International_Fuel_Surcharge),2)))*(1+FedEx_Markup),2)</f>
        <v>182.21</v>
      </c>
      <c r="J49" s="295">
        <f>ROUND((IF('F Intl Con Plus Base'!$J$120&gt;ROUND(((1-'F Intl Con Plus Base'!$J$117)*'F Intl Con Plus Base'!J46),2),ROUND('F Intl Con Plus Base'!$J$120*(1+International_Fuel_Surcharge),2),ROUND(((1-'F Intl Con Plus Base'!$J$117)*'F Intl Con Plus Base'!J46)*(1+International_Fuel_Surcharge),2)))*(1+FedEx_Markup),2)</f>
        <v>103.28</v>
      </c>
      <c r="K49" s="295">
        <f>ROUND((IF('F Intl Con Plus Base'!$K$120&gt;ROUND(((1-'F Intl Con Plus Base'!$K$117)*'F Intl Con Plus Base'!K46),2),ROUND('F Intl Con Plus Base'!$K$120*(1+International_Fuel_Surcharge),2),ROUND(((1-'F Intl Con Plus Base'!$K$117)*'F Intl Con Plus Base'!K46)*(1+International_Fuel_Surcharge),2)))*(1+FedEx_Markup),2)</f>
        <v>229.47</v>
      </c>
      <c r="L49" s="295">
        <f>ROUND((IF('F Intl Con Plus Base'!$L$120&gt;ROUND(((1-'F Intl Con Plus Base'!$L$117)*'F Intl Con Plus Base'!L46),2),ROUND('F Intl Con Plus Base'!$L$120*(1+International_Fuel_Surcharge),2),ROUND(((1-'F Intl Con Plus Base'!$L$117)*'F Intl Con Plus Base'!L46)*(1+International_Fuel_Surcharge),2)))*(1+FedEx_Markup),2)</f>
        <v>189.66</v>
      </c>
      <c r="M49" s="295">
        <f>ROUND((IF('F Intl Con Plus Base'!$M$120&gt;ROUND(((1-'F Intl Con Plus Base'!$M$117)*'F Intl Con Plus Base'!M46),2),ROUND('F Intl Con Plus Base'!$M$120*(1+International_Fuel_Surcharge),2),ROUND(((1-'F Intl Con Plus Base'!$M$117)*'F Intl Con Plus Base'!M46)*(1+International_Fuel_Surcharge),2)))*(1+FedEx_Markup),2)</f>
        <v>249.03</v>
      </c>
      <c r="N49" s="295">
        <f>ROUND((IF('F Intl Con Plus Base'!$N$120&gt;ROUND(((1-'F Intl Con Plus Base'!$N$117)*'F Intl Con Plus Base'!N46),2),ROUND('F Intl Con Plus Base'!$N$120*(1+International_Fuel_Surcharge),2),ROUND(((1-'F Intl Con Plus Base'!$N$117)*'F Intl Con Plus Base'!N46)*(1+International_Fuel_Surcharge),2)))*(1+FedEx_Markup),2)</f>
        <v>273.64</v>
      </c>
      <c r="O49" s="295">
        <f>ROUND((IF('F Intl Con Plus Base'!$O$120&gt;ROUND(((1-'F Intl Con Plus Base'!$O$117)*'F Intl Con Plus Base'!O46),2),ROUND('F Intl Con Plus Base'!$O$120*(1+International_Fuel_Surcharge),2),ROUND(((1-'F Intl Con Plus Base'!$O$117)*'F Intl Con Plus Base'!O46)*(1+International_Fuel_Surcharge),2)))*(1+FedEx_Markup),2)</f>
        <v>201.18</v>
      </c>
      <c r="P49" s="295">
        <f>ROUND((IF('F Intl Con Plus Base'!$P$120&gt;ROUND(((1-'F Intl Con Plus Base'!$P$117)*'F Intl Con Plus Base'!P46),2),ROUND('F Intl Con Plus Base'!$P$120*(1+International_Fuel_Surcharge),2),ROUND(((1-'F Intl Con Plus Base'!$P$117)*'F Intl Con Plus Base'!P46)*(1+International_Fuel_Surcharge),2)))*(1+FedEx_Markup),2)</f>
        <v>188.99</v>
      </c>
      <c r="Q49" s="138"/>
      <c r="R49" s="138"/>
      <c r="S49" s="138"/>
      <c r="T49" s="138"/>
      <c r="U49" s="138"/>
      <c r="V49" s="138"/>
      <c r="W49" s="138"/>
      <c r="X49" s="138"/>
      <c r="Y49" s="138"/>
      <c r="Z49" s="138"/>
    </row>
    <row r="50" ht="12.75" customHeight="1">
      <c r="A50" s="294">
        <v>45.0</v>
      </c>
      <c r="B50" s="295">
        <f>ROUND((IF('F Intl Con Plus Base'!$B$120&gt;ROUND(((1-'F Intl Con Plus Base'!$B$117)*'F Intl Con Plus Base'!B47),2),ROUND('F Intl Con Plus Base'!$B$120*(1+International_Fuel_Surcharge),2),ROUND(((1-'F Intl Con Plus Base'!$B$117)*'F Intl Con Plus Base'!B47)*(1+International_Fuel_Surcharge),2)))*(1+FedEx_Markup),2)</f>
        <v>98.11</v>
      </c>
      <c r="C50" s="295">
        <f>ROUND((IF('F Intl Con Plus Base'!$C$120&gt;ROUND(((1-'F Intl Con Plus Base'!$C$117)*'F Intl Con Plus Base'!C47),2),ROUND('F Intl Con Plus Base'!$C$120*(1+International_Fuel_Surcharge),2),ROUND(((1-'F Intl Con Plus Base'!$C$117)*'F Intl Con Plus Base'!C47)*(1+International_Fuel_Surcharge),2)))*(1+FedEx_Markup),2)</f>
        <v>110.86</v>
      </c>
      <c r="D50" s="295">
        <f>ROUND((IF('F Intl Con Plus Base'!$D$120&gt;ROUND(((1-'F Intl Con Plus Base'!$D$117)*'F Intl Con Plus Base'!D47),2),ROUND('F Intl Con Plus Base'!$D$120*(1+International_Fuel_Surcharge),2),ROUND(((1-'F Intl Con Plus Base'!$D$117)*'F Intl Con Plus Base'!D47)*(1+International_Fuel_Surcharge),2)))*(1+FedEx_Markup),2)</f>
        <v>78.84</v>
      </c>
      <c r="E50" s="295">
        <f>ROUND((IF('F Intl Con Plus Base'!$E$120&gt;ROUND(((1-'F Intl Con Plus Base'!$E$117)*'F Intl Con Plus Base'!E47),2),ROUND('F Intl Con Plus Base'!$E$120*(1+International_Fuel_Surcharge),2),ROUND(((1-'F Intl Con Plus Base'!$E$117)*'F Intl Con Plus Base'!E47)*(1+International_Fuel_Surcharge),2)))*(1+FedEx_Markup),2)</f>
        <v>135.56</v>
      </c>
      <c r="F50" s="295">
        <f>ROUND((IF('F Intl Con Plus Base'!$F$120&gt;ROUND(((1-'F Intl Con Plus Base'!$F$117)*'F Intl Con Plus Base'!F47),2),ROUND('F Intl Con Plus Base'!$F$120*(1+International_Fuel_Surcharge),2),ROUND(((1-'F Intl Con Plus Base'!$F$117)*'F Intl Con Plus Base'!F47)*(1+International_Fuel_Surcharge),2)))*(1+FedEx_Markup),2)</f>
        <v>268.8</v>
      </c>
      <c r="G50" s="295">
        <f>ROUND((IF('F Intl Con Plus Base'!$G$120&gt;ROUND(((1-'F Intl Con Plus Base'!$G$117)*'F Intl Con Plus Base'!G47),2),ROUND('F Intl Con Plus Base'!$G$120*(1+International_Fuel_Surcharge),2),ROUND(((1-'F Intl Con Plus Base'!$G$117)*'F Intl Con Plus Base'!G47)*(1+International_Fuel_Surcharge),2)))*(1+FedEx_Markup),2)</f>
        <v>147.8</v>
      </c>
      <c r="H50" s="295">
        <f>ROUND((IF('F Intl Con Plus Base'!$H$120&gt;ROUND(((1-'F Intl Con Plus Base'!$H$117)*'F Intl Con Plus Base'!H47),2),ROUND('F Intl Con Plus Base'!$H$120*(1+International_Fuel_Surcharge),2),ROUND(((1-'F Intl Con Plus Base'!$H$117)*'F Intl Con Plus Base'!H47)*(1+International_Fuel_Surcharge),2)))*(1+FedEx_Markup),2)</f>
        <v>154.87</v>
      </c>
      <c r="I50" s="295">
        <f>ROUND((IF('F Intl Con Plus Base'!$I$120&gt;ROUND(((1-'F Intl Con Plus Base'!$I$117)*'F Intl Con Plus Base'!I47),2),ROUND('F Intl Con Plus Base'!$I$120*(1+International_Fuel_Surcharge),2),ROUND(((1-'F Intl Con Plus Base'!$I$117)*'F Intl Con Plus Base'!I47)*(1+International_Fuel_Surcharge),2)))*(1+FedEx_Markup),2)</f>
        <v>189.91</v>
      </c>
      <c r="J50" s="295">
        <f>ROUND((IF('F Intl Con Plus Base'!$J$120&gt;ROUND(((1-'F Intl Con Plus Base'!$J$117)*'F Intl Con Plus Base'!J47),2),ROUND('F Intl Con Plus Base'!$J$120*(1+International_Fuel_Surcharge),2),ROUND(((1-'F Intl Con Plus Base'!$J$117)*'F Intl Con Plus Base'!J47)*(1+International_Fuel_Surcharge),2)))*(1+FedEx_Markup),2)</f>
        <v>104.57</v>
      </c>
      <c r="K50" s="295">
        <f>ROUND((IF('F Intl Con Plus Base'!$K$120&gt;ROUND(((1-'F Intl Con Plus Base'!$K$117)*'F Intl Con Plus Base'!K47),2),ROUND('F Intl Con Plus Base'!$K$120*(1+International_Fuel_Surcharge),2),ROUND(((1-'F Intl Con Plus Base'!$K$117)*'F Intl Con Plus Base'!K47)*(1+International_Fuel_Surcharge),2)))*(1+FedEx_Markup),2)</f>
        <v>231.7</v>
      </c>
      <c r="L50" s="295">
        <f>ROUND((IF('F Intl Con Plus Base'!$L$120&gt;ROUND(((1-'F Intl Con Plus Base'!$L$117)*'F Intl Con Plus Base'!L47),2),ROUND('F Intl Con Plus Base'!$L$120*(1+International_Fuel_Surcharge),2),ROUND(((1-'F Intl Con Plus Base'!$L$117)*'F Intl Con Plus Base'!L47)*(1+International_Fuel_Surcharge),2)))*(1+FedEx_Markup),2)</f>
        <v>190.03</v>
      </c>
      <c r="M50" s="295">
        <f>ROUND((IF('F Intl Con Plus Base'!$M$120&gt;ROUND(((1-'F Intl Con Plus Base'!$M$117)*'F Intl Con Plus Base'!M47),2),ROUND('F Intl Con Plus Base'!$M$120*(1+International_Fuel_Surcharge),2),ROUND(((1-'F Intl Con Plus Base'!$M$117)*'F Intl Con Plus Base'!M47)*(1+International_Fuel_Surcharge),2)))*(1+FedEx_Markup),2)</f>
        <v>249.77</v>
      </c>
      <c r="N50" s="295">
        <f>ROUND((IF('F Intl Con Plus Base'!$N$120&gt;ROUND(((1-'F Intl Con Plus Base'!$N$117)*'F Intl Con Plus Base'!N47),2),ROUND('F Intl Con Plus Base'!$N$120*(1+International_Fuel_Surcharge),2),ROUND(((1-'F Intl Con Plus Base'!$N$117)*'F Intl Con Plus Base'!N47)*(1+International_Fuel_Surcharge),2)))*(1+FedEx_Markup),2)</f>
        <v>274.56</v>
      </c>
      <c r="O50" s="295">
        <f>ROUND((IF('F Intl Con Plus Base'!$O$120&gt;ROUND(((1-'F Intl Con Plus Base'!$O$117)*'F Intl Con Plus Base'!O47),2),ROUND('F Intl Con Plus Base'!$O$120*(1+International_Fuel_Surcharge),2),ROUND(((1-'F Intl Con Plus Base'!$O$117)*'F Intl Con Plus Base'!O47)*(1+International_Fuel_Surcharge),2)))*(1+FedEx_Markup),2)</f>
        <v>214.68</v>
      </c>
      <c r="P50" s="295">
        <f>ROUND((IF('F Intl Con Plus Base'!$P$120&gt;ROUND(((1-'F Intl Con Plus Base'!$P$117)*'F Intl Con Plus Base'!P47),2),ROUND('F Intl Con Plus Base'!$P$120*(1+International_Fuel_Surcharge),2),ROUND(((1-'F Intl Con Plus Base'!$P$117)*'F Intl Con Plus Base'!P47)*(1+International_Fuel_Surcharge),2)))*(1+FedEx_Markup),2)</f>
        <v>189.06</v>
      </c>
      <c r="Q50" s="138"/>
      <c r="R50" s="138"/>
      <c r="S50" s="138"/>
      <c r="T50" s="138"/>
      <c r="U50" s="138"/>
      <c r="V50" s="138"/>
      <c r="W50" s="138"/>
      <c r="X50" s="138"/>
      <c r="Y50" s="138"/>
      <c r="Z50" s="138"/>
    </row>
    <row r="51" ht="12.75" customHeight="1">
      <c r="A51" s="294">
        <v>46.0</v>
      </c>
      <c r="B51" s="295">
        <f>ROUND((IF('F Intl Con Plus Base'!$B$120&gt;ROUND(((1-'F Intl Con Plus Base'!$B$117)*'F Intl Con Plus Base'!B48),2),ROUND('F Intl Con Plus Base'!$B$120*(1+International_Fuel_Surcharge),2),ROUND(((1-'F Intl Con Plus Base'!$B$117)*'F Intl Con Plus Base'!B48)*(1+International_Fuel_Surcharge),2)))*(1+FedEx_Markup),2)</f>
        <v>99.74</v>
      </c>
      <c r="C51" s="295">
        <f>ROUND((IF('F Intl Con Plus Base'!$C$120&gt;ROUND(((1-'F Intl Con Plus Base'!$C$117)*'F Intl Con Plus Base'!C48),2),ROUND('F Intl Con Plus Base'!$C$120*(1+International_Fuel_Surcharge),2),ROUND(((1-'F Intl Con Plus Base'!$C$117)*'F Intl Con Plus Base'!C48)*(1+International_Fuel_Surcharge),2)))*(1+FedEx_Markup),2)</f>
        <v>112.23</v>
      </c>
      <c r="D51" s="295">
        <f>ROUND((IF('F Intl Con Plus Base'!$D$120&gt;ROUND(((1-'F Intl Con Plus Base'!$D$117)*'F Intl Con Plus Base'!D48),2),ROUND('F Intl Con Plus Base'!$D$120*(1+International_Fuel_Surcharge),2),ROUND(((1-'F Intl Con Plus Base'!$D$117)*'F Intl Con Plus Base'!D48)*(1+International_Fuel_Surcharge),2)))*(1+FedEx_Markup),2)</f>
        <v>78.89</v>
      </c>
      <c r="E51" s="295">
        <f>ROUND((IF('F Intl Con Plus Base'!$E$120&gt;ROUND(((1-'F Intl Con Plus Base'!$E$117)*'F Intl Con Plus Base'!E48),2),ROUND('F Intl Con Plus Base'!$E$120*(1+International_Fuel_Surcharge),2),ROUND(((1-'F Intl Con Plus Base'!$E$117)*'F Intl Con Plus Base'!E48)*(1+International_Fuel_Surcharge),2)))*(1+FedEx_Markup),2)</f>
        <v>136.21</v>
      </c>
      <c r="F51" s="295">
        <f>ROUND((IF('F Intl Con Plus Base'!$F$120&gt;ROUND(((1-'F Intl Con Plus Base'!$F$117)*'F Intl Con Plus Base'!F48),2),ROUND('F Intl Con Plus Base'!$F$120*(1+International_Fuel_Surcharge),2),ROUND(((1-'F Intl Con Plus Base'!$F$117)*'F Intl Con Plus Base'!F48)*(1+International_Fuel_Surcharge),2)))*(1+FedEx_Markup),2)</f>
        <v>269.85</v>
      </c>
      <c r="G51" s="295">
        <f>ROUND((IF('F Intl Con Plus Base'!$G$120&gt;ROUND(((1-'F Intl Con Plus Base'!$G$117)*'F Intl Con Plus Base'!G48),2),ROUND('F Intl Con Plus Base'!$G$120*(1+International_Fuel_Surcharge),2),ROUND(((1-'F Intl Con Plus Base'!$G$117)*'F Intl Con Plus Base'!G48)*(1+International_Fuel_Surcharge),2)))*(1+FedEx_Markup),2)</f>
        <v>149.63</v>
      </c>
      <c r="H51" s="295">
        <f>ROUND((IF('F Intl Con Plus Base'!$H$120&gt;ROUND(((1-'F Intl Con Plus Base'!$H$117)*'F Intl Con Plus Base'!H48),2),ROUND('F Intl Con Plus Base'!$H$120*(1+International_Fuel_Surcharge),2),ROUND(((1-'F Intl Con Plus Base'!$H$117)*'F Intl Con Plus Base'!H48)*(1+International_Fuel_Surcharge),2)))*(1+FedEx_Markup),2)</f>
        <v>157.03</v>
      </c>
      <c r="I51" s="295">
        <f>ROUND((IF('F Intl Con Plus Base'!$I$120&gt;ROUND(((1-'F Intl Con Plus Base'!$I$117)*'F Intl Con Plus Base'!I48),2),ROUND('F Intl Con Plus Base'!$I$120*(1+International_Fuel_Surcharge),2),ROUND(((1-'F Intl Con Plus Base'!$I$117)*'F Intl Con Plus Base'!I48)*(1+International_Fuel_Surcharge),2)))*(1+FedEx_Markup),2)</f>
        <v>190.68</v>
      </c>
      <c r="J51" s="295">
        <f>ROUND((IF('F Intl Con Plus Base'!$J$120&gt;ROUND(((1-'F Intl Con Plus Base'!$J$117)*'F Intl Con Plus Base'!J48),2),ROUND('F Intl Con Plus Base'!$J$120*(1+International_Fuel_Surcharge),2),ROUND(((1-'F Intl Con Plus Base'!$J$117)*'F Intl Con Plus Base'!J48)*(1+International_Fuel_Surcharge),2)))*(1+FedEx_Markup),2)</f>
        <v>106.06</v>
      </c>
      <c r="K51" s="295">
        <f>ROUND((IF('F Intl Con Plus Base'!$K$120&gt;ROUND(((1-'F Intl Con Plus Base'!$K$117)*'F Intl Con Plus Base'!K48),2),ROUND('F Intl Con Plus Base'!$K$120*(1+International_Fuel_Surcharge),2),ROUND(((1-'F Intl Con Plus Base'!$K$117)*'F Intl Con Plus Base'!K48)*(1+International_Fuel_Surcharge),2)))*(1+FedEx_Markup),2)</f>
        <v>231.93</v>
      </c>
      <c r="L51" s="295">
        <f>ROUND((IF('F Intl Con Plus Base'!$L$120&gt;ROUND(((1-'F Intl Con Plus Base'!$L$117)*'F Intl Con Plus Base'!L48),2),ROUND('F Intl Con Plus Base'!$L$120*(1+International_Fuel_Surcharge),2),ROUND(((1-'F Intl Con Plus Base'!$L$117)*'F Intl Con Plus Base'!L48)*(1+International_Fuel_Surcharge),2)))*(1+FedEx_Markup),2)</f>
        <v>190.08</v>
      </c>
      <c r="M51" s="295">
        <f>ROUND((IF('F Intl Con Plus Base'!$M$120&gt;ROUND(((1-'F Intl Con Plus Base'!$M$117)*'F Intl Con Plus Base'!M48),2),ROUND('F Intl Con Plus Base'!$M$120*(1+International_Fuel_Surcharge),2),ROUND(((1-'F Intl Con Plus Base'!$M$117)*'F Intl Con Plus Base'!M48)*(1+International_Fuel_Surcharge),2)))*(1+FedEx_Markup),2)</f>
        <v>249.84</v>
      </c>
      <c r="N51" s="295">
        <f>ROUND((IF('F Intl Con Plus Base'!$N$120&gt;ROUND(((1-'F Intl Con Plus Base'!$N$117)*'F Intl Con Plus Base'!N48),2),ROUND('F Intl Con Plus Base'!$N$120*(1+International_Fuel_Surcharge),2),ROUND(((1-'F Intl Con Plus Base'!$N$117)*'F Intl Con Plus Base'!N48)*(1+International_Fuel_Surcharge),2)))*(1+FedEx_Markup),2)</f>
        <v>274.65</v>
      </c>
      <c r="O51" s="295">
        <f>ROUND((IF('F Intl Con Plus Base'!$O$120&gt;ROUND(((1-'F Intl Con Plus Base'!$O$117)*'F Intl Con Plus Base'!O48),2),ROUND('F Intl Con Plus Base'!$O$120*(1+International_Fuel_Surcharge),2),ROUND(((1-'F Intl Con Plus Base'!$O$117)*'F Intl Con Plus Base'!O48)*(1+International_Fuel_Surcharge),2)))*(1+FedEx_Markup),2)</f>
        <v>216.04</v>
      </c>
      <c r="P51" s="295">
        <f>ROUND((IF('F Intl Con Plus Base'!$P$120&gt;ROUND(((1-'F Intl Con Plus Base'!$P$117)*'F Intl Con Plus Base'!P48),2),ROUND('F Intl Con Plus Base'!$P$120*(1+International_Fuel_Surcharge),2),ROUND(((1-'F Intl Con Plus Base'!$P$117)*'F Intl Con Plus Base'!P48)*(1+International_Fuel_Surcharge),2)))*(1+FedEx_Markup),2)</f>
        <v>189.73</v>
      </c>
      <c r="Q51" s="138"/>
      <c r="R51" s="138"/>
      <c r="S51" s="138"/>
      <c r="T51" s="138"/>
      <c r="U51" s="138"/>
      <c r="V51" s="138"/>
      <c r="W51" s="138"/>
      <c r="X51" s="138"/>
      <c r="Y51" s="138"/>
      <c r="Z51" s="138"/>
    </row>
    <row r="52" ht="12.75" customHeight="1">
      <c r="A52" s="294">
        <v>47.0</v>
      </c>
      <c r="B52" s="295">
        <f>ROUND((IF('F Intl Con Plus Base'!$B$120&gt;ROUND(((1-'F Intl Con Plus Base'!$B$117)*'F Intl Con Plus Base'!B49),2),ROUND('F Intl Con Plus Base'!$B$120*(1+International_Fuel_Surcharge),2),ROUND(((1-'F Intl Con Plus Base'!$B$117)*'F Intl Con Plus Base'!B49)*(1+International_Fuel_Surcharge),2)))*(1+FedEx_Markup),2)</f>
        <v>102.47</v>
      </c>
      <c r="C52" s="295">
        <f>ROUND((IF('F Intl Con Plus Base'!$C$120&gt;ROUND(((1-'F Intl Con Plus Base'!$C$117)*'F Intl Con Plus Base'!C49),2),ROUND('F Intl Con Plus Base'!$C$120*(1+International_Fuel_Surcharge),2),ROUND(((1-'F Intl Con Plus Base'!$C$117)*'F Intl Con Plus Base'!C49)*(1+International_Fuel_Surcharge),2)))*(1+FedEx_Markup),2)</f>
        <v>113.88</v>
      </c>
      <c r="D52" s="295">
        <f>ROUND((IF('F Intl Con Plus Base'!$D$120&gt;ROUND(((1-'F Intl Con Plus Base'!$D$117)*'F Intl Con Plus Base'!D49),2),ROUND('F Intl Con Plus Base'!$D$120*(1+International_Fuel_Surcharge),2),ROUND(((1-'F Intl Con Plus Base'!$D$117)*'F Intl Con Plus Base'!D49)*(1+International_Fuel_Surcharge),2)))*(1+FedEx_Markup),2)</f>
        <v>78.95</v>
      </c>
      <c r="E52" s="295">
        <f>ROUND((IF('F Intl Con Plus Base'!$E$120&gt;ROUND(((1-'F Intl Con Plus Base'!$E$117)*'F Intl Con Plus Base'!E49),2),ROUND('F Intl Con Plus Base'!$E$120*(1+International_Fuel_Surcharge),2),ROUND(((1-'F Intl Con Plus Base'!$E$117)*'F Intl Con Plus Base'!E49)*(1+International_Fuel_Surcharge),2)))*(1+FedEx_Markup),2)</f>
        <v>136.28</v>
      </c>
      <c r="F52" s="295">
        <f>ROUND((IF('F Intl Con Plus Base'!$F$120&gt;ROUND(((1-'F Intl Con Plus Base'!$F$117)*'F Intl Con Plus Base'!F49),2),ROUND('F Intl Con Plus Base'!$F$120*(1+International_Fuel_Surcharge),2),ROUND(((1-'F Intl Con Plus Base'!$F$117)*'F Intl Con Plus Base'!F49)*(1+International_Fuel_Surcharge),2)))*(1+FedEx_Markup),2)</f>
        <v>285.63</v>
      </c>
      <c r="G52" s="295">
        <f>ROUND((IF('F Intl Con Plus Base'!$G$120&gt;ROUND(((1-'F Intl Con Plus Base'!$G$117)*'F Intl Con Plus Base'!G49),2),ROUND('F Intl Con Plus Base'!$G$120*(1+International_Fuel_Surcharge),2),ROUND(((1-'F Intl Con Plus Base'!$G$117)*'F Intl Con Plus Base'!G49)*(1+International_Fuel_Surcharge),2)))*(1+FedEx_Markup),2)</f>
        <v>149.81</v>
      </c>
      <c r="H52" s="295">
        <f>ROUND((IF('F Intl Con Plus Base'!$H$120&gt;ROUND(((1-'F Intl Con Plus Base'!$H$117)*'F Intl Con Plus Base'!H49),2),ROUND('F Intl Con Plus Base'!$H$120*(1+International_Fuel_Surcharge),2),ROUND(((1-'F Intl Con Plus Base'!$H$117)*'F Intl Con Plus Base'!H49)*(1+International_Fuel_Surcharge),2)))*(1+FedEx_Markup),2)</f>
        <v>157.25</v>
      </c>
      <c r="I52" s="295">
        <f>ROUND((IF('F Intl Con Plus Base'!$I$120&gt;ROUND(((1-'F Intl Con Plus Base'!$I$117)*'F Intl Con Plus Base'!I49),2),ROUND('F Intl Con Plus Base'!$I$120*(1+International_Fuel_Surcharge),2),ROUND(((1-'F Intl Con Plus Base'!$I$117)*'F Intl Con Plus Base'!I49)*(1+International_Fuel_Surcharge),2)))*(1+FedEx_Markup),2)</f>
        <v>190.81</v>
      </c>
      <c r="J52" s="295">
        <f>ROUND((IF('F Intl Con Plus Base'!$J$120&gt;ROUND(((1-'F Intl Con Plus Base'!$J$117)*'F Intl Con Plus Base'!J49),2),ROUND('F Intl Con Plus Base'!$J$120*(1+International_Fuel_Surcharge),2),ROUND(((1-'F Intl Con Plus Base'!$J$117)*'F Intl Con Plus Base'!J49)*(1+International_Fuel_Surcharge),2)))*(1+FedEx_Markup),2)</f>
        <v>109.95</v>
      </c>
      <c r="K52" s="295">
        <f>ROUND((IF('F Intl Con Plus Base'!$K$120&gt;ROUND(((1-'F Intl Con Plus Base'!$K$117)*'F Intl Con Plus Base'!K49),2),ROUND('F Intl Con Plus Base'!$K$120*(1+International_Fuel_Surcharge),2),ROUND(((1-'F Intl Con Plus Base'!$K$117)*'F Intl Con Plus Base'!K49)*(1+International_Fuel_Surcharge),2)))*(1+FedEx_Markup),2)</f>
        <v>232.09</v>
      </c>
      <c r="L52" s="295">
        <f>ROUND((IF('F Intl Con Plus Base'!$L$120&gt;ROUND(((1-'F Intl Con Plus Base'!$L$117)*'F Intl Con Plus Base'!L49),2),ROUND('F Intl Con Plus Base'!$L$120*(1+International_Fuel_Surcharge),2),ROUND(((1-'F Intl Con Plus Base'!$L$117)*'F Intl Con Plus Base'!L49)*(1+International_Fuel_Surcharge),2)))*(1+FedEx_Markup),2)</f>
        <v>190.58</v>
      </c>
      <c r="M52" s="295">
        <f>ROUND((IF('F Intl Con Plus Base'!$M$120&gt;ROUND(((1-'F Intl Con Plus Base'!$M$117)*'F Intl Con Plus Base'!M49),2),ROUND('F Intl Con Plus Base'!$M$120*(1+International_Fuel_Surcharge),2),ROUND(((1-'F Intl Con Plus Base'!$M$117)*'F Intl Con Plus Base'!M49)*(1+International_Fuel_Surcharge),2)))*(1+FedEx_Markup),2)</f>
        <v>251.16</v>
      </c>
      <c r="N52" s="295">
        <f>ROUND((IF('F Intl Con Plus Base'!$N$120&gt;ROUND(((1-'F Intl Con Plus Base'!$N$117)*'F Intl Con Plus Base'!N49),2),ROUND('F Intl Con Plus Base'!$N$120*(1+International_Fuel_Surcharge),2),ROUND(((1-'F Intl Con Plus Base'!$N$117)*'F Intl Con Plus Base'!N49)*(1+International_Fuel_Surcharge),2)))*(1+FedEx_Markup),2)</f>
        <v>274.74</v>
      </c>
      <c r="O52" s="295">
        <f>ROUND((IF('F Intl Con Plus Base'!$O$120&gt;ROUND(((1-'F Intl Con Plus Base'!$O$117)*'F Intl Con Plus Base'!O49),2),ROUND('F Intl Con Plus Base'!$O$120*(1+International_Fuel_Surcharge),2),ROUND(((1-'F Intl Con Plus Base'!$O$117)*'F Intl Con Plus Base'!O49)*(1+International_Fuel_Surcharge),2)))*(1+FedEx_Markup),2)</f>
        <v>216.32</v>
      </c>
      <c r="P52" s="295">
        <f>ROUND((IF('F Intl Con Plus Base'!$P$120&gt;ROUND(((1-'F Intl Con Plus Base'!$P$117)*'F Intl Con Plus Base'!P49),2),ROUND('F Intl Con Plus Base'!$P$120*(1+International_Fuel_Surcharge),2),ROUND(((1-'F Intl Con Plus Base'!$P$117)*'F Intl Con Plus Base'!P49)*(1+International_Fuel_Surcharge),2)))*(1+FedEx_Markup),2)</f>
        <v>203.07</v>
      </c>
      <c r="Q52" s="138"/>
      <c r="R52" s="138"/>
      <c r="S52" s="138"/>
      <c r="T52" s="138"/>
      <c r="U52" s="138"/>
      <c r="V52" s="138"/>
      <c r="W52" s="138"/>
      <c r="X52" s="138"/>
      <c r="Y52" s="138"/>
      <c r="Z52" s="138"/>
    </row>
    <row r="53" ht="12.75" customHeight="1">
      <c r="A53" s="294">
        <v>48.0</v>
      </c>
      <c r="B53" s="295">
        <f>ROUND((IF('F Intl Con Plus Base'!$B$120&gt;ROUND(((1-'F Intl Con Plus Base'!$B$117)*'F Intl Con Plus Base'!B50),2),ROUND('F Intl Con Plus Base'!$B$120*(1+International_Fuel_Surcharge),2),ROUND(((1-'F Intl Con Plus Base'!$B$117)*'F Intl Con Plus Base'!B50)*(1+International_Fuel_Surcharge),2)))*(1+FedEx_Markup),2)</f>
        <v>102.74</v>
      </c>
      <c r="C53" s="295">
        <f>ROUND((IF('F Intl Con Plus Base'!$C$120&gt;ROUND(((1-'F Intl Con Plus Base'!$C$117)*'F Intl Con Plus Base'!C50),2),ROUND('F Intl Con Plus Base'!$C$120*(1+International_Fuel_Surcharge),2),ROUND(((1-'F Intl Con Plus Base'!$C$117)*'F Intl Con Plus Base'!C50)*(1+International_Fuel_Surcharge),2)))*(1+FedEx_Markup),2)</f>
        <v>116.51</v>
      </c>
      <c r="D53" s="295">
        <f>ROUND((IF('F Intl Con Plus Base'!$D$120&gt;ROUND(((1-'F Intl Con Plus Base'!$D$117)*'F Intl Con Plus Base'!D50),2),ROUND('F Intl Con Plus Base'!$D$120*(1+International_Fuel_Surcharge),2),ROUND(((1-'F Intl Con Plus Base'!$D$117)*'F Intl Con Plus Base'!D50)*(1+International_Fuel_Surcharge),2)))*(1+FedEx_Markup),2)</f>
        <v>79.04</v>
      </c>
      <c r="E53" s="295">
        <f>ROUND((IF('F Intl Con Plus Base'!$E$120&gt;ROUND(((1-'F Intl Con Plus Base'!$E$117)*'F Intl Con Plus Base'!E50),2),ROUND('F Intl Con Plus Base'!$E$120*(1+International_Fuel_Surcharge),2),ROUND(((1-'F Intl Con Plus Base'!$E$117)*'F Intl Con Plus Base'!E50)*(1+International_Fuel_Surcharge),2)))*(1+FedEx_Markup),2)</f>
        <v>136.33</v>
      </c>
      <c r="F53" s="295">
        <f>ROUND((IF('F Intl Con Plus Base'!$F$120&gt;ROUND(((1-'F Intl Con Plus Base'!$F$117)*'F Intl Con Plus Base'!F50),2),ROUND('F Intl Con Plus Base'!$F$120*(1+International_Fuel_Surcharge),2),ROUND(((1-'F Intl Con Plus Base'!$F$117)*'F Intl Con Plus Base'!F50)*(1+International_Fuel_Surcharge),2)))*(1+FedEx_Markup),2)</f>
        <v>287.2</v>
      </c>
      <c r="G53" s="295">
        <f>ROUND((IF('F Intl Con Plus Base'!$G$120&gt;ROUND(((1-'F Intl Con Plus Base'!$G$117)*'F Intl Con Plus Base'!G50),2),ROUND('F Intl Con Plus Base'!$G$120*(1+International_Fuel_Surcharge),2),ROUND(((1-'F Intl Con Plus Base'!$G$117)*'F Intl Con Plus Base'!G50)*(1+International_Fuel_Surcharge),2)))*(1+FedEx_Markup),2)</f>
        <v>150.18</v>
      </c>
      <c r="H53" s="295">
        <f>ROUND((IF('F Intl Con Plus Base'!$H$120&gt;ROUND(((1-'F Intl Con Plus Base'!$H$117)*'F Intl Con Plus Base'!H50),2),ROUND('F Intl Con Plus Base'!$H$120*(1+International_Fuel_Surcharge),2),ROUND(((1-'F Intl Con Plus Base'!$H$117)*'F Intl Con Plus Base'!H50)*(1+International_Fuel_Surcharge),2)))*(1+FedEx_Markup),2)</f>
        <v>157.3</v>
      </c>
      <c r="I53" s="295">
        <f>ROUND((IF('F Intl Con Plus Base'!$I$120&gt;ROUND(((1-'F Intl Con Plus Base'!$I$117)*'F Intl Con Plus Base'!I50),2),ROUND('F Intl Con Plus Base'!$I$120*(1+International_Fuel_Surcharge),2),ROUND(((1-'F Intl Con Plus Base'!$I$117)*'F Intl Con Plus Base'!I50)*(1+International_Fuel_Surcharge),2)))*(1+FedEx_Markup),2)</f>
        <v>193.22</v>
      </c>
      <c r="J53" s="295">
        <f>ROUND((IF('F Intl Con Plus Base'!$J$120&gt;ROUND(((1-'F Intl Con Plus Base'!$J$117)*'F Intl Con Plus Base'!J50),2),ROUND('F Intl Con Plus Base'!$J$120*(1+International_Fuel_Surcharge),2),ROUND(((1-'F Intl Con Plus Base'!$J$117)*'F Intl Con Plus Base'!J50)*(1+International_Fuel_Surcharge),2)))*(1+FedEx_Markup),2)</f>
        <v>118.44</v>
      </c>
      <c r="K53" s="295">
        <f>ROUND((IF('F Intl Con Plus Base'!$K$120&gt;ROUND(((1-'F Intl Con Plus Base'!$K$117)*'F Intl Con Plus Base'!K50),2),ROUND('F Intl Con Plus Base'!$K$120*(1+International_Fuel_Surcharge),2),ROUND(((1-'F Intl Con Plus Base'!$K$117)*'F Intl Con Plus Base'!K50)*(1+International_Fuel_Surcharge),2)))*(1+FedEx_Markup),2)</f>
        <v>235.08</v>
      </c>
      <c r="L53" s="295">
        <f>ROUND((IF('F Intl Con Plus Base'!$L$120&gt;ROUND(((1-'F Intl Con Plus Base'!$L$117)*'F Intl Con Plus Base'!L50),2),ROUND('F Intl Con Plus Base'!$L$120*(1+International_Fuel_Surcharge),2),ROUND(((1-'F Intl Con Plus Base'!$L$117)*'F Intl Con Plus Base'!L50)*(1+International_Fuel_Surcharge),2)))*(1+FedEx_Markup),2)</f>
        <v>191.59</v>
      </c>
      <c r="M53" s="295">
        <f>ROUND((IF('F Intl Con Plus Base'!$M$120&gt;ROUND(((1-'F Intl Con Plus Base'!$M$117)*'F Intl Con Plus Base'!M50),2),ROUND('F Intl Con Plus Base'!$M$120*(1+International_Fuel_Surcharge),2),ROUND(((1-'F Intl Con Plus Base'!$M$117)*'F Intl Con Plus Base'!M50)*(1+International_Fuel_Surcharge),2)))*(1+FedEx_Markup),2)</f>
        <v>254.85</v>
      </c>
      <c r="N53" s="295">
        <f>ROUND((IF('F Intl Con Plus Base'!$N$120&gt;ROUND(((1-'F Intl Con Plus Base'!$N$117)*'F Intl Con Plus Base'!N50),2),ROUND('F Intl Con Plus Base'!$N$120*(1+International_Fuel_Surcharge),2),ROUND(((1-'F Intl Con Plus Base'!$N$117)*'F Intl Con Plus Base'!N50)*(1+International_Fuel_Surcharge),2)))*(1+FedEx_Markup),2)</f>
        <v>276.35</v>
      </c>
      <c r="O53" s="295">
        <f>ROUND((IF('F Intl Con Plus Base'!$O$120&gt;ROUND(((1-'F Intl Con Plus Base'!$O$117)*'F Intl Con Plus Base'!O50),2),ROUND('F Intl Con Plus Base'!$O$120*(1+International_Fuel_Surcharge),2),ROUND(((1-'F Intl Con Plus Base'!$O$117)*'F Intl Con Plus Base'!O50)*(1+International_Fuel_Surcharge),2)))*(1+FedEx_Markup),2)</f>
        <v>216.43</v>
      </c>
      <c r="P53" s="295">
        <f>ROUND((IF('F Intl Con Plus Base'!$P$120&gt;ROUND(((1-'F Intl Con Plus Base'!$P$117)*'F Intl Con Plus Base'!P50),2),ROUND('F Intl Con Plus Base'!$P$120*(1+International_Fuel_Surcharge),2),ROUND(((1-'F Intl Con Plus Base'!$P$117)*'F Intl Con Plus Base'!P50)*(1+International_Fuel_Surcharge),2)))*(1+FedEx_Markup),2)</f>
        <v>204.4</v>
      </c>
      <c r="Q53" s="138"/>
      <c r="R53" s="138"/>
      <c r="S53" s="138"/>
      <c r="T53" s="138"/>
      <c r="U53" s="138"/>
      <c r="V53" s="138"/>
      <c r="W53" s="138"/>
      <c r="X53" s="138"/>
      <c r="Y53" s="138"/>
      <c r="Z53" s="138"/>
    </row>
    <row r="54" ht="12.75" customHeight="1">
      <c r="A54" s="294">
        <v>49.0</v>
      </c>
      <c r="B54" s="295">
        <f>ROUND((IF('F Intl Con Plus Base'!$B$120&gt;ROUND(((1-'F Intl Con Plus Base'!$B$117)*'F Intl Con Plus Base'!B51),2),ROUND('F Intl Con Plus Base'!$B$120*(1+International_Fuel_Surcharge),2),ROUND(((1-'F Intl Con Plus Base'!$B$117)*'F Intl Con Plus Base'!B51)*(1+International_Fuel_Surcharge),2)))*(1+FedEx_Markup),2)</f>
        <v>103.94</v>
      </c>
      <c r="C54" s="295">
        <f>ROUND((IF('F Intl Con Plus Base'!$C$120&gt;ROUND(((1-'F Intl Con Plus Base'!$C$117)*'F Intl Con Plus Base'!C51),2),ROUND('F Intl Con Plus Base'!$C$120*(1+International_Fuel_Surcharge),2),ROUND(((1-'F Intl Con Plus Base'!$C$117)*'F Intl Con Plus Base'!C51)*(1+International_Fuel_Surcharge),2)))*(1+FedEx_Markup),2)</f>
        <v>116.77</v>
      </c>
      <c r="D54" s="295">
        <f>ROUND((IF('F Intl Con Plus Base'!$D$120&gt;ROUND(((1-'F Intl Con Plus Base'!$D$117)*'F Intl Con Plus Base'!D51),2),ROUND('F Intl Con Plus Base'!$D$120*(1+International_Fuel_Surcharge),2),ROUND(((1-'F Intl Con Plus Base'!$D$117)*'F Intl Con Plus Base'!D51)*(1+International_Fuel_Surcharge),2)))*(1+FedEx_Markup),2)</f>
        <v>79.09</v>
      </c>
      <c r="E54" s="295">
        <f>ROUND((IF('F Intl Con Plus Base'!$E$120&gt;ROUND(((1-'F Intl Con Plus Base'!$E$117)*'F Intl Con Plus Base'!E51),2),ROUND('F Intl Con Plus Base'!$E$120*(1+International_Fuel_Surcharge),2),ROUND(((1-'F Intl Con Plus Base'!$E$117)*'F Intl Con Plus Base'!E51)*(1+International_Fuel_Surcharge),2)))*(1+FedEx_Markup),2)</f>
        <v>136.39</v>
      </c>
      <c r="F54" s="295">
        <f>ROUND((IF('F Intl Con Plus Base'!$F$120&gt;ROUND(((1-'F Intl Con Plus Base'!$F$117)*'F Intl Con Plus Base'!F51),2),ROUND('F Intl Con Plus Base'!$F$120*(1+International_Fuel_Surcharge),2),ROUND(((1-'F Intl Con Plus Base'!$F$117)*'F Intl Con Plus Base'!F51)*(1+International_Fuel_Surcharge),2)))*(1+FedEx_Markup),2)</f>
        <v>288.25</v>
      </c>
      <c r="G54" s="295">
        <f>ROUND((IF('F Intl Con Plus Base'!$G$120&gt;ROUND(((1-'F Intl Con Plus Base'!$G$117)*'F Intl Con Plus Base'!G51),2),ROUND('F Intl Con Plus Base'!$G$120*(1+International_Fuel_Surcharge),2),ROUND(((1-'F Intl Con Plus Base'!$G$117)*'F Intl Con Plus Base'!G51)*(1+International_Fuel_Surcharge),2)))*(1+FedEx_Markup),2)</f>
        <v>157.53</v>
      </c>
      <c r="H54" s="295">
        <f>ROUND((IF('F Intl Con Plus Base'!$H$120&gt;ROUND(((1-'F Intl Con Plus Base'!$H$117)*'F Intl Con Plus Base'!H51),2),ROUND('F Intl Con Plus Base'!$H$120*(1+International_Fuel_Surcharge),2),ROUND(((1-'F Intl Con Plus Base'!$H$117)*'F Intl Con Plus Base'!H51)*(1+International_Fuel_Surcharge),2)))*(1+FedEx_Markup),2)</f>
        <v>157.45</v>
      </c>
      <c r="I54" s="295">
        <f>ROUND((IF('F Intl Con Plus Base'!$I$120&gt;ROUND(((1-'F Intl Con Plus Base'!$I$117)*'F Intl Con Plus Base'!I51),2),ROUND('F Intl Con Plus Base'!$I$120*(1+International_Fuel_Surcharge),2),ROUND(((1-'F Intl Con Plus Base'!$I$117)*'F Intl Con Plus Base'!I51)*(1+International_Fuel_Surcharge),2)))*(1+FedEx_Markup),2)</f>
        <v>199.09</v>
      </c>
      <c r="J54" s="295">
        <f>ROUND((IF('F Intl Con Plus Base'!$J$120&gt;ROUND(((1-'F Intl Con Plus Base'!$J$117)*'F Intl Con Plus Base'!J51),2),ROUND('F Intl Con Plus Base'!$J$120*(1+International_Fuel_Surcharge),2),ROUND(((1-'F Intl Con Plus Base'!$J$117)*'F Intl Con Plus Base'!J51)*(1+International_Fuel_Surcharge),2)))*(1+FedEx_Markup),2)</f>
        <v>119.28</v>
      </c>
      <c r="K54" s="295">
        <f>ROUND((IF('F Intl Con Plus Base'!$K$120&gt;ROUND(((1-'F Intl Con Plus Base'!$K$117)*'F Intl Con Plus Base'!K51),2),ROUND('F Intl Con Plus Base'!$K$120*(1+International_Fuel_Surcharge),2),ROUND(((1-'F Intl Con Plus Base'!$K$117)*'F Intl Con Plus Base'!K51)*(1+International_Fuel_Surcharge),2)))*(1+FedEx_Markup),2)</f>
        <v>242.24</v>
      </c>
      <c r="L54" s="295">
        <f>ROUND((IF('F Intl Con Plus Base'!$L$120&gt;ROUND(((1-'F Intl Con Plus Base'!$L$117)*'F Intl Con Plus Base'!L51),2),ROUND('F Intl Con Plus Base'!$L$120*(1+International_Fuel_Surcharge),2),ROUND(((1-'F Intl Con Plus Base'!$L$117)*'F Intl Con Plus Base'!L51)*(1+International_Fuel_Surcharge),2)))*(1+FedEx_Markup),2)</f>
        <v>200.2</v>
      </c>
      <c r="M54" s="295">
        <f>ROUND((IF('F Intl Con Plus Base'!$M$120&gt;ROUND(((1-'F Intl Con Plus Base'!$M$117)*'F Intl Con Plus Base'!M51),2),ROUND('F Intl Con Plus Base'!$M$120*(1+International_Fuel_Surcharge),2),ROUND(((1-'F Intl Con Plus Base'!$M$117)*'F Intl Con Plus Base'!M51)*(1+International_Fuel_Surcharge),2)))*(1+FedEx_Markup),2)</f>
        <v>278.09</v>
      </c>
      <c r="N54" s="295">
        <f>ROUND((IF('F Intl Con Plus Base'!$N$120&gt;ROUND(((1-'F Intl Con Plus Base'!$N$117)*'F Intl Con Plus Base'!N51),2),ROUND('F Intl Con Plus Base'!$N$120*(1+International_Fuel_Surcharge),2),ROUND(((1-'F Intl Con Plus Base'!$N$117)*'F Intl Con Plus Base'!N51)*(1+International_Fuel_Surcharge),2)))*(1+FedEx_Markup),2)</f>
        <v>286.24</v>
      </c>
      <c r="O54" s="295">
        <f>ROUND((IF('F Intl Con Plus Base'!$O$120&gt;ROUND(((1-'F Intl Con Plus Base'!$O$117)*'F Intl Con Plus Base'!O51),2),ROUND('F Intl Con Plus Base'!$O$120*(1+International_Fuel_Surcharge),2),ROUND(((1-'F Intl Con Plus Base'!$O$117)*'F Intl Con Plus Base'!O51)*(1+International_Fuel_Surcharge),2)))*(1+FedEx_Markup),2)</f>
        <v>218.4</v>
      </c>
      <c r="P54" s="295">
        <f>ROUND((IF('F Intl Con Plus Base'!$P$120&gt;ROUND(((1-'F Intl Con Plus Base'!$P$117)*'F Intl Con Plus Base'!P51),2),ROUND('F Intl Con Plus Base'!$P$120*(1+International_Fuel_Surcharge),2),ROUND(((1-'F Intl Con Plus Base'!$P$117)*'F Intl Con Plus Base'!P51)*(1+International_Fuel_Surcharge),2)))*(1+FedEx_Markup),2)</f>
        <v>204.71</v>
      </c>
      <c r="Q54" s="138"/>
      <c r="R54" s="138"/>
      <c r="S54" s="138"/>
      <c r="T54" s="138"/>
      <c r="U54" s="138"/>
      <c r="V54" s="138"/>
      <c r="W54" s="138"/>
      <c r="X54" s="138"/>
      <c r="Y54" s="138"/>
      <c r="Z54" s="138"/>
    </row>
    <row r="55" ht="12.75" customHeight="1">
      <c r="A55" s="294">
        <v>50.0</v>
      </c>
      <c r="B55" s="295">
        <f>ROUND((IF('F Intl Con Plus Base'!$B$120&gt;ROUND(((1-'F Intl Con Plus Base'!$B$117)*'F Intl Con Plus Base'!B52),2),ROUND('F Intl Con Plus Base'!$B$120*(1+International_Fuel_Surcharge),2),ROUND(((1-'F Intl Con Plus Base'!$B$117)*'F Intl Con Plus Base'!B52)*(1+International_Fuel_Surcharge),2)))*(1+FedEx_Markup),2)</f>
        <v>105.8</v>
      </c>
      <c r="C55" s="295">
        <f>ROUND((IF('F Intl Con Plus Base'!$C$120&gt;ROUND(((1-'F Intl Con Plus Base'!$C$117)*'F Intl Con Plus Base'!C52),2),ROUND('F Intl Con Plus Base'!$C$120*(1+International_Fuel_Surcharge),2),ROUND(((1-'F Intl Con Plus Base'!$C$117)*'F Intl Con Plus Base'!C52)*(1+International_Fuel_Surcharge),2)))*(1+FedEx_Markup),2)</f>
        <v>118.85</v>
      </c>
      <c r="D55" s="295">
        <f>ROUND((IF('F Intl Con Plus Base'!$D$120&gt;ROUND(((1-'F Intl Con Plus Base'!$D$117)*'F Intl Con Plus Base'!D52),2),ROUND('F Intl Con Plus Base'!$D$120*(1+International_Fuel_Surcharge),2),ROUND(((1-'F Intl Con Plus Base'!$D$117)*'F Intl Con Plus Base'!D52)*(1+International_Fuel_Surcharge),2)))*(1+FedEx_Markup),2)</f>
        <v>79.14</v>
      </c>
      <c r="E55" s="295">
        <f>ROUND((IF('F Intl Con Plus Base'!$E$120&gt;ROUND(((1-'F Intl Con Plus Base'!$E$117)*'F Intl Con Plus Base'!E52),2),ROUND('F Intl Con Plus Base'!$E$120*(1+International_Fuel_Surcharge),2),ROUND(((1-'F Intl Con Plus Base'!$E$117)*'F Intl Con Plus Base'!E52)*(1+International_Fuel_Surcharge),2)))*(1+FedEx_Markup),2)</f>
        <v>137.46</v>
      </c>
      <c r="F55" s="295">
        <f>ROUND((IF('F Intl Con Plus Base'!$F$120&gt;ROUND(((1-'F Intl Con Plus Base'!$F$117)*'F Intl Con Plus Base'!F52),2),ROUND('F Intl Con Plus Base'!$F$120*(1+International_Fuel_Surcharge),2),ROUND(((1-'F Intl Con Plus Base'!$F$117)*'F Intl Con Plus Base'!F52)*(1+International_Fuel_Surcharge),2)))*(1+FedEx_Markup),2)</f>
        <v>309.2</v>
      </c>
      <c r="G55" s="295">
        <f>ROUND((IF('F Intl Con Plus Base'!$G$120&gt;ROUND(((1-'F Intl Con Plus Base'!$G$117)*'F Intl Con Plus Base'!G52),2),ROUND('F Intl Con Plus Base'!$G$120*(1+International_Fuel_Surcharge),2),ROUND(((1-'F Intl Con Plus Base'!$G$117)*'F Intl Con Plus Base'!G52)*(1+International_Fuel_Surcharge),2)))*(1+FedEx_Markup),2)</f>
        <v>158.26</v>
      </c>
      <c r="H55" s="295">
        <f>ROUND((IF('F Intl Con Plus Base'!$H$120&gt;ROUND(((1-'F Intl Con Plus Base'!$H$117)*'F Intl Con Plus Base'!H52),2),ROUND('F Intl Con Plus Base'!$H$120*(1+International_Fuel_Surcharge),2),ROUND(((1-'F Intl Con Plus Base'!$H$117)*'F Intl Con Plus Base'!H52)*(1+International_Fuel_Surcharge),2)))*(1+FedEx_Markup),2)</f>
        <v>157.77</v>
      </c>
      <c r="I55" s="295">
        <f>ROUND((IF('F Intl Con Plus Base'!$I$120&gt;ROUND(((1-'F Intl Con Plus Base'!$I$117)*'F Intl Con Plus Base'!I52),2),ROUND('F Intl Con Plus Base'!$I$120*(1+International_Fuel_Surcharge),2),ROUND(((1-'F Intl Con Plus Base'!$I$117)*'F Intl Con Plus Base'!I52)*(1+International_Fuel_Surcharge),2)))*(1+FedEx_Markup),2)</f>
        <v>200.02</v>
      </c>
      <c r="J55" s="295">
        <f>ROUND((IF('F Intl Con Plus Base'!$J$120&gt;ROUND(((1-'F Intl Con Plus Base'!$J$117)*'F Intl Con Plus Base'!J52),2),ROUND('F Intl Con Plus Base'!$J$120*(1+International_Fuel_Surcharge),2),ROUND(((1-'F Intl Con Plus Base'!$J$117)*'F Intl Con Plus Base'!J52)*(1+International_Fuel_Surcharge),2)))*(1+FedEx_Markup),2)</f>
        <v>119.37</v>
      </c>
      <c r="K55" s="295">
        <f>ROUND((IF('F Intl Con Plus Base'!$K$120&gt;ROUND(((1-'F Intl Con Plus Base'!$K$117)*'F Intl Con Plus Base'!K52),2),ROUND('F Intl Con Plus Base'!$K$120*(1+International_Fuel_Surcharge),2),ROUND(((1-'F Intl Con Plus Base'!$K$117)*'F Intl Con Plus Base'!K52)*(1+International_Fuel_Surcharge),2)))*(1+FedEx_Markup),2)</f>
        <v>243.19</v>
      </c>
      <c r="L55" s="295">
        <f>ROUND((IF('F Intl Con Plus Base'!$L$120&gt;ROUND(((1-'F Intl Con Plus Base'!$L$117)*'F Intl Con Plus Base'!L52),2),ROUND('F Intl Con Plus Base'!$L$120*(1+International_Fuel_Surcharge),2),ROUND(((1-'F Intl Con Plus Base'!$L$117)*'F Intl Con Plus Base'!L52)*(1+International_Fuel_Surcharge),2)))*(1+FedEx_Markup),2)</f>
        <v>201.07</v>
      </c>
      <c r="M55" s="295">
        <f>ROUND((IF('F Intl Con Plus Base'!$M$120&gt;ROUND(((1-'F Intl Con Plus Base'!$M$117)*'F Intl Con Plus Base'!M52),2),ROUND('F Intl Con Plus Base'!$M$120*(1+International_Fuel_Surcharge),2),ROUND(((1-'F Intl Con Plus Base'!$M$117)*'F Intl Con Plus Base'!M52)*(1+International_Fuel_Surcharge),2)))*(1+FedEx_Markup),2)</f>
        <v>280.95</v>
      </c>
      <c r="N55" s="295">
        <f>ROUND((IF('F Intl Con Plus Base'!$N$120&gt;ROUND(((1-'F Intl Con Plus Base'!$N$117)*'F Intl Con Plus Base'!N52),2),ROUND('F Intl Con Plus Base'!$N$120*(1+International_Fuel_Surcharge),2),ROUND(((1-'F Intl Con Plus Base'!$N$117)*'F Intl Con Plus Base'!N52)*(1+International_Fuel_Surcharge),2)))*(1+FedEx_Markup),2)</f>
        <v>289.51</v>
      </c>
      <c r="O55" s="295">
        <f>ROUND((IF('F Intl Con Plus Base'!$O$120&gt;ROUND(((1-'F Intl Con Plus Base'!$O$117)*'F Intl Con Plus Base'!O52),2),ROUND('F Intl Con Plus Base'!$O$120*(1+International_Fuel_Surcharge),2),ROUND(((1-'F Intl Con Plus Base'!$O$117)*'F Intl Con Plus Base'!O52)*(1+International_Fuel_Surcharge),2)))*(1+FedEx_Markup),2)</f>
        <v>218.59</v>
      </c>
      <c r="P55" s="295">
        <f>ROUND((IF('F Intl Con Plus Base'!$P$120&gt;ROUND(((1-'F Intl Con Plus Base'!$P$117)*'F Intl Con Plus Base'!P52),2),ROUND('F Intl Con Plus Base'!$P$120*(1+International_Fuel_Surcharge),2),ROUND(((1-'F Intl Con Plus Base'!$P$117)*'F Intl Con Plus Base'!P52)*(1+International_Fuel_Surcharge),2)))*(1+FedEx_Markup),2)</f>
        <v>210.98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</row>
    <row r="56" ht="12.75" customHeight="1">
      <c r="A56" s="294">
        <v>51.0</v>
      </c>
      <c r="B56" s="295">
        <f>ROUND((IF('F Intl Con Plus Base'!$B$120&gt;ROUND(((1-'F Intl Con Plus Base'!$B$117)*'F Intl Con Plus Base'!B53),2),ROUND('F Intl Con Plus Base'!$B$120*(1+International_Fuel_Surcharge),2),ROUND(((1-'F Intl Con Plus Base'!$B$117)*'F Intl Con Plus Base'!B53)*(1+International_Fuel_Surcharge),2)))*(1+FedEx_Markup),2)</f>
        <v>109.77</v>
      </c>
      <c r="C56" s="295">
        <f>ROUND((IF('F Intl Con Plus Base'!$C$120&gt;ROUND(((1-'F Intl Con Plus Base'!$C$117)*'F Intl Con Plus Base'!C53),2),ROUND('F Intl Con Plus Base'!$C$120*(1+International_Fuel_Surcharge),2),ROUND(((1-'F Intl Con Plus Base'!$C$117)*'F Intl Con Plus Base'!C53)*(1+International_Fuel_Surcharge),2)))*(1+FedEx_Markup),2)</f>
        <v>122.72</v>
      </c>
      <c r="D56" s="295">
        <f>ROUND((IF('F Intl Con Plus Base'!$D$120&gt;ROUND(((1-'F Intl Con Plus Base'!$D$117)*'F Intl Con Plus Base'!D53),2),ROUND('F Intl Con Plus Base'!$D$120*(1+International_Fuel_Surcharge),2),ROUND(((1-'F Intl Con Plus Base'!$D$117)*'F Intl Con Plus Base'!D53)*(1+International_Fuel_Surcharge),2)))*(1+FedEx_Markup),2)</f>
        <v>80.09</v>
      </c>
      <c r="E56" s="295">
        <f>ROUND((IF('F Intl Con Plus Base'!$E$120&gt;ROUND(((1-'F Intl Con Plus Base'!$E$117)*'F Intl Con Plus Base'!E53),2),ROUND('F Intl Con Plus Base'!$E$120*(1+International_Fuel_Surcharge),2),ROUND(((1-'F Intl Con Plus Base'!$E$117)*'F Intl Con Plus Base'!E53)*(1+International_Fuel_Surcharge),2)))*(1+FedEx_Markup),2)</f>
        <v>137.56</v>
      </c>
      <c r="F56" s="295">
        <f>ROUND((IF('F Intl Con Plus Base'!$F$120&gt;ROUND(((1-'F Intl Con Plus Base'!$F$117)*'F Intl Con Plus Base'!F53),2),ROUND('F Intl Con Plus Base'!$F$120*(1+International_Fuel_Surcharge),2),ROUND(((1-'F Intl Con Plus Base'!$F$117)*'F Intl Con Plus Base'!F53)*(1+International_Fuel_Surcharge),2)))*(1+FedEx_Markup),2)</f>
        <v>311.29</v>
      </c>
      <c r="G56" s="295">
        <f>ROUND((IF('F Intl Con Plus Base'!$G$120&gt;ROUND(((1-'F Intl Con Plus Base'!$G$117)*'F Intl Con Plus Base'!G53),2),ROUND('F Intl Con Plus Base'!$G$120*(1+International_Fuel_Surcharge),2),ROUND(((1-'F Intl Con Plus Base'!$G$117)*'F Intl Con Plus Base'!G53)*(1+International_Fuel_Surcharge),2)))*(1+FedEx_Markup),2)</f>
        <v>158.34</v>
      </c>
      <c r="H56" s="295">
        <f>ROUND((IF('F Intl Con Plus Base'!$H$120&gt;ROUND(((1-'F Intl Con Plus Base'!$H$117)*'F Intl Con Plus Base'!H53),2),ROUND('F Intl Con Plus Base'!$H$120*(1+International_Fuel_Surcharge),2),ROUND(((1-'F Intl Con Plus Base'!$H$117)*'F Intl Con Plus Base'!H53)*(1+International_Fuel_Surcharge),2)))*(1+FedEx_Markup),2)</f>
        <v>163.15</v>
      </c>
      <c r="I56" s="295">
        <f>ROUND((IF('F Intl Con Plus Base'!$I$120&gt;ROUND(((1-'F Intl Con Plus Base'!$I$117)*'F Intl Con Plus Base'!I53),2),ROUND('F Intl Con Plus Base'!$I$120*(1+International_Fuel_Surcharge),2),ROUND(((1-'F Intl Con Plus Base'!$I$117)*'F Intl Con Plus Base'!I53)*(1+International_Fuel_Surcharge),2)))*(1+FedEx_Markup),2)</f>
        <v>200.12</v>
      </c>
      <c r="J56" s="295">
        <f>ROUND((IF('F Intl Con Plus Base'!$J$120&gt;ROUND(((1-'F Intl Con Plus Base'!$J$117)*'F Intl Con Plus Base'!J53),2),ROUND('F Intl Con Plus Base'!$J$120*(1+International_Fuel_Surcharge),2),ROUND(((1-'F Intl Con Plus Base'!$J$117)*'F Intl Con Plus Base'!J53)*(1+International_Fuel_Surcharge),2)))*(1+FedEx_Markup),2)</f>
        <v>119.43</v>
      </c>
      <c r="K56" s="295">
        <f>ROUND((IF('F Intl Con Plus Base'!$K$120&gt;ROUND(((1-'F Intl Con Plus Base'!$K$117)*'F Intl Con Plus Base'!K53),2),ROUND('F Intl Con Plus Base'!$K$120*(1+International_Fuel_Surcharge),2),ROUND(((1-'F Intl Con Plus Base'!$K$117)*'F Intl Con Plus Base'!K53)*(1+International_Fuel_Surcharge),2)))*(1+FedEx_Markup),2)</f>
        <v>249.56</v>
      </c>
      <c r="L56" s="295">
        <f>ROUND((IF('F Intl Con Plus Base'!$L$120&gt;ROUND(((1-'F Intl Con Plus Base'!$L$117)*'F Intl Con Plus Base'!L53),2),ROUND('F Intl Con Plus Base'!$L$120*(1+International_Fuel_Surcharge),2),ROUND(((1-'F Intl Con Plus Base'!$L$117)*'F Intl Con Plus Base'!L53)*(1+International_Fuel_Surcharge),2)))*(1+FedEx_Markup),2)</f>
        <v>203.32</v>
      </c>
      <c r="M56" s="295">
        <f>ROUND((IF('F Intl Con Plus Base'!$M$120&gt;ROUND(((1-'F Intl Con Plus Base'!$M$117)*'F Intl Con Plus Base'!M53),2),ROUND('F Intl Con Plus Base'!$M$120*(1+International_Fuel_Surcharge),2),ROUND(((1-'F Intl Con Plus Base'!$M$117)*'F Intl Con Plus Base'!M53)*(1+International_Fuel_Surcharge),2)))*(1+FedEx_Markup),2)</f>
        <v>281.32</v>
      </c>
      <c r="N56" s="295">
        <f>ROUND((IF('F Intl Con Plus Base'!$N$120&gt;ROUND(((1-'F Intl Con Plus Base'!$N$117)*'F Intl Con Plus Base'!N53),2),ROUND('F Intl Con Plus Base'!$N$120*(1+International_Fuel_Surcharge),2),ROUND(((1-'F Intl Con Plus Base'!$N$117)*'F Intl Con Plus Base'!N53)*(1+International_Fuel_Surcharge),2)))*(1+FedEx_Markup),2)</f>
        <v>289.83</v>
      </c>
      <c r="O56" s="295">
        <f>ROUND((IF('F Intl Con Plus Base'!$O$120&gt;ROUND(((1-'F Intl Con Plus Base'!$O$117)*'F Intl Con Plus Base'!O53),2),ROUND('F Intl Con Plus Base'!$O$120*(1+International_Fuel_Surcharge),2),ROUND(((1-'F Intl Con Plus Base'!$O$117)*'F Intl Con Plus Base'!O53)*(1+International_Fuel_Surcharge),2)))*(1+FedEx_Markup),2)</f>
        <v>218.65</v>
      </c>
      <c r="P56" s="295">
        <f>ROUND((IF('F Intl Con Plus Base'!$P$120&gt;ROUND(((1-'F Intl Con Plus Base'!$P$117)*'F Intl Con Plus Base'!P53),2),ROUND('F Intl Con Plus Base'!$P$120*(1+International_Fuel_Surcharge),2),ROUND(((1-'F Intl Con Plus Base'!$P$117)*'F Intl Con Plus Base'!P53)*(1+International_Fuel_Surcharge),2)))*(1+FedEx_Markup),2)</f>
        <v>211.61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</row>
    <row r="57" ht="12.75" customHeight="1">
      <c r="A57" s="294">
        <v>52.0</v>
      </c>
      <c r="B57" s="295">
        <f>ROUND((IF('F Intl Con Plus Base'!$B$120&gt;ROUND(((1-'F Intl Con Plus Base'!$B$117)*'F Intl Con Plus Base'!B54),2),ROUND('F Intl Con Plus Base'!$B$120*(1+International_Fuel_Surcharge),2),ROUND(((1-'F Intl Con Plus Base'!$B$117)*'F Intl Con Plus Base'!B54)*(1+International_Fuel_Surcharge),2)))*(1+FedEx_Markup),2)</f>
        <v>110.56</v>
      </c>
      <c r="C57" s="295">
        <f>ROUND((IF('F Intl Con Plus Base'!$C$120&gt;ROUND(((1-'F Intl Con Plus Base'!$C$117)*'F Intl Con Plus Base'!C54),2),ROUND('F Intl Con Plus Base'!$C$120*(1+International_Fuel_Surcharge),2),ROUND(((1-'F Intl Con Plus Base'!$C$117)*'F Intl Con Plus Base'!C54)*(1+International_Fuel_Surcharge),2)))*(1+FedEx_Markup),2)</f>
        <v>123.11</v>
      </c>
      <c r="D57" s="295">
        <f>ROUND((IF('F Intl Con Plus Base'!$D$120&gt;ROUND(((1-'F Intl Con Plus Base'!$D$117)*'F Intl Con Plus Base'!D54),2),ROUND('F Intl Con Plus Base'!$D$120*(1+International_Fuel_Surcharge),2),ROUND(((1-'F Intl Con Plus Base'!$D$117)*'F Intl Con Plus Base'!D54)*(1+International_Fuel_Surcharge),2)))*(1+FedEx_Markup),2)</f>
        <v>82.13</v>
      </c>
      <c r="E57" s="295">
        <f>ROUND((IF('F Intl Con Plus Base'!$E$120&gt;ROUND(((1-'F Intl Con Plus Base'!$E$117)*'F Intl Con Plus Base'!E54),2),ROUND('F Intl Con Plus Base'!$E$120*(1+International_Fuel_Surcharge),2),ROUND(((1-'F Intl Con Plus Base'!$E$117)*'F Intl Con Plus Base'!E54)*(1+International_Fuel_Surcharge),2)))*(1+FedEx_Markup),2)</f>
        <v>137.7</v>
      </c>
      <c r="F57" s="295">
        <f>ROUND((IF('F Intl Con Plus Base'!$F$120&gt;ROUND(((1-'F Intl Con Plus Base'!$F$117)*'F Intl Con Plus Base'!F54),2),ROUND('F Intl Con Plus Base'!$F$120*(1+International_Fuel_Surcharge),2),ROUND(((1-'F Intl Con Plus Base'!$F$117)*'F Intl Con Plus Base'!F54)*(1+International_Fuel_Surcharge),2)))*(1+FedEx_Markup),2)</f>
        <v>320.93</v>
      </c>
      <c r="G57" s="295">
        <f>ROUND((IF('F Intl Con Plus Base'!$G$120&gt;ROUND(((1-'F Intl Con Plus Base'!$G$117)*'F Intl Con Plus Base'!G54),2),ROUND('F Intl Con Plus Base'!$G$120*(1+International_Fuel_Surcharge),2),ROUND(((1-'F Intl Con Plus Base'!$G$117)*'F Intl Con Plus Base'!G54)*(1+International_Fuel_Surcharge),2)))*(1+FedEx_Markup),2)</f>
        <v>158.4</v>
      </c>
      <c r="H57" s="295">
        <f>ROUND((IF('F Intl Con Plus Base'!$H$120&gt;ROUND(((1-'F Intl Con Plus Base'!$H$117)*'F Intl Con Plus Base'!H54),2),ROUND('F Intl Con Plus Base'!$H$120*(1+International_Fuel_Surcharge),2),ROUND(((1-'F Intl Con Plus Base'!$H$117)*'F Intl Con Plus Base'!H54)*(1+International_Fuel_Surcharge),2)))*(1+FedEx_Markup),2)</f>
        <v>163.69</v>
      </c>
      <c r="I57" s="295">
        <f>ROUND((IF('F Intl Con Plus Base'!$I$120&gt;ROUND(((1-'F Intl Con Plus Base'!$I$117)*'F Intl Con Plus Base'!I54),2),ROUND('F Intl Con Plus Base'!$I$120*(1+International_Fuel_Surcharge),2),ROUND(((1-'F Intl Con Plus Base'!$I$117)*'F Intl Con Plus Base'!I54)*(1+International_Fuel_Surcharge),2)))*(1+FedEx_Markup),2)</f>
        <v>200.85</v>
      </c>
      <c r="J57" s="295">
        <f>ROUND((IF('F Intl Con Plus Base'!$J$120&gt;ROUND(((1-'F Intl Con Plus Base'!$J$117)*'F Intl Con Plus Base'!J54),2),ROUND('F Intl Con Plus Base'!$J$120*(1+International_Fuel_Surcharge),2),ROUND(((1-'F Intl Con Plus Base'!$J$117)*'F Intl Con Plus Base'!J54)*(1+International_Fuel_Surcharge),2)))*(1+FedEx_Markup),2)</f>
        <v>119.49</v>
      </c>
      <c r="K57" s="295">
        <f>ROUND((IF('F Intl Con Plus Base'!$K$120&gt;ROUND(((1-'F Intl Con Plus Base'!$K$117)*'F Intl Con Plus Base'!K54),2),ROUND('F Intl Con Plus Base'!$K$120*(1+International_Fuel_Surcharge),2),ROUND(((1-'F Intl Con Plus Base'!$K$117)*'F Intl Con Plus Base'!K54)*(1+International_Fuel_Surcharge),2)))*(1+FedEx_Markup),2)</f>
        <v>252.43</v>
      </c>
      <c r="L57" s="295">
        <f>ROUND((IF('F Intl Con Plus Base'!$L$120&gt;ROUND(((1-'F Intl Con Plus Base'!$L$117)*'F Intl Con Plus Base'!L54),2),ROUND('F Intl Con Plus Base'!$L$120*(1+International_Fuel_Surcharge),2),ROUND(((1-'F Intl Con Plus Base'!$L$117)*'F Intl Con Plus Base'!L54)*(1+International_Fuel_Surcharge),2)))*(1+FedEx_Markup),2)</f>
        <v>203.77</v>
      </c>
      <c r="M57" s="295">
        <f>ROUND((IF('F Intl Con Plus Base'!$M$120&gt;ROUND(((1-'F Intl Con Plus Base'!$M$117)*'F Intl Con Plus Base'!M54),2),ROUND('F Intl Con Plus Base'!$M$120*(1+International_Fuel_Surcharge),2),ROUND(((1-'F Intl Con Plus Base'!$M$117)*'F Intl Con Plus Base'!M54)*(1+International_Fuel_Surcharge),2)))*(1+FedEx_Markup),2)</f>
        <v>288.71</v>
      </c>
      <c r="N57" s="295">
        <f>ROUND((IF('F Intl Con Plus Base'!$N$120&gt;ROUND(((1-'F Intl Con Plus Base'!$N$117)*'F Intl Con Plus Base'!N54),2),ROUND('F Intl Con Plus Base'!$N$120*(1+International_Fuel_Surcharge),2),ROUND(((1-'F Intl Con Plus Base'!$N$117)*'F Intl Con Plus Base'!N54)*(1+International_Fuel_Surcharge),2)))*(1+FedEx_Markup),2)</f>
        <v>289.89</v>
      </c>
      <c r="O57" s="295">
        <f>ROUND((IF('F Intl Con Plus Base'!$O$120&gt;ROUND(((1-'F Intl Con Plus Base'!$O$117)*'F Intl Con Plus Base'!O54),2),ROUND('F Intl Con Plus Base'!$O$120*(1+International_Fuel_Surcharge),2),ROUND(((1-'F Intl Con Plus Base'!$O$117)*'F Intl Con Plus Base'!O54)*(1+International_Fuel_Surcharge),2)))*(1+FedEx_Markup),2)</f>
        <v>218.72</v>
      </c>
      <c r="P57" s="295">
        <f>ROUND((IF('F Intl Con Plus Base'!$P$120&gt;ROUND(((1-'F Intl Con Plus Base'!$P$117)*'F Intl Con Plus Base'!P54),2),ROUND('F Intl Con Plus Base'!$P$120*(1+International_Fuel_Surcharge),2),ROUND(((1-'F Intl Con Plus Base'!$P$117)*'F Intl Con Plus Base'!P54)*(1+International_Fuel_Surcharge),2)))*(1+FedEx_Markup),2)</f>
        <v>212.3</v>
      </c>
      <c r="Q57" s="138"/>
      <c r="R57" s="138"/>
      <c r="S57" s="138"/>
      <c r="T57" s="138"/>
      <c r="U57" s="138"/>
      <c r="V57" s="138"/>
      <c r="W57" s="138"/>
      <c r="X57" s="138"/>
      <c r="Y57" s="138"/>
      <c r="Z57" s="138"/>
    </row>
    <row r="58" ht="12.75" customHeight="1">
      <c r="A58" s="294">
        <v>53.0</v>
      </c>
      <c r="B58" s="295">
        <f>ROUND((IF('F Intl Con Plus Base'!$B$120&gt;ROUND(((1-'F Intl Con Plus Base'!$B$117)*'F Intl Con Plus Base'!B55),2),ROUND('F Intl Con Plus Base'!$B$120*(1+International_Fuel_Surcharge),2),ROUND(((1-'F Intl Con Plus Base'!$B$117)*'F Intl Con Plus Base'!B55)*(1+International_Fuel_Surcharge),2)))*(1+FedEx_Markup),2)</f>
        <v>110.7</v>
      </c>
      <c r="C58" s="295">
        <f>ROUND((IF('F Intl Con Plus Base'!$C$120&gt;ROUND(((1-'F Intl Con Plus Base'!$C$117)*'F Intl Con Plus Base'!C55),2),ROUND('F Intl Con Plus Base'!$C$120*(1+International_Fuel_Surcharge),2),ROUND(((1-'F Intl Con Plus Base'!$C$117)*'F Intl Con Plus Base'!C55)*(1+International_Fuel_Surcharge),2)))*(1+FedEx_Markup),2)</f>
        <v>123.4</v>
      </c>
      <c r="D58" s="295">
        <f>ROUND((IF('F Intl Con Plus Base'!$D$120&gt;ROUND(((1-'F Intl Con Plus Base'!$D$117)*'F Intl Con Plus Base'!D55),2),ROUND('F Intl Con Plus Base'!$D$120*(1+International_Fuel_Surcharge),2),ROUND(((1-'F Intl Con Plus Base'!$D$117)*'F Intl Con Plus Base'!D55)*(1+International_Fuel_Surcharge),2)))*(1+FedEx_Markup),2)</f>
        <v>83.81</v>
      </c>
      <c r="E58" s="295">
        <f>ROUND((IF('F Intl Con Plus Base'!$E$120&gt;ROUND(((1-'F Intl Con Plus Base'!$E$117)*'F Intl Con Plus Base'!E55),2),ROUND('F Intl Con Plus Base'!$E$120*(1+International_Fuel_Surcharge),2),ROUND(((1-'F Intl Con Plus Base'!$E$117)*'F Intl Con Plus Base'!E55)*(1+International_Fuel_Surcharge),2)))*(1+FedEx_Markup),2)</f>
        <v>137.84</v>
      </c>
      <c r="F58" s="295">
        <f>ROUND((IF('F Intl Con Plus Base'!$F$120&gt;ROUND(((1-'F Intl Con Plus Base'!$F$117)*'F Intl Con Plus Base'!F55),2),ROUND('F Intl Con Plus Base'!$F$120*(1+International_Fuel_Surcharge),2),ROUND(((1-'F Intl Con Plus Base'!$F$117)*'F Intl Con Plus Base'!F55)*(1+International_Fuel_Surcharge),2)))*(1+FedEx_Markup),2)</f>
        <v>324.67</v>
      </c>
      <c r="G58" s="295">
        <f>ROUND((IF('F Intl Con Plus Base'!$G$120&gt;ROUND(((1-'F Intl Con Plus Base'!$G$117)*'F Intl Con Plus Base'!G55),2),ROUND('F Intl Con Plus Base'!$G$120*(1+International_Fuel_Surcharge),2),ROUND(((1-'F Intl Con Plus Base'!$G$117)*'F Intl Con Plus Base'!G55)*(1+International_Fuel_Surcharge),2)))*(1+FedEx_Markup),2)</f>
        <v>158.82</v>
      </c>
      <c r="H58" s="295">
        <f>ROUND((IF('F Intl Con Plus Base'!$H$120&gt;ROUND(((1-'F Intl Con Plus Base'!$H$117)*'F Intl Con Plus Base'!H55),2),ROUND('F Intl Con Plus Base'!$H$120*(1+International_Fuel_Surcharge),2),ROUND(((1-'F Intl Con Plus Base'!$H$117)*'F Intl Con Plus Base'!H55)*(1+International_Fuel_Surcharge),2)))*(1+FedEx_Markup),2)</f>
        <v>163.91</v>
      </c>
      <c r="I58" s="295">
        <f>ROUND((IF('F Intl Con Plus Base'!$I$120&gt;ROUND(((1-'F Intl Con Plus Base'!$I$117)*'F Intl Con Plus Base'!I55),2),ROUND('F Intl Con Plus Base'!$I$120*(1+International_Fuel_Surcharge),2),ROUND(((1-'F Intl Con Plus Base'!$I$117)*'F Intl Con Plus Base'!I55)*(1+International_Fuel_Surcharge),2)))*(1+FedEx_Markup),2)</f>
        <v>207.79</v>
      </c>
      <c r="J58" s="295">
        <f>ROUND((IF('F Intl Con Plus Base'!$J$120&gt;ROUND(((1-'F Intl Con Plus Base'!$J$117)*'F Intl Con Plus Base'!J55),2),ROUND('F Intl Con Plus Base'!$J$120*(1+International_Fuel_Surcharge),2),ROUND(((1-'F Intl Con Plus Base'!$J$117)*'F Intl Con Plus Base'!J55)*(1+International_Fuel_Surcharge),2)))*(1+FedEx_Markup),2)</f>
        <v>119.54</v>
      </c>
      <c r="K58" s="295">
        <f>ROUND((IF('F Intl Con Plus Base'!$K$120&gt;ROUND(((1-'F Intl Con Plus Base'!$K$117)*'F Intl Con Plus Base'!K55),2),ROUND('F Intl Con Plus Base'!$K$120*(1+International_Fuel_Surcharge),2),ROUND(((1-'F Intl Con Plus Base'!$K$117)*'F Intl Con Plus Base'!K55)*(1+International_Fuel_Surcharge),2)))*(1+FedEx_Markup),2)</f>
        <v>255.25</v>
      </c>
      <c r="L58" s="295">
        <f>ROUND((IF('F Intl Con Plus Base'!$L$120&gt;ROUND(((1-'F Intl Con Plus Base'!$L$117)*'F Intl Con Plus Base'!L55),2),ROUND('F Intl Con Plus Base'!$L$120*(1+International_Fuel_Surcharge),2),ROUND(((1-'F Intl Con Plus Base'!$L$117)*'F Intl Con Plus Base'!L55)*(1+International_Fuel_Surcharge),2)))*(1+FedEx_Markup),2)</f>
        <v>209.82</v>
      </c>
      <c r="M58" s="295">
        <f>ROUND((IF('F Intl Con Plus Base'!$M$120&gt;ROUND(((1-'F Intl Con Plus Base'!$M$117)*'F Intl Con Plus Base'!M55),2),ROUND('F Intl Con Plus Base'!$M$120*(1+International_Fuel_Surcharge),2),ROUND(((1-'F Intl Con Plus Base'!$M$117)*'F Intl Con Plus Base'!M55)*(1+International_Fuel_Surcharge),2)))*(1+FedEx_Markup),2)</f>
        <v>289.44</v>
      </c>
      <c r="N58" s="295">
        <f>ROUND((IF('F Intl Con Plus Base'!$N$120&gt;ROUND(((1-'F Intl Con Plus Base'!$N$117)*'F Intl Con Plus Base'!N55),2),ROUND('F Intl Con Plus Base'!$N$120*(1+International_Fuel_Surcharge),2),ROUND(((1-'F Intl Con Plus Base'!$N$117)*'F Intl Con Plus Base'!N55)*(1+International_Fuel_Surcharge),2)))*(1+FedEx_Markup),2)</f>
        <v>289.94</v>
      </c>
      <c r="O58" s="295">
        <f>ROUND((IF('F Intl Con Plus Base'!$O$120&gt;ROUND(((1-'F Intl Con Plus Base'!$O$117)*'F Intl Con Plus Base'!O55),2),ROUND('F Intl Con Plus Base'!$O$120*(1+International_Fuel_Surcharge),2),ROUND(((1-'F Intl Con Plus Base'!$O$117)*'F Intl Con Plus Base'!O55)*(1+International_Fuel_Surcharge),2)))*(1+FedEx_Markup),2)</f>
        <v>219.98</v>
      </c>
      <c r="P58" s="295">
        <f>ROUND((IF('F Intl Con Plus Base'!$P$120&gt;ROUND(((1-'F Intl Con Plus Base'!$P$117)*'F Intl Con Plus Base'!P55),2),ROUND('F Intl Con Plus Base'!$P$120*(1+International_Fuel_Surcharge),2),ROUND(((1-'F Intl Con Plus Base'!$P$117)*'F Intl Con Plus Base'!P55)*(1+International_Fuel_Surcharge),2)))*(1+FedEx_Markup),2)</f>
        <v>220.11</v>
      </c>
      <c r="Q58" s="138"/>
      <c r="R58" s="138"/>
      <c r="S58" s="138"/>
      <c r="T58" s="138"/>
      <c r="U58" s="138"/>
      <c r="V58" s="138"/>
      <c r="W58" s="138"/>
      <c r="X58" s="138"/>
      <c r="Y58" s="138"/>
      <c r="Z58" s="138"/>
    </row>
    <row r="59" ht="12.75" customHeight="1">
      <c r="A59" s="294">
        <v>54.0</v>
      </c>
      <c r="B59" s="295">
        <f>ROUND((IF('F Intl Con Plus Base'!$B$120&gt;ROUND(((1-'F Intl Con Plus Base'!$B$117)*'F Intl Con Plus Base'!B56),2),ROUND('F Intl Con Plus Base'!$B$120*(1+International_Fuel_Surcharge),2),ROUND(((1-'F Intl Con Plus Base'!$B$117)*'F Intl Con Plus Base'!B56)*(1+International_Fuel_Surcharge),2)))*(1+FedEx_Markup),2)</f>
        <v>111.57</v>
      </c>
      <c r="C59" s="295">
        <f>ROUND((IF('F Intl Con Plus Base'!$C$120&gt;ROUND(((1-'F Intl Con Plus Base'!$C$117)*'F Intl Con Plus Base'!C56),2),ROUND('F Intl Con Plus Base'!$C$120*(1+International_Fuel_Surcharge),2),ROUND(((1-'F Intl Con Plus Base'!$C$117)*'F Intl Con Plus Base'!C56)*(1+International_Fuel_Surcharge),2)))*(1+FedEx_Markup),2)</f>
        <v>124.59</v>
      </c>
      <c r="D59" s="295">
        <f>ROUND((IF('F Intl Con Plus Base'!$D$120&gt;ROUND(((1-'F Intl Con Plus Base'!$D$117)*'F Intl Con Plus Base'!D56),2),ROUND('F Intl Con Plus Base'!$D$120*(1+International_Fuel_Surcharge),2),ROUND(((1-'F Intl Con Plus Base'!$D$117)*'F Intl Con Plus Base'!D56)*(1+International_Fuel_Surcharge),2)))*(1+FedEx_Markup),2)</f>
        <v>84.17</v>
      </c>
      <c r="E59" s="295">
        <f>ROUND((IF('F Intl Con Plus Base'!$E$120&gt;ROUND(((1-'F Intl Con Plus Base'!$E$117)*'F Intl Con Plus Base'!E56),2),ROUND('F Intl Con Plus Base'!$E$120*(1+International_Fuel_Surcharge),2),ROUND(((1-'F Intl Con Plus Base'!$E$117)*'F Intl Con Plus Base'!E56)*(1+International_Fuel_Surcharge),2)))*(1+FedEx_Markup),2)</f>
        <v>140.55</v>
      </c>
      <c r="F59" s="295">
        <f>ROUND((IF('F Intl Con Plus Base'!$F$120&gt;ROUND(((1-'F Intl Con Plus Base'!$F$117)*'F Intl Con Plus Base'!F56),2),ROUND('F Intl Con Plus Base'!$F$120*(1+International_Fuel_Surcharge),2),ROUND(((1-'F Intl Con Plus Base'!$F$117)*'F Intl Con Plus Base'!F56)*(1+International_Fuel_Surcharge),2)))*(1+FedEx_Markup),2)</f>
        <v>325.05</v>
      </c>
      <c r="G59" s="295">
        <f>ROUND((IF('F Intl Con Plus Base'!$G$120&gt;ROUND(((1-'F Intl Con Plus Base'!$G$117)*'F Intl Con Plus Base'!G56),2),ROUND('F Intl Con Plus Base'!$G$120*(1+International_Fuel_Surcharge),2),ROUND(((1-'F Intl Con Plus Base'!$G$117)*'F Intl Con Plus Base'!G56)*(1+International_Fuel_Surcharge),2)))*(1+FedEx_Markup),2)</f>
        <v>167.22</v>
      </c>
      <c r="H59" s="295">
        <f>ROUND((IF('F Intl Con Plus Base'!$H$120&gt;ROUND(((1-'F Intl Con Plus Base'!$H$117)*'F Intl Con Plus Base'!H56),2),ROUND('F Intl Con Plus Base'!$H$120*(1+International_Fuel_Surcharge),2),ROUND(((1-'F Intl Con Plus Base'!$H$117)*'F Intl Con Plus Base'!H56)*(1+International_Fuel_Surcharge),2)))*(1+FedEx_Markup),2)</f>
        <v>168.26</v>
      </c>
      <c r="I59" s="295">
        <f>ROUND((IF('F Intl Con Plus Base'!$I$120&gt;ROUND(((1-'F Intl Con Plus Base'!$I$117)*'F Intl Con Plus Base'!I56),2),ROUND('F Intl Con Plus Base'!$I$120*(1+International_Fuel_Surcharge),2),ROUND(((1-'F Intl Con Plus Base'!$I$117)*'F Intl Con Plus Base'!I56)*(1+International_Fuel_Surcharge),2)))*(1+FedEx_Markup),2)</f>
        <v>208.52</v>
      </c>
      <c r="J59" s="295">
        <f>ROUND((IF('F Intl Con Plus Base'!$J$120&gt;ROUND(((1-'F Intl Con Plus Base'!$J$117)*'F Intl Con Plus Base'!J56),2),ROUND('F Intl Con Plus Base'!$J$120*(1+International_Fuel_Surcharge),2),ROUND(((1-'F Intl Con Plus Base'!$J$117)*'F Intl Con Plus Base'!J56)*(1+International_Fuel_Surcharge),2)))*(1+FedEx_Markup),2)</f>
        <v>119.6</v>
      </c>
      <c r="K59" s="295">
        <f>ROUND((IF('F Intl Con Plus Base'!$K$120&gt;ROUND(((1-'F Intl Con Plus Base'!$K$117)*'F Intl Con Plus Base'!K56),2),ROUND('F Intl Con Plus Base'!$K$120*(1+International_Fuel_Surcharge),2),ROUND(((1-'F Intl Con Plus Base'!$K$117)*'F Intl Con Plus Base'!K56)*(1+International_Fuel_Surcharge),2)))*(1+FedEx_Markup),2)</f>
        <v>257.65</v>
      </c>
      <c r="L59" s="295">
        <f>ROUND((IF('F Intl Con Plus Base'!$L$120&gt;ROUND(((1-'F Intl Con Plus Base'!$L$117)*'F Intl Con Plus Base'!L56),2),ROUND('F Intl Con Plus Base'!$L$120*(1+International_Fuel_Surcharge),2),ROUND(((1-'F Intl Con Plus Base'!$L$117)*'F Intl Con Plus Base'!L56)*(1+International_Fuel_Surcharge),2)))*(1+FedEx_Markup),2)</f>
        <v>221.33</v>
      </c>
      <c r="M59" s="295">
        <f>ROUND((IF('F Intl Con Plus Base'!$M$120&gt;ROUND(((1-'F Intl Con Plus Base'!$M$117)*'F Intl Con Plus Base'!M56),2),ROUND('F Intl Con Plus Base'!$M$120*(1+International_Fuel_Surcharge),2),ROUND(((1-'F Intl Con Plus Base'!$M$117)*'F Intl Con Plus Base'!M56)*(1+International_Fuel_Surcharge),2)))*(1+FedEx_Markup),2)</f>
        <v>289.52</v>
      </c>
      <c r="N59" s="295">
        <f>ROUND((IF('F Intl Con Plus Base'!$N$120&gt;ROUND(((1-'F Intl Con Plus Base'!$N$117)*'F Intl Con Plus Base'!N56),2),ROUND('F Intl Con Plus Base'!$N$120*(1+International_Fuel_Surcharge),2),ROUND(((1-'F Intl Con Plus Base'!$N$117)*'F Intl Con Plus Base'!N56)*(1+International_Fuel_Surcharge),2)))*(1+FedEx_Markup),2)</f>
        <v>290</v>
      </c>
      <c r="O59" s="295">
        <f>ROUND((IF('F Intl Con Plus Base'!$O$120&gt;ROUND(((1-'F Intl Con Plus Base'!$O$117)*'F Intl Con Plus Base'!O56),2),ROUND('F Intl Con Plus Base'!$O$120*(1+International_Fuel_Surcharge),2),ROUND(((1-'F Intl Con Plus Base'!$O$117)*'F Intl Con Plus Base'!O56)*(1+International_Fuel_Surcharge),2)))*(1+FedEx_Markup),2)</f>
        <v>223.19</v>
      </c>
      <c r="P59" s="295">
        <f>ROUND((IF('F Intl Con Plus Base'!$P$120&gt;ROUND(((1-'F Intl Con Plus Base'!$P$117)*'F Intl Con Plus Base'!P56),2),ROUND('F Intl Con Plus Base'!$P$120*(1+International_Fuel_Surcharge),2),ROUND(((1-'F Intl Con Plus Base'!$P$117)*'F Intl Con Plus Base'!P56)*(1+International_Fuel_Surcharge),2)))*(1+FedEx_Markup),2)</f>
        <v>220.89</v>
      </c>
      <c r="Q59" s="138"/>
      <c r="R59" s="138"/>
      <c r="S59" s="138"/>
      <c r="T59" s="138"/>
      <c r="U59" s="138"/>
      <c r="V59" s="138"/>
      <c r="W59" s="138"/>
      <c r="X59" s="138"/>
      <c r="Y59" s="138"/>
      <c r="Z59" s="138"/>
    </row>
    <row r="60" ht="12.75" customHeight="1">
      <c r="A60" s="294">
        <v>55.0</v>
      </c>
      <c r="B60" s="295">
        <f>ROUND((IF('F Intl Con Plus Base'!$B$120&gt;ROUND(((1-'F Intl Con Plus Base'!$B$117)*'F Intl Con Plus Base'!B57),2),ROUND('F Intl Con Plus Base'!$B$120*(1+International_Fuel_Surcharge),2),ROUND(((1-'F Intl Con Plus Base'!$B$117)*'F Intl Con Plus Base'!B57)*(1+International_Fuel_Surcharge),2)))*(1+FedEx_Markup),2)</f>
        <v>112.67</v>
      </c>
      <c r="C60" s="295">
        <f>ROUND((IF('F Intl Con Plus Base'!$C$120&gt;ROUND(((1-'F Intl Con Plus Base'!$C$117)*'F Intl Con Plus Base'!C57),2),ROUND('F Intl Con Plus Base'!$C$120*(1+International_Fuel_Surcharge),2),ROUND(((1-'F Intl Con Plus Base'!$C$117)*'F Intl Con Plus Base'!C57)*(1+International_Fuel_Surcharge),2)))*(1+FedEx_Markup),2)</f>
        <v>125.99</v>
      </c>
      <c r="D60" s="295">
        <f>ROUND((IF('F Intl Con Plus Base'!$D$120&gt;ROUND(((1-'F Intl Con Plus Base'!$D$117)*'F Intl Con Plus Base'!D57),2),ROUND('F Intl Con Plus Base'!$D$120*(1+International_Fuel_Surcharge),2),ROUND(((1-'F Intl Con Plus Base'!$D$117)*'F Intl Con Plus Base'!D57)*(1+International_Fuel_Surcharge),2)))*(1+FedEx_Markup),2)</f>
        <v>84.24</v>
      </c>
      <c r="E60" s="295">
        <f>ROUND((IF('F Intl Con Plus Base'!$E$120&gt;ROUND(((1-'F Intl Con Plus Base'!$E$117)*'F Intl Con Plus Base'!E57),2),ROUND('F Intl Con Plus Base'!$E$120*(1+International_Fuel_Surcharge),2),ROUND(((1-'F Intl Con Plus Base'!$E$117)*'F Intl Con Plus Base'!E57)*(1+International_Fuel_Surcharge),2)))*(1+FedEx_Markup),2)</f>
        <v>145.73</v>
      </c>
      <c r="F60" s="295">
        <f>ROUND((IF('F Intl Con Plus Base'!$F$120&gt;ROUND(((1-'F Intl Con Plus Base'!$F$117)*'F Intl Con Plus Base'!F57),2),ROUND('F Intl Con Plus Base'!$F$120*(1+International_Fuel_Surcharge),2),ROUND(((1-'F Intl Con Plus Base'!$F$117)*'F Intl Con Plus Base'!F57)*(1+International_Fuel_Surcharge),2)))*(1+FedEx_Markup),2)</f>
        <v>325.16</v>
      </c>
      <c r="G60" s="295">
        <f>ROUND((IF('F Intl Con Plus Base'!$G$120&gt;ROUND(((1-'F Intl Con Plus Base'!$G$117)*'F Intl Con Plus Base'!G57),2),ROUND('F Intl Con Plus Base'!$G$120*(1+International_Fuel_Surcharge),2),ROUND(((1-'F Intl Con Plus Base'!$G$117)*'F Intl Con Plus Base'!G57)*(1+International_Fuel_Surcharge),2)))*(1+FedEx_Markup),2)</f>
        <v>168.44</v>
      </c>
      <c r="H60" s="295">
        <f>ROUND((IF('F Intl Con Plus Base'!$H$120&gt;ROUND(((1-'F Intl Con Plus Base'!$H$117)*'F Intl Con Plus Base'!H57),2),ROUND('F Intl Con Plus Base'!$H$120*(1+International_Fuel_Surcharge),2),ROUND(((1-'F Intl Con Plus Base'!$H$117)*'F Intl Con Plus Base'!H57)*(1+International_Fuel_Surcharge),2)))*(1+FedEx_Markup),2)</f>
        <v>170.4</v>
      </c>
      <c r="I60" s="295">
        <f>ROUND((IF('F Intl Con Plus Base'!$I$120&gt;ROUND(((1-'F Intl Con Plus Base'!$I$117)*'F Intl Con Plus Base'!I57),2),ROUND('F Intl Con Plus Base'!$I$120*(1+International_Fuel_Surcharge),2),ROUND(((1-'F Intl Con Plus Base'!$I$117)*'F Intl Con Plus Base'!I57)*(1+International_Fuel_Surcharge),2)))*(1+FedEx_Markup),2)</f>
        <v>208.59</v>
      </c>
      <c r="J60" s="295">
        <f>ROUND((IF('F Intl Con Plus Base'!$J$120&gt;ROUND(((1-'F Intl Con Plus Base'!$J$117)*'F Intl Con Plus Base'!J57),2),ROUND('F Intl Con Plus Base'!$J$120*(1+International_Fuel_Surcharge),2),ROUND(((1-'F Intl Con Plus Base'!$J$117)*'F Intl Con Plus Base'!J57)*(1+International_Fuel_Surcharge),2)))*(1+FedEx_Markup),2)</f>
        <v>120.08</v>
      </c>
      <c r="K60" s="295">
        <f>ROUND((IF('F Intl Con Plus Base'!$K$120&gt;ROUND(((1-'F Intl Con Plus Base'!$K$117)*'F Intl Con Plus Base'!K57),2),ROUND('F Intl Con Plus Base'!$K$120*(1+International_Fuel_Surcharge),2),ROUND(((1-'F Intl Con Plus Base'!$K$117)*'F Intl Con Plus Base'!K57)*(1+International_Fuel_Surcharge),2)))*(1+FedEx_Markup),2)</f>
        <v>260.99</v>
      </c>
      <c r="L60" s="295">
        <f>ROUND((IF('F Intl Con Plus Base'!$L$120&gt;ROUND(((1-'F Intl Con Plus Base'!$L$117)*'F Intl Con Plus Base'!L57),2),ROUND('F Intl Con Plus Base'!$L$120*(1+International_Fuel_Surcharge),2),ROUND(((1-'F Intl Con Plus Base'!$L$117)*'F Intl Con Plus Base'!L57)*(1+International_Fuel_Surcharge),2)))*(1+FedEx_Markup),2)</f>
        <v>222.48</v>
      </c>
      <c r="M60" s="295">
        <f>ROUND((IF('F Intl Con Plus Base'!$M$120&gt;ROUND(((1-'F Intl Con Plus Base'!$M$117)*'F Intl Con Plus Base'!M57),2),ROUND('F Intl Con Plus Base'!$M$120*(1+International_Fuel_Surcharge),2),ROUND(((1-'F Intl Con Plus Base'!$M$117)*'F Intl Con Plus Base'!M57)*(1+International_Fuel_Surcharge),2)))*(1+FedEx_Markup),2)</f>
        <v>289.59</v>
      </c>
      <c r="N60" s="295">
        <f>ROUND((IF('F Intl Con Plus Base'!$N$120&gt;ROUND(((1-'F Intl Con Plus Base'!$N$117)*'F Intl Con Plus Base'!N57),2),ROUND('F Intl Con Plus Base'!$N$120*(1+International_Fuel_Surcharge),2),ROUND(((1-'F Intl Con Plus Base'!$N$117)*'F Intl Con Plus Base'!N57)*(1+International_Fuel_Surcharge),2)))*(1+FedEx_Markup),2)</f>
        <v>290.06</v>
      </c>
      <c r="O60" s="295">
        <f>ROUND((IF('F Intl Con Plus Base'!$O$120&gt;ROUND(((1-'F Intl Con Plus Base'!$O$117)*'F Intl Con Plus Base'!O57),2),ROUND('F Intl Con Plus Base'!$O$120*(1+International_Fuel_Surcharge),2),ROUND(((1-'F Intl Con Plus Base'!$O$117)*'F Intl Con Plus Base'!O57)*(1+International_Fuel_Surcharge),2)))*(1+FedEx_Markup),2)</f>
        <v>223.51</v>
      </c>
      <c r="P60" s="295">
        <f>ROUND((IF('F Intl Con Plus Base'!$P$120&gt;ROUND(((1-'F Intl Con Plus Base'!$P$117)*'F Intl Con Plus Base'!P57),2),ROUND('F Intl Con Plus Base'!$P$120*(1+International_Fuel_Surcharge),2),ROUND(((1-'F Intl Con Plus Base'!$P$117)*'F Intl Con Plus Base'!P57)*(1+International_Fuel_Surcharge),2)))*(1+FedEx_Markup),2)</f>
        <v>221.78</v>
      </c>
      <c r="Q60" s="138"/>
      <c r="R60" s="138"/>
      <c r="S60" s="138"/>
      <c r="T60" s="138"/>
      <c r="U60" s="138"/>
      <c r="V60" s="138"/>
      <c r="W60" s="138"/>
      <c r="X60" s="138"/>
      <c r="Y60" s="138"/>
      <c r="Z60" s="138"/>
    </row>
    <row r="61" ht="12.75" customHeight="1">
      <c r="A61" s="294">
        <v>56.0</v>
      </c>
      <c r="B61" s="295">
        <f>ROUND((IF('F Intl Con Plus Base'!$B$120&gt;ROUND(((1-'F Intl Con Plus Base'!$B$117)*'F Intl Con Plus Base'!B58),2),ROUND('F Intl Con Plus Base'!$B$120*(1+International_Fuel_Surcharge),2),ROUND(((1-'F Intl Con Plus Base'!$B$117)*'F Intl Con Plus Base'!B58)*(1+International_Fuel_Surcharge),2)))*(1+FedEx_Markup),2)</f>
        <v>113.75</v>
      </c>
      <c r="C61" s="295">
        <f>ROUND((IF('F Intl Con Plus Base'!$C$120&gt;ROUND(((1-'F Intl Con Plus Base'!$C$117)*'F Intl Con Plus Base'!C58),2),ROUND('F Intl Con Plus Base'!$C$120*(1+International_Fuel_Surcharge),2),ROUND(((1-'F Intl Con Plus Base'!$C$117)*'F Intl Con Plus Base'!C58)*(1+International_Fuel_Surcharge),2)))*(1+FedEx_Markup),2)</f>
        <v>127.4</v>
      </c>
      <c r="D61" s="295">
        <f>ROUND((IF('F Intl Con Plus Base'!$D$120&gt;ROUND(((1-'F Intl Con Plus Base'!$D$117)*'F Intl Con Plus Base'!D58),2),ROUND('F Intl Con Plus Base'!$D$120*(1+International_Fuel_Surcharge),2),ROUND(((1-'F Intl Con Plus Base'!$D$117)*'F Intl Con Plus Base'!D58)*(1+International_Fuel_Surcharge),2)))*(1+FedEx_Markup),2)</f>
        <v>84.3</v>
      </c>
      <c r="E61" s="295">
        <f>ROUND((IF('F Intl Con Plus Base'!$E$120&gt;ROUND(((1-'F Intl Con Plus Base'!$E$117)*'F Intl Con Plus Base'!E58),2),ROUND('F Intl Con Plus Base'!$E$120*(1+International_Fuel_Surcharge),2),ROUND(((1-'F Intl Con Plus Base'!$E$117)*'F Intl Con Plus Base'!E58)*(1+International_Fuel_Surcharge),2)))*(1+FedEx_Markup),2)</f>
        <v>150.9</v>
      </c>
      <c r="F61" s="295">
        <f>ROUND((IF('F Intl Con Plus Base'!$F$120&gt;ROUND(((1-'F Intl Con Plus Base'!$F$117)*'F Intl Con Plus Base'!F58),2),ROUND('F Intl Con Plus Base'!$F$120*(1+International_Fuel_Surcharge),2),ROUND(((1-'F Intl Con Plus Base'!$F$117)*'F Intl Con Plus Base'!F58)*(1+International_Fuel_Surcharge),2)))*(1+FedEx_Markup),2)</f>
        <v>325.28</v>
      </c>
      <c r="G61" s="295">
        <f>ROUND((IF('F Intl Con Plus Base'!$G$120&gt;ROUND(((1-'F Intl Con Plus Base'!$G$117)*'F Intl Con Plus Base'!G58),2),ROUND('F Intl Con Plus Base'!$G$120*(1+International_Fuel_Surcharge),2),ROUND(((1-'F Intl Con Plus Base'!$G$117)*'F Intl Con Plus Base'!G58)*(1+International_Fuel_Surcharge),2)))*(1+FedEx_Markup),2)</f>
        <v>169.65</v>
      </c>
      <c r="H61" s="295">
        <f>ROUND((IF('F Intl Con Plus Base'!$H$120&gt;ROUND(((1-'F Intl Con Plus Base'!$H$117)*'F Intl Con Plus Base'!H58),2),ROUND('F Intl Con Plus Base'!$H$120*(1+International_Fuel_Surcharge),2),ROUND(((1-'F Intl Con Plus Base'!$H$117)*'F Intl Con Plus Base'!H58)*(1+International_Fuel_Surcharge),2)))*(1+FedEx_Markup),2)</f>
        <v>172.53</v>
      </c>
      <c r="I61" s="295">
        <f>ROUND((IF('F Intl Con Plus Base'!$I$120&gt;ROUND(((1-'F Intl Con Plus Base'!$I$117)*'F Intl Con Plus Base'!I58),2),ROUND('F Intl Con Plus Base'!$I$120*(1+International_Fuel_Surcharge),2),ROUND(((1-'F Intl Con Plus Base'!$I$117)*'F Intl Con Plus Base'!I58)*(1+International_Fuel_Surcharge),2)))*(1+FedEx_Markup),2)</f>
        <v>208.66</v>
      </c>
      <c r="J61" s="295">
        <f>ROUND((IF('F Intl Con Plus Base'!$J$120&gt;ROUND(((1-'F Intl Con Plus Base'!$J$117)*'F Intl Con Plus Base'!J58),2),ROUND('F Intl Con Plus Base'!$J$120*(1+International_Fuel_Surcharge),2),ROUND(((1-'F Intl Con Plus Base'!$J$117)*'F Intl Con Plus Base'!J58)*(1+International_Fuel_Surcharge),2)))*(1+FedEx_Markup),2)</f>
        <v>120.55</v>
      </c>
      <c r="K61" s="295">
        <f>ROUND((IF('F Intl Con Plus Base'!$K$120&gt;ROUND(((1-'F Intl Con Plus Base'!$K$117)*'F Intl Con Plus Base'!K58),2),ROUND('F Intl Con Plus Base'!$K$120*(1+International_Fuel_Surcharge),2),ROUND(((1-'F Intl Con Plus Base'!$K$117)*'F Intl Con Plus Base'!K58)*(1+International_Fuel_Surcharge),2)))*(1+FedEx_Markup),2)</f>
        <v>264.34</v>
      </c>
      <c r="L61" s="295">
        <f>ROUND((IF('F Intl Con Plus Base'!$L$120&gt;ROUND(((1-'F Intl Con Plus Base'!$L$117)*'F Intl Con Plus Base'!L58),2),ROUND('F Intl Con Plus Base'!$L$120*(1+International_Fuel_Surcharge),2),ROUND(((1-'F Intl Con Plus Base'!$L$117)*'F Intl Con Plus Base'!L58)*(1+International_Fuel_Surcharge),2)))*(1+FedEx_Markup),2)</f>
        <v>227.06</v>
      </c>
      <c r="M61" s="295">
        <f>ROUND((IF('F Intl Con Plus Base'!$M$120&gt;ROUND(((1-'F Intl Con Plus Base'!$M$117)*'F Intl Con Plus Base'!M58),2),ROUND('F Intl Con Plus Base'!$M$120*(1+International_Fuel_Surcharge),2),ROUND(((1-'F Intl Con Plus Base'!$M$117)*'F Intl Con Plus Base'!M58)*(1+International_Fuel_Surcharge),2)))*(1+FedEx_Markup),2)</f>
        <v>289.66</v>
      </c>
      <c r="N61" s="295">
        <f>ROUND((IF('F Intl Con Plus Base'!$N$120&gt;ROUND(((1-'F Intl Con Plus Base'!$N$117)*'F Intl Con Plus Base'!N58),2),ROUND('F Intl Con Plus Base'!$N$120*(1+International_Fuel_Surcharge),2),ROUND(((1-'F Intl Con Plus Base'!$N$117)*'F Intl Con Plus Base'!N58)*(1+International_Fuel_Surcharge),2)))*(1+FedEx_Markup),2)</f>
        <v>290.13</v>
      </c>
      <c r="O61" s="295">
        <f>ROUND((IF('F Intl Con Plus Base'!$O$120&gt;ROUND(((1-'F Intl Con Plus Base'!$O$117)*'F Intl Con Plus Base'!O58),2),ROUND('F Intl Con Plus Base'!$O$120*(1+International_Fuel_Surcharge),2),ROUND(((1-'F Intl Con Plus Base'!$O$117)*'F Intl Con Plus Base'!O58)*(1+International_Fuel_Surcharge),2)))*(1+FedEx_Markup),2)</f>
        <v>223.84</v>
      </c>
      <c r="P61" s="295">
        <f>ROUND((IF('F Intl Con Plus Base'!$P$120&gt;ROUND(((1-'F Intl Con Plus Base'!$P$117)*'F Intl Con Plus Base'!P58),2),ROUND('F Intl Con Plus Base'!$P$120*(1+International_Fuel_Surcharge),2),ROUND(((1-'F Intl Con Plus Base'!$P$117)*'F Intl Con Plus Base'!P58)*(1+International_Fuel_Surcharge),2)))*(1+FedEx_Markup),2)</f>
        <v>222.66</v>
      </c>
      <c r="Q61" s="138"/>
      <c r="R61" s="138"/>
      <c r="S61" s="138"/>
      <c r="T61" s="138"/>
      <c r="U61" s="138"/>
      <c r="V61" s="138"/>
      <c r="W61" s="138"/>
      <c r="X61" s="138"/>
      <c r="Y61" s="138"/>
      <c r="Z61" s="138"/>
    </row>
    <row r="62" ht="12.75" customHeight="1">
      <c r="A62" s="294">
        <v>57.0</v>
      </c>
      <c r="B62" s="295">
        <f>ROUND((IF('F Intl Con Plus Base'!$B$120&gt;ROUND(((1-'F Intl Con Plus Base'!$B$117)*'F Intl Con Plus Base'!B59),2),ROUND('F Intl Con Plus Base'!$B$120*(1+International_Fuel_Surcharge),2),ROUND(((1-'F Intl Con Plus Base'!$B$117)*'F Intl Con Plus Base'!B59)*(1+International_Fuel_Surcharge),2)))*(1+FedEx_Markup),2)</f>
        <v>114.84</v>
      </c>
      <c r="C62" s="295">
        <f>ROUND((IF('F Intl Con Plus Base'!$C$120&gt;ROUND(((1-'F Intl Con Plus Base'!$C$117)*'F Intl Con Plus Base'!C59),2),ROUND('F Intl Con Plus Base'!$C$120*(1+International_Fuel_Surcharge),2),ROUND(((1-'F Intl Con Plus Base'!$C$117)*'F Intl Con Plus Base'!C59)*(1+International_Fuel_Surcharge),2)))*(1+FedEx_Markup),2)</f>
        <v>128.8</v>
      </c>
      <c r="D62" s="295">
        <f>ROUND((IF('F Intl Con Plus Base'!$D$120&gt;ROUND(((1-'F Intl Con Plus Base'!$D$117)*'F Intl Con Plus Base'!D59),2),ROUND('F Intl Con Plus Base'!$D$120*(1+International_Fuel_Surcharge),2),ROUND(((1-'F Intl Con Plus Base'!$D$117)*'F Intl Con Plus Base'!D59)*(1+International_Fuel_Surcharge),2)))*(1+FedEx_Markup),2)</f>
        <v>84.35</v>
      </c>
      <c r="E62" s="295">
        <f>ROUND((IF('F Intl Con Plus Base'!$E$120&gt;ROUND(((1-'F Intl Con Plus Base'!$E$117)*'F Intl Con Plus Base'!E59),2),ROUND('F Intl Con Plus Base'!$E$120*(1+International_Fuel_Surcharge),2),ROUND(((1-'F Intl Con Plus Base'!$E$117)*'F Intl Con Plus Base'!E59)*(1+International_Fuel_Surcharge),2)))*(1+FedEx_Markup),2)</f>
        <v>156.08</v>
      </c>
      <c r="F62" s="295">
        <f>ROUND((IF('F Intl Con Plus Base'!$F$120&gt;ROUND(((1-'F Intl Con Plus Base'!$F$117)*'F Intl Con Plus Base'!F59),2),ROUND('F Intl Con Plus Base'!$F$120*(1+International_Fuel_Surcharge),2),ROUND(((1-'F Intl Con Plus Base'!$F$117)*'F Intl Con Plus Base'!F59)*(1+International_Fuel_Surcharge),2)))*(1+FedEx_Markup),2)</f>
        <v>325.4</v>
      </c>
      <c r="G62" s="295">
        <f>ROUND((IF('F Intl Con Plus Base'!$G$120&gt;ROUND(((1-'F Intl Con Plus Base'!$G$117)*'F Intl Con Plus Base'!G59),2),ROUND('F Intl Con Plus Base'!$G$120*(1+International_Fuel_Surcharge),2),ROUND(((1-'F Intl Con Plus Base'!$G$117)*'F Intl Con Plus Base'!G59)*(1+International_Fuel_Surcharge),2)))*(1+FedEx_Markup),2)</f>
        <v>170.87</v>
      </c>
      <c r="H62" s="295">
        <f>ROUND((IF('F Intl Con Plus Base'!$H$120&gt;ROUND(((1-'F Intl Con Plus Base'!$H$117)*'F Intl Con Plus Base'!H59),2),ROUND('F Intl Con Plus Base'!$H$120*(1+International_Fuel_Surcharge),2),ROUND(((1-'F Intl Con Plus Base'!$H$117)*'F Intl Con Plus Base'!H59)*(1+International_Fuel_Surcharge),2)))*(1+FedEx_Markup),2)</f>
        <v>174.67</v>
      </c>
      <c r="I62" s="295">
        <f>ROUND((IF('F Intl Con Plus Base'!$I$120&gt;ROUND(((1-'F Intl Con Plus Base'!$I$117)*'F Intl Con Plus Base'!I59),2),ROUND('F Intl Con Plus Base'!$I$120*(1+International_Fuel_Surcharge),2),ROUND(((1-'F Intl Con Plus Base'!$I$117)*'F Intl Con Plus Base'!I59)*(1+International_Fuel_Surcharge),2)))*(1+FedEx_Markup),2)</f>
        <v>208.74</v>
      </c>
      <c r="J62" s="295">
        <f>ROUND((IF('F Intl Con Plus Base'!$J$120&gt;ROUND(((1-'F Intl Con Plus Base'!$J$117)*'F Intl Con Plus Base'!J59),2),ROUND('F Intl Con Plus Base'!$J$120*(1+International_Fuel_Surcharge),2),ROUND(((1-'F Intl Con Plus Base'!$J$117)*'F Intl Con Plus Base'!J59)*(1+International_Fuel_Surcharge),2)))*(1+FedEx_Markup),2)</f>
        <v>121.03</v>
      </c>
      <c r="K62" s="295">
        <f>ROUND((IF('F Intl Con Plus Base'!$K$120&gt;ROUND(((1-'F Intl Con Plus Base'!$K$117)*'F Intl Con Plus Base'!K59),2),ROUND('F Intl Con Plus Base'!$K$120*(1+International_Fuel_Surcharge),2),ROUND(((1-'F Intl Con Plus Base'!$K$117)*'F Intl Con Plus Base'!K59)*(1+International_Fuel_Surcharge),2)))*(1+FedEx_Markup),2)</f>
        <v>267.67</v>
      </c>
      <c r="L62" s="295">
        <f>ROUND((IF('F Intl Con Plus Base'!$L$120&gt;ROUND(((1-'F Intl Con Plus Base'!$L$117)*'F Intl Con Plus Base'!L59),2),ROUND('F Intl Con Plus Base'!$L$120*(1+International_Fuel_Surcharge),2),ROUND(((1-'F Intl Con Plus Base'!$L$117)*'F Intl Con Plus Base'!L59)*(1+International_Fuel_Surcharge),2)))*(1+FedEx_Markup),2)</f>
        <v>229.92</v>
      </c>
      <c r="M62" s="295">
        <f>ROUND((IF('F Intl Con Plus Base'!$M$120&gt;ROUND(((1-'F Intl Con Plus Base'!$M$117)*'F Intl Con Plus Base'!M59),2),ROUND('F Intl Con Plus Base'!$M$120*(1+International_Fuel_Surcharge),2),ROUND(((1-'F Intl Con Plus Base'!$M$117)*'F Intl Con Plus Base'!M59)*(1+International_Fuel_Surcharge),2)))*(1+FedEx_Markup),2)</f>
        <v>289.74</v>
      </c>
      <c r="N62" s="295">
        <f>ROUND((IF('F Intl Con Plus Base'!$N$120&gt;ROUND(((1-'F Intl Con Plus Base'!$N$117)*'F Intl Con Plus Base'!N59),2),ROUND('F Intl Con Plus Base'!$N$120*(1+International_Fuel_Surcharge),2),ROUND(((1-'F Intl Con Plus Base'!$N$117)*'F Intl Con Plus Base'!N59)*(1+International_Fuel_Surcharge),2)))*(1+FedEx_Markup),2)</f>
        <v>290.2</v>
      </c>
      <c r="O62" s="295">
        <f>ROUND((IF('F Intl Con Plus Base'!$O$120&gt;ROUND(((1-'F Intl Con Plus Base'!$O$117)*'F Intl Con Plus Base'!O59),2),ROUND('F Intl Con Plus Base'!$O$120*(1+International_Fuel_Surcharge),2),ROUND(((1-'F Intl Con Plus Base'!$O$117)*'F Intl Con Plus Base'!O59)*(1+International_Fuel_Surcharge),2)))*(1+FedEx_Markup),2)</f>
        <v>224.16</v>
      </c>
      <c r="P62" s="295">
        <f>ROUND((IF('F Intl Con Plus Base'!$P$120&gt;ROUND(((1-'F Intl Con Plus Base'!$P$117)*'F Intl Con Plus Base'!P59),2),ROUND('F Intl Con Plus Base'!$P$120*(1+International_Fuel_Surcharge),2),ROUND(((1-'F Intl Con Plus Base'!$P$117)*'F Intl Con Plus Base'!P59)*(1+International_Fuel_Surcharge),2)))*(1+FedEx_Markup),2)</f>
        <v>223.56</v>
      </c>
      <c r="Q62" s="138"/>
      <c r="R62" s="138"/>
      <c r="S62" s="138"/>
      <c r="T62" s="138"/>
      <c r="U62" s="138"/>
      <c r="V62" s="138"/>
      <c r="W62" s="138"/>
      <c r="X62" s="138"/>
      <c r="Y62" s="138"/>
      <c r="Z62" s="138"/>
    </row>
    <row r="63" ht="12.75" customHeight="1">
      <c r="A63" s="294">
        <v>58.0</v>
      </c>
      <c r="B63" s="295">
        <f>ROUND((IF('F Intl Con Plus Base'!$B$120&gt;ROUND(((1-'F Intl Con Plus Base'!$B$117)*'F Intl Con Plus Base'!B60),2),ROUND('F Intl Con Plus Base'!$B$120*(1+International_Fuel_Surcharge),2),ROUND(((1-'F Intl Con Plus Base'!$B$117)*'F Intl Con Plus Base'!B60)*(1+International_Fuel_Surcharge),2)))*(1+FedEx_Markup),2)</f>
        <v>115.93</v>
      </c>
      <c r="C63" s="295">
        <f>ROUND((IF('F Intl Con Plus Base'!$C$120&gt;ROUND(((1-'F Intl Con Plus Base'!$C$117)*'F Intl Con Plus Base'!C60),2),ROUND('F Intl Con Plus Base'!$C$120*(1+International_Fuel_Surcharge),2),ROUND(((1-'F Intl Con Plus Base'!$C$117)*'F Intl Con Plus Base'!C60)*(1+International_Fuel_Surcharge),2)))*(1+FedEx_Markup),2)</f>
        <v>130.2</v>
      </c>
      <c r="D63" s="295">
        <f>ROUND((IF('F Intl Con Plus Base'!$D$120&gt;ROUND(((1-'F Intl Con Plus Base'!$D$117)*'F Intl Con Plus Base'!D60),2),ROUND('F Intl Con Plus Base'!$D$120*(1+International_Fuel_Surcharge),2),ROUND(((1-'F Intl Con Plus Base'!$D$117)*'F Intl Con Plus Base'!D60)*(1+International_Fuel_Surcharge),2)))*(1+FedEx_Markup),2)</f>
        <v>84.42</v>
      </c>
      <c r="E63" s="295">
        <f>ROUND((IF('F Intl Con Plus Base'!$E$120&gt;ROUND(((1-'F Intl Con Plus Base'!$E$117)*'F Intl Con Plus Base'!E60),2),ROUND('F Intl Con Plus Base'!$E$120*(1+International_Fuel_Surcharge),2),ROUND(((1-'F Intl Con Plus Base'!$E$117)*'F Intl Con Plus Base'!E60)*(1+International_Fuel_Surcharge),2)))*(1+FedEx_Markup),2)</f>
        <v>161.26</v>
      </c>
      <c r="F63" s="295">
        <f>ROUND((IF('F Intl Con Plus Base'!$F$120&gt;ROUND(((1-'F Intl Con Plus Base'!$F$117)*'F Intl Con Plus Base'!F60),2),ROUND('F Intl Con Plus Base'!$F$120*(1+International_Fuel_Surcharge),2),ROUND(((1-'F Intl Con Plus Base'!$F$117)*'F Intl Con Plus Base'!F60)*(1+International_Fuel_Surcharge),2)))*(1+FedEx_Markup),2)</f>
        <v>325.52</v>
      </c>
      <c r="G63" s="295">
        <f>ROUND((IF('F Intl Con Plus Base'!$G$120&gt;ROUND(((1-'F Intl Con Plus Base'!$G$117)*'F Intl Con Plus Base'!G60),2),ROUND('F Intl Con Plus Base'!$G$120*(1+International_Fuel_Surcharge),2),ROUND(((1-'F Intl Con Plus Base'!$G$117)*'F Intl Con Plus Base'!G60)*(1+International_Fuel_Surcharge),2)))*(1+FedEx_Markup),2)</f>
        <v>172.07</v>
      </c>
      <c r="H63" s="295">
        <f>ROUND((IF('F Intl Con Plus Base'!$H$120&gt;ROUND(((1-'F Intl Con Plus Base'!$H$117)*'F Intl Con Plus Base'!H60),2),ROUND('F Intl Con Plus Base'!$H$120*(1+International_Fuel_Surcharge),2),ROUND(((1-'F Intl Con Plus Base'!$H$117)*'F Intl Con Plus Base'!H60)*(1+International_Fuel_Surcharge),2)))*(1+FedEx_Markup),2)</f>
        <v>176.82</v>
      </c>
      <c r="I63" s="295">
        <f>ROUND((IF('F Intl Con Plus Base'!$I$120&gt;ROUND(((1-'F Intl Con Plus Base'!$I$117)*'F Intl Con Plus Base'!I60),2),ROUND('F Intl Con Plus Base'!$I$120*(1+International_Fuel_Surcharge),2),ROUND(((1-'F Intl Con Plus Base'!$I$117)*'F Intl Con Plus Base'!I60)*(1+International_Fuel_Surcharge),2)))*(1+FedEx_Markup),2)</f>
        <v>208.79</v>
      </c>
      <c r="J63" s="295">
        <f>ROUND((IF('F Intl Con Plus Base'!$J$120&gt;ROUND(((1-'F Intl Con Plus Base'!$J$117)*'F Intl Con Plus Base'!J60),2),ROUND('F Intl Con Plus Base'!$J$120*(1+International_Fuel_Surcharge),2),ROUND(((1-'F Intl Con Plus Base'!$J$117)*'F Intl Con Plus Base'!J60)*(1+International_Fuel_Surcharge),2)))*(1+FedEx_Markup),2)</f>
        <v>121.5</v>
      </c>
      <c r="K63" s="295">
        <f>ROUND((IF('F Intl Con Plus Base'!$K$120&gt;ROUND(((1-'F Intl Con Plus Base'!$K$117)*'F Intl Con Plus Base'!K60),2),ROUND('F Intl Con Plus Base'!$K$120*(1+International_Fuel_Surcharge),2),ROUND(((1-'F Intl Con Plus Base'!$K$117)*'F Intl Con Plus Base'!K60)*(1+International_Fuel_Surcharge),2)))*(1+FedEx_Markup),2)</f>
        <v>271.02</v>
      </c>
      <c r="L63" s="295">
        <f>ROUND((IF('F Intl Con Plus Base'!$L$120&gt;ROUND(((1-'F Intl Con Plus Base'!$L$117)*'F Intl Con Plus Base'!L60),2),ROUND('F Intl Con Plus Base'!$L$120*(1+International_Fuel_Surcharge),2),ROUND(((1-'F Intl Con Plus Base'!$L$117)*'F Intl Con Plus Base'!L60)*(1+International_Fuel_Surcharge),2)))*(1+FedEx_Markup),2)</f>
        <v>232.78</v>
      </c>
      <c r="M63" s="295">
        <f>ROUND((IF('F Intl Con Plus Base'!$M$120&gt;ROUND(((1-'F Intl Con Plus Base'!$M$117)*'F Intl Con Plus Base'!M60),2),ROUND('F Intl Con Plus Base'!$M$120*(1+International_Fuel_Surcharge),2),ROUND(((1-'F Intl Con Plus Base'!$M$117)*'F Intl Con Plus Base'!M60)*(1+International_Fuel_Surcharge),2)))*(1+FedEx_Markup),2)</f>
        <v>289.81</v>
      </c>
      <c r="N63" s="295">
        <f>ROUND((IF('F Intl Con Plus Base'!$N$120&gt;ROUND(((1-'F Intl Con Plus Base'!$N$117)*'F Intl Con Plus Base'!N60),2),ROUND('F Intl Con Plus Base'!$N$120*(1+International_Fuel_Surcharge),2),ROUND(((1-'F Intl Con Plus Base'!$N$117)*'F Intl Con Plus Base'!N60)*(1+International_Fuel_Surcharge),2)))*(1+FedEx_Markup),2)</f>
        <v>290.26</v>
      </c>
      <c r="O63" s="295">
        <f>ROUND((IF('F Intl Con Plus Base'!$O$120&gt;ROUND(((1-'F Intl Con Plus Base'!$O$117)*'F Intl Con Plus Base'!O60),2),ROUND('F Intl Con Plus Base'!$O$120*(1+International_Fuel_Surcharge),2),ROUND(((1-'F Intl Con Plus Base'!$O$117)*'F Intl Con Plus Base'!O60)*(1+International_Fuel_Surcharge),2)))*(1+FedEx_Markup),2)</f>
        <v>224.48</v>
      </c>
      <c r="P63" s="295">
        <f>ROUND((IF('F Intl Con Plus Base'!$P$120&gt;ROUND(((1-'F Intl Con Plus Base'!$P$117)*'F Intl Con Plus Base'!P60),2),ROUND('F Intl Con Plus Base'!$P$120*(1+International_Fuel_Surcharge),2),ROUND(((1-'F Intl Con Plus Base'!$P$117)*'F Intl Con Plus Base'!P60)*(1+International_Fuel_Surcharge),2)))*(1+FedEx_Markup),2)</f>
        <v>224.45</v>
      </c>
      <c r="Q63" s="138"/>
      <c r="R63" s="138"/>
      <c r="S63" s="138"/>
      <c r="T63" s="138"/>
      <c r="U63" s="138"/>
      <c r="V63" s="138"/>
      <c r="W63" s="138"/>
      <c r="X63" s="138"/>
      <c r="Y63" s="138"/>
      <c r="Z63" s="138"/>
    </row>
    <row r="64" ht="12.75" customHeight="1">
      <c r="A64" s="294">
        <v>59.0</v>
      </c>
      <c r="B64" s="295">
        <f>ROUND((IF('F Intl Con Plus Base'!$B$120&gt;ROUND(((1-'F Intl Con Plus Base'!$B$117)*'F Intl Con Plus Base'!B61),2),ROUND('F Intl Con Plus Base'!$B$120*(1+International_Fuel_Surcharge),2),ROUND(((1-'F Intl Con Plus Base'!$B$117)*'F Intl Con Plus Base'!B61)*(1+International_Fuel_Surcharge),2)))*(1+FedEx_Markup),2)</f>
        <v>116.58</v>
      </c>
      <c r="C64" s="295">
        <f>ROUND((IF('F Intl Con Plus Base'!$C$120&gt;ROUND(((1-'F Intl Con Plus Base'!$C$117)*'F Intl Con Plus Base'!C61),2),ROUND('F Intl Con Plus Base'!$C$120*(1+International_Fuel_Surcharge),2),ROUND(((1-'F Intl Con Plus Base'!$C$117)*'F Intl Con Plus Base'!C61)*(1+International_Fuel_Surcharge),2)))*(1+FedEx_Markup),2)</f>
        <v>130.34</v>
      </c>
      <c r="D64" s="295">
        <f>ROUND((IF('F Intl Con Plus Base'!$D$120&gt;ROUND(((1-'F Intl Con Plus Base'!$D$117)*'F Intl Con Plus Base'!D61),2),ROUND('F Intl Con Plus Base'!$D$120*(1+International_Fuel_Surcharge),2),ROUND(((1-'F Intl Con Plus Base'!$D$117)*'F Intl Con Plus Base'!D61)*(1+International_Fuel_Surcharge),2)))*(1+FedEx_Markup),2)</f>
        <v>84.47</v>
      </c>
      <c r="E64" s="295">
        <f>ROUND((IF('F Intl Con Plus Base'!$E$120&gt;ROUND(((1-'F Intl Con Plus Base'!$E$117)*'F Intl Con Plus Base'!E61),2),ROUND('F Intl Con Plus Base'!$E$120*(1+International_Fuel_Surcharge),2),ROUND(((1-'F Intl Con Plus Base'!$E$117)*'F Intl Con Plus Base'!E61)*(1+International_Fuel_Surcharge),2)))*(1+FedEx_Markup),2)</f>
        <v>161.79</v>
      </c>
      <c r="F64" s="295">
        <f>ROUND((IF('F Intl Con Plus Base'!$F$120&gt;ROUND(((1-'F Intl Con Plus Base'!$F$117)*'F Intl Con Plus Base'!F61),2),ROUND('F Intl Con Plus Base'!$F$120*(1+International_Fuel_Surcharge),2),ROUND(((1-'F Intl Con Plus Base'!$F$117)*'F Intl Con Plus Base'!F61)*(1+International_Fuel_Surcharge),2)))*(1+FedEx_Markup),2)</f>
        <v>326</v>
      </c>
      <c r="G64" s="295">
        <f>ROUND((IF('F Intl Con Plus Base'!$G$120&gt;ROUND(((1-'F Intl Con Plus Base'!$G$117)*'F Intl Con Plus Base'!G61),2),ROUND('F Intl Con Plus Base'!$G$120*(1+International_Fuel_Surcharge),2),ROUND(((1-'F Intl Con Plus Base'!$G$117)*'F Intl Con Plus Base'!G61)*(1+International_Fuel_Surcharge),2)))*(1+FedEx_Markup),2)</f>
        <v>172.2</v>
      </c>
      <c r="H64" s="295">
        <f>ROUND((IF('F Intl Con Plus Base'!$H$120&gt;ROUND(((1-'F Intl Con Plus Base'!$H$117)*'F Intl Con Plus Base'!H61),2),ROUND('F Intl Con Plus Base'!$H$120*(1+International_Fuel_Surcharge),2),ROUND(((1-'F Intl Con Plus Base'!$H$117)*'F Intl Con Plus Base'!H61)*(1+International_Fuel_Surcharge),2)))*(1+FedEx_Markup),2)</f>
        <v>180.73</v>
      </c>
      <c r="I64" s="295">
        <f>ROUND((IF('F Intl Con Plus Base'!$I$120&gt;ROUND(((1-'F Intl Con Plus Base'!$I$117)*'F Intl Con Plus Base'!I61),2),ROUND('F Intl Con Plus Base'!$I$120*(1+International_Fuel_Surcharge),2),ROUND(((1-'F Intl Con Plus Base'!$I$117)*'F Intl Con Plus Base'!I61)*(1+International_Fuel_Surcharge),2)))*(1+FedEx_Markup),2)</f>
        <v>208.85</v>
      </c>
      <c r="J64" s="295">
        <f>ROUND((IF('F Intl Con Plus Base'!$J$120&gt;ROUND(((1-'F Intl Con Plus Base'!$J$117)*'F Intl Con Plus Base'!J61),2),ROUND('F Intl Con Plus Base'!$J$120*(1+International_Fuel_Surcharge),2),ROUND(((1-'F Intl Con Plus Base'!$J$117)*'F Intl Con Plus Base'!J61)*(1+International_Fuel_Surcharge),2)))*(1+FedEx_Markup),2)</f>
        <v>122.61</v>
      </c>
      <c r="K64" s="295">
        <f>ROUND((IF('F Intl Con Plus Base'!$K$120&gt;ROUND(((1-'F Intl Con Plus Base'!$K$117)*'F Intl Con Plus Base'!K61),2),ROUND('F Intl Con Plus Base'!$K$120*(1+International_Fuel_Surcharge),2),ROUND(((1-'F Intl Con Plus Base'!$K$117)*'F Intl Con Plus Base'!K61)*(1+International_Fuel_Surcharge),2)))*(1+FedEx_Markup),2)</f>
        <v>271.35</v>
      </c>
      <c r="L64" s="295">
        <f>ROUND((IF('F Intl Con Plus Base'!$L$120&gt;ROUND(((1-'F Intl Con Plus Base'!$L$117)*'F Intl Con Plus Base'!L61),2),ROUND('F Intl Con Plus Base'!$L$120*(1+International_Fuel_Surcharge),2),ROUND(((1-'F Intl Con Plus Base'!$L$117)*'F Intl Con Plus Base'!L61)*(1+International_Fuel_Surcharge),2)))*(1+FedEx_Markup),2)</f>
        <v>233.07</v>
      </c>
      <c r="M64" s="295">
        <f>ROUND((IF('F Intl Con Plus Base'!$M$120&gt;ROUND(((1-'F Intl Con Plus Base'!$M$117)*'F Intl Con Plus Base'!M61),2),ROUND('F Intl Con Plus Base'!$M$120*(1+International_Fuel_Surcharge),2),ROUND(((1-'F Intl Con Plus Base'!$M$117)*'F Intl Con Plus Base'!M61)*(1+International_Fuel_Surcharge),2)))*(1+FedEx_Markup),2)</f>
        <v>289.89</v>
      </c>
      <c r="N64" s="295">
        <f>ROUND((IF('F Intl Con Plus Base'!$N$120&gt;ROUND(((1-'F Intl Con Plus Base'!$N$117)*'F Intl Con Plus Base'!N61),2),ROUND('F Intl Con Plus Base'!$N$120*(1+International_Fuel_Surcharge),2),ROUND(((1-'F Intl Con Plus Base'!$N$117)*'F Intl Con Plus Base'!N61)*(1+International_Fuel_Surcharge),2)))*(1+FedEx_Markup),2)</f>
        <v>290.32</v>
      </c>
      <c r="O64" s="295">
        <f>ROUND((IF('F Intl Con Plus Base'!$O$120&gt;ROUND(((1-'F Intl Con Plus Base'!$O$117)*'F Intl Con Plus Base'!O61),2),ROUND('F Intl Con Plus Base'!$O$120*(1+International_Fuel_Surcharge),2),ROUND(((1-'F Intl Con Plus Base'!$O$117)*'F Intl Con Plus Base'!O61)*(1+International_Fuel_Surcharge),2)))*(1+FedEx_Markup),2)</f>
        <v>224.54</v>
      </c>
      <c r="P64" s="295">
        <f>ROUND((IF('F Intl Con Plus Base'!$P$120&gt;ROUND(((1-'F Intl Con Plus Base'!$P$117)*'F Intl Con Plus Base'!P61),2),ROUND('F Intl Con Plus Base'!$P$120*(1+International_Fuel_Surcharge),2),ROUND(((1-'F Intl Con Plus Base'!$P$117)*'F Intl Con Plus Base'!P61)*(1+International_Fuel_Surcharge),2)))*(1+FedEx_Markup),2)</f>
        <v>224.78</v>
      </c>
      <c r="Q64" s="138"/>
      <c r="R64" s="138"/>
      <c r="S64" s="138"/>
      <c r="T64" s="138"/>
      <c r="U64" s="138"/>
      <c r="V64" s="138"/>
      <c r="W64" s="138"/>
      <c r="X64" s="138"/>
      <c r="Y64" s="138"/>
      <c r="Z64" s="138"/>
    </row>
    <row r="65" ht="12.75" customHeight="1">
      <c r="A65" s="294">
        <v>60.0</v>
      </c>
      <c r="B65" s="295">
        <f>ROUND((IF('F Intl Con Plus Base'!$B$120&gt;ROUND(((1-'F Intl Con Plus Base'!$B$117)*'F Intl Con Plus Base'!B62),2),ROUND('F Intl Con Plus Base'!$B$120*(1+International_Fuel_Surcharge),2),ROUND(((1-'F Intl Con Plus Base'!$B$117)*'F Intl Con Plus Base'!B62)*(1+International_Fuel_Surcharge),2)))*(1+FedEx_Markup),2)</f>
        <v>116.78</v>
      </c>
      <c r="C65" s="295">
        <f>ROUND((IF('F Intl Con Plus Base'!$C$120&gt;ROUND(((1-'F Intl Con Plus Base'!$C$117)*'F Intl Con Plus Base'!C62),2),ROUND('F Intl Con Plus Base'!$C$120*(1+International_Fuel_Surcharge),2),ROUND(((1-'F Intl Con Plus Base'!$C$117)*'F Intl Con Plus Base'!C62)*(1+International_Fuel_Surcharge),2)))*(1+FedEx_Markup),2)</f>
        <v>130.66</v>
      </c>
      <c r="D65" s="295">
        <f>ROUND((IF('F Intl Con Plus Base'!$D$120&gt;ROUND(((1-'F Intl Con Plus Base'!$D$117)*'F Intl Con Plus Base'!D62),2),ROUND('F Intl Con Plus Base'!$D$120*(1+International_Fuel_Surcharge),2),ROUND(((1-'F Intl Con Plus Base'!$D$117)*'F Intl Con Plus Base'!D62)*(1+International_Fuel_Surcharge),2)))*(1+FedEx_Markup),2)</f>
        <v>84.53</v>
      </c>
      <c r="E65" s="295">
        <f>ROUND((IF('F Intl Con Plus Base'!$E$120&gt;ROUND(((1-'F Intl Con Plus Base'!$E$117)*'F Intl Con Plus Base'!E62),2),ROUND('F Intl Con Plus Base'!$E$120*(1+International_Fuel_Surcharge),2),ROUND(((1-'F Intl Con Plus Base'!$E$117)*'F Intl Con Plus Base'!E62)*(1+International_Fuel_Surcharge),2)))*(1+FedEx_Markup),2)</f>
        <v>161.85</v>
      </c>
      <c r="F65" s="295">
        <f>ROUND((IF('F Intl Con Plus Base'!$F$120&gt;ROUND(((1-'F Intl Con Plus Base'!$F$117)*'F Intl Con Plus Base'!F62),2),ROUND('F Intl Con Plus Base'!$F$120*(1+International_Fuel_Surcharge),2),ROUND(((1-'F Intl Con Plus Base'!$F$117)*'F Intl Con Plus Base'!F62)*(1+International_Fuel_Surcharge),2)))*(1+FedEx_Markup),2)</f>
        <v>335.69</v>
      </c>
      <c r="G65" s="295">
        <f>ROUND((IF('F Intl Con Plus Base'!$G$120&gt;ROUND(((1-'F Intl Con Plus Base'!$G$117)*'F Intl Con Plus Base'!G62),2),ROUND('F Intl Con Plus Base'!$G$120*(1+International_Fuel_Surcharge),2),ROUND(((1-'F Intl Con Plus Base'!$G$117)*'F Intl Con Plus Base'!G62)*(1+International_Fuel_Surcharge),2)))*(1+FedEx_Markup),2)</f>
        <v>172.26</v>
      </c>
      <c r="H65" s="295">
        <f>ROUND((IF('F Intl Con Plus Base'!$H$120&gt;ROUND(((1-'F Intl Con Plus Base'!$H$117)*'F Intl Con Plus Base'!H62),2),ROUND('F Intl Con Plus Base'!$H$120*(1+International_Fuel_Surcharge),2),ROUND(((1-'F Intl Con Plus Base'!$H$117)*'F Intl Con Plus Base'!H62)*(1+International_Fuel_Surcharge),2)))*(1+FedEx_Markup),2)</f>
        <v>182.07</v>
      </c>
      <c r="I65" s="295">
        <f>ROUND((IF('F Intl Con Plus Base'!$I$120&gt;ROUND(((1-'F Intl Con Plus Base'!$I$117)*'F Intl Con Plus Base'!I62),2),ROUND('F Intl Con Plus Base'!$I$120*(1+International_Fuel_Surcharge),2),ROUND(((1-'F Intl Con Plus Base'!$I$117)*'F Intl Con Plus Base'!I62)*(1+International_Fuel_Surcharge),2)))*(1+FedEx_Markup),2)</f>
        <v>208.9</v>
      </c>
      <c r="J65" s="295">
        <f>ROUND((IF('F Intl Con Plus Base'!$J$120&gt;ROUND(((1-'F Intl Con Plus Base'!$J$117)*'F Intl Con Plus Base'!J62),2),ROUND('F Intl Con Plus Base'!$J$120*(1+International_Fuel_Surcharge),2),ROUND(((1-'F Intl Con Plus Base'!$J$117)*'F Intl Con Plus Base'!J62)*(1+International_Fuel_Surcharge),2)))*(1+FedEx_Markup),2)</f>
        <v>123.75</v>
      </c>
      <c r="K65" s="295">
        <f>ROUND((IF('F Intl Con Plus Base'!$K$120&gt;ROUND(((1-'F Intl Con Plus Base'!$K$117)*'F Intl Con Plus Base'!K62),2),ROUND('F Intl Con Plus Base'!$K$120*(1+International_Fuel_Surcharge),2),ROUND(((1-'F Intl Con Plus Base'!$K$117)*'F Intl Con Plus Base'!K62)*(1+International_Fuel_Surcharge),2)))*(1+FedEx_Markup),2)</f>
        <v>271.57</v>
      </c>
      <c r="L65" s="295">
        <f>ROUND((IF('F Intl Con Plus Base'!$L$120&gt;ROUND(((1-'F Intl Con Plus Base'!$L$117)*'F Intl Con Plus Base'!L62),2),ROUND('F Intl Con Plus Base'!$L$120*(1+International_Fuel_Surcharge),2),ROUND(((1-'F Intl Con Plus Base'!$L$117)*'F Intl Con Plus Base'!L62)*(1+International_Fuel_Surcharge),2)))*(1+FedEx_Markup),2)</f>
        <v>233.12</v>
      </c>
      <c r="M65" s="295">
        <f>ROUND((IF('F Intl Con Plus Base'!$M$120&gt;ROUND(((1-'F Intl Con Plus Base'!$M$117)*'F Intl Con Plus Base'!M62),2),ROUND('F Intl Con Plus Base'!$M$120*(1+International_Fuel_Surcharge),2),ROUND(((1-'F Intl Con Plus Base'!$M$117)*'F Intl Con Plus Base'!M62)*(1+International_Fuel_Surcharge),2)))*(1+FedEx_Markup),2)</f>
        <v>290.02</v>
      </c>
      <c r="N65" s="295">
        <f>ROUND((IF('F Intl Con Plus Base'!$N$120&gt;ROUND(((1-'F Intl Con Plus Base'!$N$117)*'F Intl Con Plus Base'!N62),2),ROUND('F Intl Con Plus Base'!$N$120*(1+International_Fuel_Surcharge),2),ROUND(((1-'F Intl Con Plus Base'!$N$117)*'F Intl Con Plus Base'!N62)*(1+International_Fuel_Surcharge),2)))*(1+FedEx_Markup),2)</f>
        <v>290.38</v>
      </c>
      <c r="O65" s="295">
        <f>ROUND((IF('F Intl Con Plus Base'!$O$120&gt;ROUND(((1-'F Intl Con Plus Base'!$O$117)*'F Intl Con Plus Base'!O62),2),ROUND('F Intl Con Plus Base'!$O$120*(1+International_Fuel_Surcharge),2),ROUND(((1-'F Intl Con Plus Base'!$O$117)*'F Intl Con Plus Base'!O62)*(1+International_Fuel_Surcharge),2)))*(1+FedEx_Markup),2)</f>
        <v>224.6</v>
      </c>
      <c r="P65" s="295">
        <f>ROUND((IF('F Intl Con Plus Base'!$P$120&gt;ROUND(((1-'F Intl Con Plus Base'!$P$117)*'F Intl Con Plus Base'!P62),2),ROUND('F Intl Con Plus Base'!$P$120*(1+International_Fuel_Surcharge),2),ROUND(((1-'F Intl Con Plus Base'!$P$117)*'F Intl Con Plus Base'!P62)*(1+International_Fuel_Surcharge),2)))*(1+FedEx_Markup),2)</f>
        <v>224.84</v>
      </c>
      <c r="Q65" s="138"/>
      <c r="R65" s="138"/>
      <c r="S65" s="138"/>
      <c r="T65" s="138"/>
      <c r="U65" s="138"/>
      <c r="V65" s="138"/>
      <c r="W65" s="138"/>
      <c r="X65" s="138"/>
      <c r="Y65" s="138"/>
      <c r="Z65" s="138"/>
    </row>
    <row r="66" ht="12.75" customHeight="1">
      <c r="A66" s="294">
        <v>61.0</v>
      </c>
      <c r="B66" s="295">
        <f>ROUND((IF('F Intl Con Plus Base'!$B$120&gt;ROUND(((1-'F Intl Con Plus Base'!$B$117)*'F Intl Con Plus Base'!B63),2),ROUND('F Intl Con Plus Base'!$B$120*(1+International_Fuel_Surcharge),2),ROUND(((1-'F Intl Con Plus Base'!$B$117)*'F Intl Con Plus Base'!B63)*(1+International_Fuel_Surcharge),2)))*(1+FedEx_Markup),2)</f>
        <v>120.73</v>
      </c>
      <c r="C66" s="295">
        <f>ROUND((IF('F Intl Con Plus Base'!$C$120&gt;ROUND(((1-'F Intl Con Plus Base'!$C$117)*'F Intl Con Plus Base'!C63),2),ROUND('F Intl Con Plus Base'!$C$120*(1+International_Fuel_Surcharge),2),ROUND(((1-'F Intl Con Plus Base'!$C$117)*'F Intl Con Plus Base'!C63)*(1+International_Fuel_Surcharge),2)))*(1+FedEx_Markup),2)</f>
        <v>136.87</v>
      </c>
      <c r="D66" s="295">
        <f>ROUND((IF('F Intl Con Plus Base'!$D$120&gt;ROUND(((1-'F Intl Con Plus Base'!$D$117)*'F Intl Con Plus Base'!D63),2),ROUND('F Intl Con Plus Base'!$D$120*(1+International_Fuel_Surcharge),2),ROUND(((1-'F Intl Con Plus Base'!$D$117)*'F Intl Con Plus Base'!D63)*(1+International_Fuel_Surcharge),2)))*(1+FedEx_Markup),2)</f>
        <v>85.54</v>
      </c>
      <c r="E66" s="295">
        <f>ROUND((IF('F Intl Con Plus Base'!$E$120&gt;ROUND(((1-'F Intl Con Plus Base'!$E$117)*'F Intl Con Plus Base'!E63),2),ROUND('F Intl Con Plus Base'!$E$120*(1+International_Fuel_Surcharge),2),ROUND(((1-'F Intl Con Plus Base'!$E$117)*'F Intl Con Plus Base'!E63)*(1+International_Fuel_Surcharge),2)))*(1+FedEx_Markup),2)</f>
        <v>161.92</v>
      </c>
      <c r="F66" s="295">
        <f>ROUND((IF('F Intl Con Plus Base'!$F$120&gt;ROUND(((1-'F Intl Con Plus Base'!$F$117)*'F Intl Con Plus Base'!F63),2),ROUND('F Intl Con Plus Base'!$F$120*(1+International_Fuel_Surcharge),2),ROUND(((1-'F Intl Con Plus Base'!$F$117)*'F Intl Con Plus Base'!F63)*(1+International_Fuel_Surcharge),2)))*(1+FedEx_Markup),2)</f>
        <v>339.46</v>
      </c>
      <c r="G66" s="295">
        <f>ROUND((IF('F Intl Con Plus Base'!$G$120&gt;ROUND(((1-'F Intl Con Plus Base'!$G$117)*'F Intl Con Plus Base'!G63),2),ROUND('F Intl Con Plus Base'!$G$120*(1+International_Fuel_Surcharge),2),ROUND(((1-'F Intl Con Plus Base'!$G$117)*'F Intl Con Plus Base'!G63)*(1+International_Fuel_Surcharge),2)))*(1+FedEx_Markup),2)</f>
        <v>172.3</v>
      </c>
      <c r="H66" s="295">
        <f>ROUND((IF('F Intl Con Plus Base'!$H$120&gt;ROUND(((1-'F Intl Con Plus Base'!$H$117)*'F Intl Con Plus Base'!H63),2),ROUND('F Intl Con Plus Base'!$H$120*(1+International_Fuel_Surcharge),2),ROUND(((1-'F Intl Con Plus Base'!$H$117)*'F Intl Con Plus Base'!H63)*(1+International_Fuel_Surcharge),2)))*(1+FedEx_Markup),2)</f>
        <v>183.45</v>
      </c>
      <c r="I66" s="295">
        <f>ROUND((IF('F Intl Con Plus Base'!$I$120&gt;ROUND(((1-'F Intl Con Plus Base'!$I$117)*'F Intl Con Plus Base'!I63),2),ROUND('F Intl Con Plus Base'!$I$120*(1+International_Fuel_Surcharge),2),ROUND(((1-'F Intl Con Plus Base'!$I$117)*'F Intl Con Plus Base'!I63)*(1+International_Fuel_Surcharge),2)))*(1+FedEx_Markup),2)</f>
        <v>209.47</v>
      </c>
      <c r="J66" s="295">
        <f>ROUND((IF('F Intl Con Plus Base'!$J$120&gt;ROUND(((1-'F Intl Con Plus Base'!$J$117)*'F Intl Con Plus Base'!J63),2),ROUND('F Intl Con Plus Base'!$J$120*(1+International_Fuel_Surcharge),2),ROUND(((1-'F Intl Con Plus Base'!$J$117)*'F Intl Con Plus Base'!J63)*(1+International_Fuel_Surcharge),2)))*(1+FedEx_Markup),2)</f>
        <v>125.09</v>
      </c>
      <c r="K66" s="295">
        <f>ROUND((IF('F Intl Con Plus Base'!$K$120&gt;ROUND(((1-'F Intl Con Plus Base'!$K$117)*'F Intl Con Plus Base'!K63),2),ROUND('F Intl Con Plus Base'!$K$120*(1+International_Fuel_Surcharge),2),ROUND(((1-'F Intl Con Plus Base'!$K$117)*'F Intl Con Plus Base'!K63)*(1+International_Fuel_Surcharge),2)))*(1+FedEx_Markup),2)</f>
        <v>275.9</v>
      </c>
      <c r="L66" s="295">
        <f>ROUND((IF('F Intl Con Plus Base'!$L$120&gt;ROUND(((1-'F Intl Con Plus Base'!$L$117)*'F Intl Con Plus Base'!L63),2),ROUND('F Intl Con Plus Base'!$L$120*(1+International_Fuel_Surcharge),2),ROUND(((1-'F Intl Con Plus Base'!$L$117)*'F Intl Con Plus Base'!L63)*(1+International_Fuel_Surcharge),2)))*(1+FedEx_Markup),2)</f>
        <v>233.17</v>
      </c>
      <c r="M66" s="295">
        <f>ROUND((IF('F Intl Con Plus Base'!$M$120&gt;ROUND(((1-'F Intl Con Plus Base'!$M$117)*'F Intl Con Plus Base'!M63),2),ROUND('F Intl Con Plus Base'!$M$120*(1+International_Fuel_Surcharge),2),ROUND(((1-'F Intl Con Plus Base'!$M$117)*'F Intl Con Plus Base'!M63)*(1+International_Fuel_Surcharge),2)))*(1+FedEx_Markup),2)</f>
        <v>292.41</v>
      </c>
      <c r="N66" s="295">
        <f>ROUND((IF('F Intl Con Plus Base'!$N$120&gt;ROUND(((1-'F Intl Con Plus Base'!$N$117)*'F Intl Con Plus Base'!N63),2),ROUND('F Intl Con Plus Base'!$N$120*(1+International_Fuel_Surcharge),2),ROUND(((1-'F Intl Con Plus Base'!$N$117)*'F Intl Con Plus Base'!N63)*(1+International_Fuel_Surcharge),2)))*(1+FedEx_Markup),2)</f>
        <v>290.88</v>
      </c>
      <c r="O66" s="295">
        <f>ROUND((IF('F Intl Con Plus Base'!$O$120&gt;ROUND(((1-'F Intl Con Plus Base'!$O$117)*'F Intl Con Plus Base'!O63),2),ROUND('F Intl Con Plus Base'!$O$120*(1+International_Fuel_Surcharge),2),ROUND(((1-'F Intl Con Plus Base'!$O$117)*'F Intl Con Plus Base'!O63)*(1+International_Fuel_Surcharge),2)))*(1+FedEx_Markup),2)</f>
        <v>224.65</v>
      </c>
      <c r="P66" s="295">
        <f>ROUND((IF('F Intl Con Plus Base'!$P$120&gt;ROUND(((1-'F Intl Con Plus Base'!$P$117)*'F Intl Con Plus Base'!P63),2),ROUND('F Intl Con Plus Base'!$P$120*(1+International_Fuel_Surcharge),2),ROUND(((1-'F Intl Con Plus Base'!$P$117)*'F Intl Con Plus Base'!P63)*(1+International_Fuel_Surcharge),2)))*(1+FedEx_Markup),2)</f>
        <v>225.41</v>
      </c>
      <c r="Q66" s="138"/>
      <c r="R66" s="138"/>
      <c r="S66" s="138"/>
      <c r="T66" s="138"/>
      <c r="U66" s="138"/>
      <c r="V66" s="138"/>
      <c r="W66" s="138"/>
      <c r="X66" s="138"/>
      <c r="Y66" s="138"/>
      <c r="Z66" s="138"/>
    </row>
    <row r="67" ht="12.75" customHeight="1">
      <c r="A67" s="294">
        <v>62.0</v>
      </c>
      <c r="B67" s="295">
        <f>ROUND((IF('F Intl Con Plus Base'!$B$120&gt;ROUND(((1-'F Intl Con Plus Base'!$B$117)*'F Intl Con Plus Base'!B64),2),ROUND('F Intl Con Plus Base'!$B$120*(1+International_Fuel_Surcharge),2),ROUND(((1-'F Intl Con Plus Base'!$B$117)*'F Intl Con Plus Base'!B64)*(1+International_Fuel_Surcharge),2)))*(1+FedEx_Markup),2)</f>
        <v>122.07</v>
      </c>
      <c r="C67" s="295">
        <f>ROUND((IF('F Intl Con Plus Base'!$C$120&gt;ROUND(((1-'F Intl Con Plus Base'!$C$117)*'F Intl Con Plus Base'!C64),2),ROUND('F Intl Con Plus Base'!$C$120*(1+International_Fuel_Surcharge),2),ROUND(((1-'F Intl Con Plus Base'!$C$117)*'F Intl Con Plus Base'!C64)*(1+International_Fuel_Surcharge),2)))*(1+FedEx_Markup),2)</f>
        <v>138.99</v>
      </c>
      <c r="D67" s="295">
        <f>ROUND((IF('F Intl Con Plus Base'!$D$120&gt;ROUND(((1-'F Intl Con Plus Base'!$D$117)*'F Intl Con Plus Base'!D64),2),ROUND('F Intl Con Plus Base'!$D$120*(1+International_Fuel_Surcharge),2),ROUND(((1-'F Intl Con Plus Base'!$D$117)*'F Intl Con Plus Base'!D64)*(1+International_Fuel_Surcharge),2)))*(1+FedEx_Markup),2)</f>
        <v>87.86</v>
      </c>
      <c r="E67" s="295">
        <f>ROUND((IF('F Intl Con Plus Base'!$E$120&gt;ROUND(((1-'F Intl Con Plus Base'!$E$117)*'F Intl Con Plus Base'!E64),2),ROUND('F Intl Con Plus Base'!$E$120*(1+International_Fuel_Surcharge),2),ROUND(((1-'F Intl Con Plus Base'!$E$117)*'F Intl Con Plus Base'!E64)*(1+International_Fuel_Surcharge),2)))*(1+FedEx_Markup),2)</f>
        <v>161.98</v>
      </c>
      <c r="F67" s="295">
        <f>ROUND((IF('F Intl Con Plus Base'!$F$120&gt;ROUND(((1-'F Intl Con Plus Base'!$F$117)*'F Intl Con Plus Base'!F64),2),ROUND('F Intl Con Plus Base'!$F$120*(1+International_Fuel_Surcharge),2),ROUND(((1-'F Intl Con Plus Base'!$F$117)*'F Intl Con Plus Base'!F64)*(1+International_Fuel_Surcharge),2)))*(1+FedEx_Markup),2)</f>
        <v>348.32</v>
      </c>
      <c r="G67" s="295">
        <f>ROUND((IF('F Intl Con Plus Base'!$G$120&gt;ROUND(((1-'F Intl Con Plus Base'!$G$117)*'F Intl Con Plus Base'!G64),2),ROUND('F Intl Con Plus Base'!$G$120*(1+International_Fuel_Surcharge),2),ROUND(((1-'F Intl Con Plus Base'!$G$117)*'F Intl Con Plus Base'!G64)*(1+International_Fuel_Surcharge),2)))*(1+FedEx_Markup),2)</f>
        <v>172.37</v>
      </c>
      <c r="H67" s="295">
        <f>ROUND((IF('F Intl Con Plus Base'!$H$120&gt;ROUND(((1-'F Intl Con Plus Base'!$H$117)*'F Intl Con Plus Base'!H64),2),ROUND('F Intl Con Plus Base'!$H$120*(1+International_Fuel_Surcharge),2),ROUND(((1-'F Intl Con Plus Base'!$H$117)*'F Intl Con Plus Base'!H64)*(1+International_Fuel_Surcharge),2)))*(1+FedEx_Markup),2)</f>
        <v>183.6</v>
      </c>
      <c r="I67" s="295">
        <f>ROUND((IF('F Intl Con Plus Base'!$I$120&gt;ROUND(((1-'F Intl Con Plus Base'!$I$117)*'F Intl Con Plus Base'!I64),2),ROUND('F Intl Con Plus Base'!$I$120*(1+International_Fuel_Surcharge),2),ROUND(((1-'F Intl Con Plus Base'!$I$117)*'F Intl Con Plus Base'!I64)*(1+International_Fuel_Surcharge),2)))*(1+FedEx_Markup),2)</f>
        <v>209.99</v>
      </c>
      <c r="J67" s="295">
        <f>ROUND((IF('F Intl Con Plus Base'!$J$120&gt;ROUND(((1-'F Intl Con Plus Base'!$J$117)*'F Intl Con Plus Base'!J64),2),ROUND('F Intl Con Plus Base'!$J$120*(1+International_Fuel_Surcharge),2),ROUND(((1-'F Intl Con Plus Base'!$J$117)*'F Intl Con Plus Base'!J64)*(1+International_Fuel_Surcharge),2)))*(1+FedEx_Markup),2)</f>
        <v>126.42</v>
      </c>
      <c r="K67" s="295">
        <f>ROUND((IF('F Intl Con Plus Base'!$K$120&gt;ROUND(((1-'F Intl Con Plus Base'!$K$117)*'F Intl Con Plus Base'!K64),2),ROUND('F Intl Con Plus Base'!$K$120*(1+International_Fuel_Surcharge),2),ROUND(((1-'F Intl Con Plus Base'!$K$117)*'F Intl Con Plus Base'!K64)*(1+International_Fuel_Surcharge),2)))*(1+FedEx_Markup),2)</f>
        <v>276.33</v>
      </c>
      <c r="L67" s="295">
        <f>ROUND((IF('F Intl Con Plus Base'!$L$120&gt;ROUND(((1-'F Intl Con Plus Base'!$L$117)*'F Intl Con Plus Base'!L64),2),ROUND('F Intl Con Plus Base'!$L$120*(1+International_Fuel_Surcharge),2),ROUND(((1-'F Intl Con Plus Base'!$L$117)*'F Intl Con Plus Base'!L64)*(1+International_Fuel_Surcharge),2)))*(1+FedEx_Markup),2)</f>
        <v>233.27</v>
      </c>
      <c r="M67" s="295">
        <f>ROUND((IF('F Intl Con Plus Base'!$M$120&gt;ROUND(((1-'F Intl Con Plus Base'!$M$117)*'F Intl Con Plus Base'!M64),2),ROUND('F Intl Con Plus Base'!$M$120*(1+International_Fuel_Surcharge),2),ROUND(((1-'F Intl Con Plus Base'!$M$117)*'F Intl Con Plus Base'!M64)*(1+International_Fuel_Surcharge),2)))*(1+FedEx_Markup),2)</f>
        <v>292.65</v>
      </c>
      <c r="N67" s="295">
        <f>ROUND((IF('F Intl Con Plus Base'!$N$120&gt;ROUND(((1-'F Intl Con Plus Base'!$N$117)*'F Intl Con Plus Base'!N64),2),ROUND('F Intl Con Plus Base'!$N$120*(1+International_Fuel_Surcharge),2),ROUND(((1-'F Intl Con Plus Base'!$N$117)*'F Intl Con Plus Base'!N64)*(1+International_Fuel_Surcharge),2)))*(1+FedEx_Markup),2)</f>
        <v>301.06</v>
      </c>
      <c r="O67" s="295">
        <f>ROUND((IF('F Intl Con Plus Base'!$O$120&gt;ROUND(((1-'F Intl Con Plus Base'!$O$117)*'F Intl Con Plus Base'!O64),2),ROUND('F Intl Con Plus Base'!$O$120*(1+International_Fuel_Surcharge),2),ROUND(((1-'F Intl Con Plus Base'!$O$117)*'F Intl Con Plus Base'!O64)*(1+International_Fuel_Surcharge),2)))*(1+FedEx_Markup),2)</f>
        <v>224.71</v>
      </c>
      <c r="P67" s="295">
        <f>ROUND((IF('F Intl Con Plus Base'!$P$120&gt;ROUND(((1-'F Intl Con Plus Base'!$P$117)*'F Intl Con Plus Base'!P64),2),ROUND('F Intl Con Plus Base'!$P$120*(1+International_Fuel_Surcharge),2),ROUND(((1-'F Intl Con Plus Base'!$P$117)*'F Intl Con Plus Base'!P64)*(1+International_Fuel_Surcharge),2)))*(1+FedEx_Markup),2)</f>
        <v>237.03</v>
      </c>
      <c r="Q67" s="138"/>
      <c r="R67" s="138"/>
      <c r="S67" s="138"/>
      <c r="T67" s="138"/>
      <c r="U67" s="138"/>
      <c r="V67" s="138"/>
      <c r="W67" s="138"/>
      <c r="X67" s="138"/>
      <c r="Y67" s="138"/>
      <c r="Z67" s="138"/>
    </row>
    <row r="68" ht="12.75" customHeight="1">
      <c r="A68" s="294">
        <v>63.0</v>
      </c>
      <c r="B68" s="295">
        <f>ROUND((IF('F Intl Con Plus Base'!$B$120&gt;ROUND(((1-'F Intl Con Plus Base'!$B$117)*'F Intl Con Plus Base'!B65),2),ROUND('F Intl Con Plus Base'!$B$120*(1+International_Fuel_Surcharge),2),ROUND(((1-'F Intl Con Plus Base'!$B$117)*'F Intl Con Plus Base'!B65)*(1+International_Fuel_Surcharge),2)))*(1+FedEx_Markup),2)</f>
        <v>125.76</v>
      </c>
      <c r="C68" s="295">
        <f>ROUND((IF('F Intl Con Plus Base'!$C$120&gt;ROUND(((1-'F Intl Con Plus Base'!$C$117)*'F Intl Con Plus Base'!C65),2),ROUND('F Intl Con Plus Base'!$C$120*(1+International_Fuel_Surcharge),2),ROUND(((1-'F Intl Con Plus Base'!$C$117)*'F Intl Con Plus Base'!C65)*(1+International_Fuel_Surcharge),2)))*(1+FedEx_Markup),2)</f>
        <v>140.29</v>
      </c>
      <c r="D68" s="295">
        <f>ROUND((IF('F Intl Con Plus Base'!$D$120&gt;ROUND(((1-'F Intl Con Plus Base'!$D$117)*'F Intl Con Plus Base'!D65),2),ROUND('F Intl Con Plus Base'!$D$120*(1+International_Fuel_Surcharge),2),ROUND(((1-'F Intl Con Plus Base'!$D$117)*'F Intl Con Plus Base'!D65)*(1+International_Fuel_Surcharge),2)))*(1+FedEx_Markup),2)</f>
        <v>89.42</v>
      </c>
      <c r="E68" s="295">
        <f>ROUND((IF('F Intl Con Plus Base'!$E$120&gt;ROUND(((1-'F Intl Con Plus Base'!$E$117)*'F Intl Con Plus Base'!E65),2),ROUND('F Intl Con Plus Base'!$E$120*(1+International_Fuel_Surcharge),2),ROUND(((1-'F Intl Con Plus Base'!$E$117)*'F Intl Con Plus Base'!E65)*(1+International_Fuel_Surcharge),2)))*(1+FedEx_Markup),2)</f>
        <v>162.04</v>
      </c>
      <c r="F68" s="295">
        <f>ROUND((IF('F Intl Con Plus Base'!$F$120&gt;ROUND(((1-'F Intl Con Plus Base'!$F$117)*'F Intl Con Plus Base'!F65),2),ROUND('F Intl Con Plus Base'!$F$120*(1+International_Fuel_Surcharge),2),ROUND(((1-'F Intl Con Plus Base'!$F$117)*'F Intl Con Plus Base'!F65)*(1+International_Fuel_Surcharge),2)))*(1+FedEx_Markup),2)</f>
        <v>349.21</v>
      </c>
      <c r="G68" s="295">
        <f>ROUND((IF('F Intl Con Plus Base'!$G$120&gt;ROUND(((1-'F Intl Con Plus Base'!$G$117)*'F Intl Con Plus Base'!G65),2),ROUND('F Intl Con Plus Base'!$G$120*(1+International_Fuel_Surcharge),2),ROUND(((1-'F Intl Con Plus Base'!$G$117)*'F Intl Con Plus Base'!G65)*(1+International_Fuel_Surcharge),2)))*(1+FedEx_Markup),2)</f>
        <v>172.42</v>
      </c>
      <c r="H68" s="295">
        <f>ROUND((IF('F Intl Con Plus Base'!$H$120&gt;ROUND(((1-'F Intl Con Plus Base'!$H$117)*'F Intl Con Plus Base'!H65),2),ROUND('F Intl Con Plus Base'!$H$120*(1+International_Fuel_Surcharge),2),ROUND(((1-'F Intl Con Plus Base'!$H$117)*'F Intl Con Plus Base'!H65)*(1+International_Fuel_Surcharge),2)))*(1+FedEx_Markup),2)</f>
        <v>183.66</v>
      </c>
      <c r="I68" s="295">
        <f>ROUND((IF('F Intl Con Plus Base'!$I$120&gt;ROUND(((1-'F Intl Con Plus Base'!$I$117)*'F Intl Con Plus Base'!I65),2),ROUND('F Intl Con Plus Base'!$I$120*(1+International_Fuel_Surcharge),2),ROUND(((1-'F Intl Con Plus Base'!$I$117)*'F Intl Con Plus Base'!I65)*(1+International_Fuel_Surcharge),2)))*(1+FedEx_Markup),2)</f>
        <v>220.26</v>
      </c>
      <c r="J68" s="295">
        <f>ROUND((IF('F Intl Con Plus Base'!$J$120&gt;ROUND(((1-'F Intl Con Plus Base'!$J$117)*'F Intl Con Plus Base'!J65),2),ROUND('F Intl Con Plus Base'!$J$120*(1+International_Fuel_Surcharge),2),ROUND(((1-'F Intl Con Plus Base'!$J$117)*'F Intl Con Plus Base'!J65)*(1+International_Fuel_Surcharge),2)))*(1+FedEx_Markup),2)</f>
        <v>128.66</v>
      </c>
      <c r="K68" s="295">
        <f>ROUND((IF('F Intl Con Plus Base'!$K$120&gt;ROUND(((1-'F Intl Con Plus Base'!$K$117)*'F Intl Con Plus Base'!K65),2),ROUND('F Intl Con Plus Base'!$K$120*(1+International_Fuel_Surcharge),2),ROUND(((1-'F Intl Con Plus Base'!$K$117)*'F Intl Con Plus Base'!K65)*(1+International_Fuel_Surcharge),2)))*(1+FedEx_Markup),2)</f>
        <v>277.25</v>
      </c>
      <c r="L68" s="295">
        <f>ROUND((IF('F Intl Con Plus Base'!$L$120&gt;ROUND(((1-'F Intl Con Plus Base'!$L$117)*'F Intl Con Plus Base'!L65),2),ROUND('F Intl Con Plus Base'!$L$120*(1+International_Fuel_Surcharge),2),ROUND(((1-'F Intl Con Plus Base'!$L$117)*'F Intl Con Plus Base'!L65)*(1+International_Fuel_Surcharge),2)))*(1+FedEx_Markup),2)</f>
        <v>233.32</v>
      </c>
      <c r="M68" s="295">
        <f>ROUND((IF('F Intl Con Plus Base'!$M$120&gt;ROUND(((1-'F Intl Con Plus Base'!$M$117)*'F Intl Con Plus Base'!M65),2),ROUND('F Intl Con Plus Base'!$M$120*(1+International_Fuel_Surcharge),2),ROUND(((1-'F Intl Con Plus Base'!$M$117)*'F Intl Con Plus Base'!M65)*(1+International_Fuel_Surcharge),2)))*(1+FedEx_Markup),2)</f>
        <v>292.71</v>
      </c>
      <c r="N68" s="295">
        <f>ROUND((IF('F Intl Con Plus Base'!$N$120&gt;ROUND(((1-'F Intl Con Plus Base'!$N$117)*'F Intl Con Plus Base'!N65),2),ROUND('F Intl Con Plus Base'!$N$120*(1+International_Fuel_Surcharge),2),ROUND(((1-'F Intl Con Plus Base'!$N$117)*'F Intl Con Plus Base'!N65)*(1+International_Fuel_Surcharge),2)))*(1+FedEx_Markup),2)</f>
        <v>302.08</v>
      </c>
      <c r="O68" s="295">
        <f>ROUND((IF('F Intl Con Plus Base'!$O$120&gt;ROUND(((1-'F Intl Con Plus Base'!$O$117)*'F Intl Con Plus Base'!O65),2),ROUND('F Intl Con Plus Base'!$O$120*(1+International_Fuel_Surcharge),2),ROUND(((1-'F Intl Con Plus Base'!$O$117)*'F Intl Con Plus Base'!O65)*(1+International_Fuel_Surcharge),2)))*(1+FedEx_Markup),2)</f>
        <v>224.77</v>
      </c>
      <c r="P68" s="295">
        <f>ROUND((IF('F Intl Con Plus Base'!$P$120&gt;ROUND(((1-'F Intl Con Plus Base'!$P$117)*'F Intl Con Plus Base'!P65),2),ROUND('F Intl Con Plus Base'!$P$120*(1+International_Fuel_Surcharge),2),ROUND(((1-'F Intl Con Plus Base'!$P$117)*'F Intl Con Plus Base'!P65)*(1+International_Fuel_Surcharge),2)))*(1+FedEx_Markup),2)</f>
        <v>238.19</v>
      </c>
      <c r="Q68" s="138"/>
      <c r="R68" s="138"/>
      <c r="S68" s="138"/>
      <c r="T68" s="138"/>
      <c r="U68" s="138"/>
      <c r="V68" s="138"/>
      <c r="W68" s="138"/>
      <c r="X68" s="138"/>
      <c r="Y68" s="138"/>
      <c r="Z68" s="138"/>
    </row>
    <row r="69" ht="12.75" customHeight="1">
      <c r="A69" s="294">
        <v>64.0</v>
      </c>
      <c r="B69" s="295">
        <f>ROUND((IF('F Intl Con Plus Base'!$B$120&gt;ROUND(((1-'F Intl Con Plus Base'!$B$117)*'F Intl Con Plus Base'!B66),2),ROUND('F Intl Con Plus Base'!$B$120*(1+International_Fuel_Surcharge),2),ROUND(((1-'F Intl Con Plus Base'!$B$117)*'F Intl Con Plus Base'!B66)*(1+International_Fuel_Surcharge),2)))*(1+FedEx_Markup),2)</f>
        <v>127.16</v>
      </c>
      <c r="C69" s="295">
        <f>ROUND((IF('F Intl Con Plus Base'!$C$120&gt;ROUND(((1-'F Intl Con Plus Base'!$C$117)*'F Intl Con Plus Base'!C66),2),ROUND('F Intl Con Plus Base'!$C$120*(1+International_Fuel_Surcharge),2),ROUND(((1-'F Intl Con Plus Base'!$C$117)*'F Intl Con Plus Base'!C66)*(1+International_Fuel_Surcharge),2)))*(1+FedEx_Markup),2)</f>
        <v>140.43</v>
      </c>
      <c r="D69" s="295">
        <f>ROUND((IF('F Intl Con Plus Base'!$D$120&gt;ROUND(((1-'F Intl Con Plus Base'!$D$117)*'F Intl Con Plus Base'!D66),2),ROUND('F Intl Con Plus Base'!$D$120*(1+International_Fuel_Surcharge),2),ROUND(((1-'F Intl Con Plus Base'!$D$117)*'F Intl Con Plus Base'!D66)*(1+International_Fuel_Surcharge),2)))*(1+FedEx_Markup),2)</f>
        <v>89.57</v>
      </c>
      <c r="E69" s="295">
        <f>ROUND((IF('F Intl Con Plus Base'!$E$120&gt;ROUND(((1-'F Intl Con Plus Base'!$E$117)*'F Intl Con Plus Base'!E66),2),ROUND('F Intl Con Plus Base'!$E$120*(1+International_Fuel_Surcharge),2),ROUND(((1-'F Intl Con Plus Base'!$E$117)*'F Intl Con Plus Base'!E66)*(1+International_Fuel_Surcharge),2)))*(1+FedEx_Markup),2)</f>
        <v>162.1</v>
      </c>
      <c r="F69" s="295">
        <f>ROUND((IF('F Intl Con Plus Base'!$F$120&gt;ROUND(((1-'F Intl Con Plus Base'!$F$117)*'F Intl Con Plus Base'!F66),2),ROUND('F Intl Con Plus Base'!$F$120*(1+International_Fuel_Surcharge),2),ROUND(((1-'F Intl Con Plus Base'!$F$117)*'F Intl Con Plus Base'!F66)*(1+International_Fuel_Surcharge),2)))*(1+FedEx_Markup),2)</f>
        <v>349.3</v>
      </c>
      <c r="G69" s="295">
        <f>ROUND((IF('F Intl Con Plus Base'!$G$120&gt;ROUND(((1-'F Intl Con Plus Base'!$G$117)*'F Intl Con Plus Base'!G66),2),ROUND('F Intl Con Plus Base'!$G$120*(1+International_Fuel_Surcharge),2),ROUND(((1-'F Intl Con Plus Base'!$G$117)*'F Intl Con Plus Base'!G66)*(1+International_Fuel_Surcharge),2)))*(1+FedEx_Markup),2)</f>
        <v>173.08</v>
      </c>
      <c r="H69" s="295">
        <f>ROUND((IF('F Intl Con Plus Base'!$H$120&gt;ROUND(((1-'F Intl Con Plus Base'!$H$117)*'F Intl Con Plus Base'!H66),2),ROUND('F Intl Con Plus Base'!$H$120*(1+International_Fuel_Surcharge),2),ROUND(((1-'F Intl Con Plus Base'!$H$117)*'F Intl Con Plus Base'!H66)*(1+International_Fuel_Surcharge),2)))*(1+FedEx_Markup),2)</f>
        <v>183.91</v>
      </c>
      <c r="I69" s="295">
        <f>ROUND((IF('F Intl Con Plus Base'!$I$120&gt;ROUND(((1-'F Intl Con Plus Base'!$I$117)*'F Intl Con Plus Base'!I66),2),ROUND('F Intl Con Plus Base'!$I$120*(1+International_Fuel_Surcharge),2),ROUND(((1-'F Intl Con Plus Base'!$I$117)*'F Intl Con Plus Base'!I66)*(1+International_Fuel_Surcharge),2)))*(1+FedEx_Markup),2)</f>
        <v>221.29</v>
      </c>
      <c r="J69" s="295">
        <f>ROUND((IF('F Intl Con Plus Base'!$J$120&gt;ROUND(((1-'F Intl Con Plus Base'!$J$117)*'F Intl Con Plus Base'!J66),2),ROUND('F Intl Con Plus Base'!$J$120*(1+International_Fuel_Surcharge),2),ROUND(((1-'F Intl Con Plus Base'!$J$117)*'F Intl Con Plus Base'!J66)*(1+International_Fuel_Surcharge),2)))*(1+FedEx_Markup),2)</f>
        <v>130.47</v>
      </c>
      <c r="K69" s="295">
        <f>ROUND((IF('F Intl Con Plus Base'!$K$120&gt;ROUND(((1-'F Intl Con Plus Base'!$K$117)*'F Intl Con Plus Base'!K66),2),ROUND('F Intl Con Plus Base'!$K$120*(1+International_Fuel_Surcharge),2),ROUND(((1-'F Intl Con Plus Base'!$K$117)*'F Intl Con Plus Base'!K66)*(1+International_Fuel_Surcharge),2)))*(1+FedEx_Markup),2)</f>
        <v>278.21</v>
      </c>
      <c r="L69" s="295">
        <f>ROUND((IF('F Intl Con Plus Base'!$L$120&gt;ROUND(((1-'F Intl Con Plus Base'!$L$117)*'F Intl Con Plus Base'!L66),2),ROUND('F Intl Con Plus Base'!$L$120*(1+International_Fuel_Surcharge),2),ROUND(((1-'F Intl Con Plus Base'!$L$117)*'F Intl Con Plus Base'!L66)*(1+International_Fuel_Surcharge),2)))*(1+FedEx_Markup),2)</f>
        <v>233.37</v>
      </c>
      <c r="M69" s="295">
        <f>ROUND((IF('F Intl Con Plus Base'!$M$120&gt;ROUND(((1-'F Intl Con Plus Base'!$M$117)*'F Intl Con Plus Base'!M66),2),ROUND('F Intl Con Plus Base'!$M$120*(1+International_Fuel_Surcharge),2),ROUND(((1-'F Intl Con Plus Base'!$M$117)*'F Intl Con Plus Base'!M66)*(1+International_Fuel_Surcharge),2)))*(1+FedEx_Markup),2)</f>
        <v>292.95</v>
      </c>
      <c r="N69" s="295">
        <f>ROUND((IF('F Intl Con Plus Base'!$N$120&gt;ROUND(((1-'F Intl Con Plus Base'!$N$117)*'F Intl Con Plus Base'!N66),2),ROUND('F Intl Con Plus Base'!$N$120*(1+International_Fuel_Surcharge),2),ROUND(((1-'F Intl Con Plus Base'!$N$117)*'F Intl Con Plus Base'!N66)*(1+International_Fuel_Surcharge),2)))*(1+FedEx_Markup),2)</f>
        <v>302.19</v>
      </c>
      <c r="O69" s="295">
        <f>ROUND((IF('F Intl Con Plus Base'!$O$120&gt;ROUND(((1-'F Intl Con Plus Base'!$O$117)*'F Intl Con Plus Base'!O66),2),ROUND('F Intl Con Plus Base'!$O$120*(1+International_Fuel_Surcharge),2),ROUND(((1-'F Intl Con Plus Base'!$O$117)*'F Intl Con Plus Base'!O66)*(1+International_Fuel_Surcharge),2)))*(1+FedEx_Markup),2)</f>
        <v>224.85</v>
      </c>
      <c r="P69" s="295">
        <f>ROUND((IF('F Intl Con Plus Base'!$P$120&gt;ROUND(((1-'F Intl Con Plus Base'!$P$117)*'F Intl Con Plus Base'!P66),2),ROUND('F Intl Con Plus Base'!$P$120*(1+International_Fuel_Surcharge),2),ROUND(((1-'F Intl Con Plus Base'!$P$117)*'F Intl Con Plus Base'!P66)*(1+International_Fuel_Surcharge),2)))*(1+FedEx_Markup),2)</f>
        <v>240.91</v>
      </c>
      <c r="Q69" s="138"/>
      <c r="R69" s="138"/>
      <c r="S69" s="138"/>
      <c r="T69" s="138"/>
      <c r="U69" s="138"/>
      <c r="V69" s="138"/>
      <c r="W69" s="138"/>
      <c r="X69" s="138"/>
      <c r="Y69" s="138"/>
      <c r="Z69" s="138"/>
    </row>
    <row r="70" ht="12.75" customHeight="1">
      <c r="A70" s="294">
        <v>65.0</v>
      </c>
      <c r="B70" s="295">
        <f>ROUND((IF('F Intl Con Plus Base'!$B$120&gt;ROUND(((1-'F Intl Con Plus Base'!$B$117)*'F Intl Con Plus Base'!B67),2),ROUND('F Intl Con Plus Base'!$B$120*(1+International_Fuel_Surcharge),2),ROUND(((1-'F Intl Con Plus Base'!$B$117)*'F Intl Con Plus Base'!B67)*(1+International_Fuel_Surcharge),2)))*(1+FedEx_Markup),2)</f>
        <v>128.51</v>
      </c>
      <c r="C70" s="295">
        <f>ROUND((IF('F Intl Con Plus Base'!$C$120&gt;ROUND(((1-'F Intl Con Plus Base'!$C$117)*'F Intl Con Plus Base'!C67),2),ROUND('F Intl Con Plus Base'!$C$120*(1+International_Fuel_Surcharge),2),ROUND(((1-'F Intl Con Plus Base'!$C$117)*'F Intl Con Plus Base'!C67)*(1+International_Fuel_Surcharge),2)))*(1+FedEx_Markup),2)</f>
        <v>140.58</v>
      </c>
      <c r="D70" s="295">
        <f>ROUND((IF('F Intl Con Plus Base'!$D$120&gt;ROUND(((1-'F Intl Con Plus Base'!$D$117)*'F Intl Con Plus Base'!D67),2),ROUND('F Intl Con Plus Base'!$D$120*(1+International_Fuel_Surcharge),2),ROUND(((1-'F Intl Con Plus Base'!$D$117)*'F Intl Con Plus Base'!D67)*(1+International_Fuel_Surcharge),2)))*(1+FedEx_Markup),2)</f>
        <v>89.69</v>
      </c>
      <c r="E70" s="295">
        <f>ROUND((IF('F Intl Con Plus Base'!$E$120&gt;ROUND(((1-'F Intl Con Plus Base'!$E$117)*'F Intl Con Plus Base'!E67),2),ROUND('F Intl Con Plus Base'!$E$120*(1+International_Fuel_Surcharge),2),ROUND(((1-'F Intl Con Plus Base'!$E$117)*'F Intl Con Plus Base'!E67)*(1+International_Fuel_Surcharge),2)))*(1+FedEx_Markup),2)</f>
        <v>162.2</v>
      </c>
      <c r="F70" s="295">
        <f>ROUND((IF('F Intl Con Plus Base'!$F$120&gt;ROUND(((1-'F Intl Con Plus Base'!$F$117)*'F Intl Con Plus Base'!F67),2),ROUND('F Intl Con Plus Base'!$F$120*(1+International_Fuel_Surcharge),2),ROUND(((1-'F Intl Con Plus Base'!$F$117)*'F Intl Con Plus Base'!F67)*(1+International_Fuel_Surcharge),2)))*(1+FedEx_Markup),2)</f>
        <v>349.36</v>
      </c>
      <c r="G70" s="295">
        <f>ROUND((IF('F Intl Con Plus Base'!$G$120&gt;ROUND(((1-'F Intl Con Plus Base'!$G$117)*'F Intl Con Plus Base'!G67),2),ROUND('F Intl Con Plus Base'!$G$120*(1+International_Fuel_Surcharge),2),ROUND(((1-'F Intl Con Plus Base'!$G$117)*'F Intl Con Plus Base'!G67)*(1+International_Fuel_Surcharge),2)))*(1+FedEx_Markup),2)</f>
        <v>186.02</v>
      </c>
      <c r="H70" s="295">
        <f>ROUND((IF('F Intl Con Plus Base'!$H$120&gt;ROUND(((1-'F Intl Con Plus Base'!$H$117)*'F Intl Con Plus Base'!H67),2),ROUND('F Intl Con Plus Base'!$H$120*(1+International_Fuel_Surcharge),2),ROUND(((1-'F Intl Con Plus Base'!$H$117)*'F Intl Con Plus Base'!H67)*(1+International_Fuel_Surcharge),2)))*(1+FedEx_Markup),2)</f>
        <v>189.04</v>
      </c>
      <c r="I70" s="295">
        <f>ROUND((IF('F Intl Con Plus Base'!$I$120&gt;ROUND(((1-'F Intl Con Plus Base'!$I$117)*'F Intl Con Plus Base'!I67),2),ROUND('F Intl Con Plus Base'!$I$120*(1+International_Fuel_Surcharge),2),ROUND(((1-'F Intl Con Plus Base'!$I$117)*'F Intl Con Plus Base'!I67)*(1+International_Fuel_Surcharge),2)))*(1+FedEx_Markup),2)</f>
        <v>222.99</v>
      </c>
      <c r="J70" s="295">
        <f>ROUND((IF('F Intl Con Plus Base'!$J$120&gt;ROUND(((1-'F Intl Con Plus Base'!$J$117)*'F Intl Con Plus Base'!J67),2),ROUND('F Intl Con Plus Base'!$J$120*(1+International_Fuel_Surcharge),2),ROUND(((1-'F Intl Con Plus Base'!$J$117)*'F Intl Con Plus Base'!J67)*(1+International_Fuel_Surcharge),2)))*(1+FedEx_Markup),2)</f>
        <v>130.65</v>
      </c>
      <c r="K70" s="295">
        <f>ROUND((IF('F Intl Con Plus Base'!$K$120&gt;ROUND(((1-'F Intl Con Plus Base'!$K$117)*'F Intl Con Plus Base'!K67),2),ROUND('F Intl Con Plus Base'!$K$120*(1+International_Fuel_Surcharge),2),ROUND(((1-'F Intl Con Plus Base'!$K$117)*'F Intl Con Plus Base'!K67)*(1+International_Fuel_Surcharge),2)))*(1+FedEx_Markup),2)</f>
        <v>279.17</v>
      </c>
      <c r="L70" s="295">
        <f>ROUND((IF('F Intl Con Plus Base'!$L$120&gt;ROUND(((1-'F Intl Con Plus Base'!$L$117)*'F Intl Con Plus Base'!L67),2),ROUND('F Intl Con Plus Base'!$L$120*(1+International_Fuel_Surcharge),2),ROUND(((1-'F Intl Con Plus Base'!$L$117)*'F Intl Con Plus Base'!L67)*(1+International_Fuel_Surcharge),2)))*(1+FedEx_Markup),2)</f>
        <v>233.44</v>
      </c>
      <c r="M70" s="295">
        <f>ROUND((IF('F Intl Con Plus Base'!$M$120&gt;ROUND(((1-'F Intl Con Plus Base'!$M$117)*'F Intl Con Plus Base'!M67),2),ROUND('F Intl Con Plus Base'!$M$120*(1+International_Fuel_Surcharge),2),ROUND(((1-'F Intl Con Plus Base'!$M$117)*'F Intl Con Plus Base'!M67)*(1+International_Fuel_Surcharge),2)))*(1+FedEx_Markup),2)</f>
        <v>297.34</v>
      </c>
      <c r="N70" s="295">
        <f>ROUND((IF('F Intl Con Plus Base'!$N$120&gt;ROUND(((1-'F Intl Con Plus Base'!$N$117)*'F Intl Con Plus Base'!N67),2),ROUND('F Intl Con Plus Base'!$N$120*(1+International_Fuel_Surcharge),2),ROUND(((1-'F Intl Con Plus Base'!$N$117)*'F Intl Con Plus Base'!N67)*(1+International_Fuel_Surcharge),2)))*(1+FedEx_Markup),2)</f>
        <v>302.89</v>
      </c>
      <c r="O70" s="295">
        <f>ROUND((IF('F Intl Con Plus Base'!$O$120&gt;ROUND(((1-'F Intl Con Plus Base'!$O$117)*'F Intl Con Plus Base'!O67),2),ROUND('F Intl Con Plus Base'!$O$120*(1+International_Fuel_Surcharge),2),ROUND(((1-'F Intl Con Plus Base'!$O$117)*'F Intl Con Plus Base'!O67)*(1+International_Fuel_Surcharge),2)))*(1+FedEx_Markup),2)</f>
        <v>224.91</v>
      </c>
      <c r="P70" s="295">
        <f>ROUND((IF('F Intl Con Plus Base'!$P$120&gt;ROUND(((1-'F Intl Con Plus Base'!$P$117)*'F Intl Con Plus Base'!P67),2),ROUND('F Intl Con Plus Base'!$P$120*(1+International_Fuel_Surcharge),2),ROUND(((1-'F Intl Con Plus Base'!$P$117)*'F Intl Con Plus Base'!P67)*(1+International_Fuel_Surcharge),2)))*(1+FedEx_Markup),2)</f>
        <v>241.18</v>
      </c>
      <c r="Q70" s="138"/>
      <c r="R70" s="138"/>
      <c r="S70" s="138"/>
      <c r="T70" s="138"/>
      <c r="U70" s="138"/>
      <c r="V70" s="138"/>
      <c r="W70" s="138"/>
      <c r="X70" s="138"/>
      <c r="Y70" s="138"/>
      <c r="Z70" s="138"/>
    </row>
    <row r="71" ht="12.75" customHeight="1">
      <c r="A71" s="294">
        <v>66.0</v>
      </c>
      <c r="B71" s="295">
        <f>ROUND((IF('F Intl Con Plus Base'!$B$120&gt;ROUND(((1-'F Intl Con Plus Base'!$B$117)*'F Intl Con Plus Base'!B68),2),ROUND('F Intl Con Plus Base'!$B$120*(1+International_Fuel_Surcharge),2),ROUND(((1-'F Intl Con Plus Base'!$B$117)*'F Intl Con Plus Base'!B68)*(1+International_Fuel_Surcharge),2)))*(1+FedEx_Markup),2)</f>
        <v>128.7</v>
      </c>
      <c r="C71" s="295">
        <f>ROUND((IF('F Intl Con Plus Base'!$C$120&gt;ROUND(((1-'F Intl Con Plus Base'!$C$117)*'F Intl Con Plus Base'!C68),2),ROUND('F Intl Con Plus Base'!$C$120*(1+International_Fuel_Surcharge),2),ROUND(((1-'F Intl Con Plus Base'!$C$117)*'F Intl Con Plus Base'!C68)*(1+International_Fuel_Surcharge),2)))*(1+FedEx_Markup),2)</f>
        <v>141.8</v>
      </c>
      <c r="D71" s="295">
        <f>ROUND((IF('F Intl Con Plus Base'!$D$120&gt;ROUND(((1-'F Intl Con Plus Base'!$D$117)*'F Intl Con Plus Base'!D68),2),ROUND('F Intl Con Plus Base'!$D$120*(1+International_Fuel_Surcharge),2),ROUND(((1-'F Intl Con Plus Base'!$D$117)*'F Intl Con Plus Base'!D68)*(1+International_Fuel_Surcharge),2)))*(1+FedEx_Markup),2)</f>
        <v>91.83</v>
      </c>
      <c r="E71" s="295">
        <f>ROUND((IF('F Intl Con Plus Base'!$E$120&gt;ROUND(((1-'F Intl Con Plus Base'!$E$117)*'F Intl Con Plus Base'!E68),2),ROUND('F Intl Con Plus Base'!$E$120*(1+International_Fuel_Surcharge),2),ROUND(((1-'F Intl Con Plus Base'!$E$117)*'F Intl Con Plus Base'!E68)*(1+International_Fuel_Surcharge),2)))*(1+FedEx_Markup),2)</f>
        <v>162.25</v>
      </c>
      <c r="F71" s="295">
        <f>ROUND((IF('F Intl Con Plus Base'!$F$120&gt;ROUND(((1-'F Intl Con Plus Base'!$F$117)*'F Intl Con Plus Base'!F68),2),ROUND('F Intl Con Plus Base'!$F$120*(1+International_Fuel_Surcharge),2),ROUND(((1-'F Intl Con Plus Base'!$F$117)*'F Intl Con Plus Base'!F68)*(1+International_Fuel_Surcharge),2)))*(1+FedEx_Markup),2)</f>
        <v>349.4</v>
      </c>
      <c r="G71" s="295">
        <f>ROUND((IF('F Intl Con Plus Base'!$G$120&gt;ROUND(((1-'F Intl Con Plus Base'!$G$117)*'F Intl Con Plus Base'!G68),2),ROUND('F Intl Con Plus Base'!$G$120*(1+International_Fuel_Surcharge),2),ROUND(((1-'F Intl Con Plus Base'!$G$117)*'F Intl Con Plus Base'!G68)*(1+International_Fuel_Surcharge),2)))*(1+FedEx_Markup),2)</f>
        <v>187.32</v>
      </c>
      <c r="H71" s="295">
        <f>ROUND((IF('F Intl Con Plus Base'!$H$120&gt;ROUND(((1-'F Intl Con Plus Base'!$H$117)*'F Intl Con Plus Base'!H68),2),ROUND('F Intl Con Plus Base'!$H$120*(1+International_Fuel_Surcharge),2),ROUND(((1-'F Intl Con Plus Base'!$H$117)*'F Intl Con Plus Base'!H68)*(1+International_Fuel_Surcharge),2)))*(1+FedEx_Markup),2)</f>
        <v>190.43</v>
      </c>
      <c r="I71" s="295">
        <f>ROUND((IF('F Intl Con Plus Base'!$I$120&gt;ROUND(((1-'F Intl Con Plus Base'!$I$117)*'F Intl Con Plus Base'!I68),2),ROUND('F Intl Con Plus Base'!$I$120*(1+International_Fuel_Surcharge),2),ROUND(((1-'F Intl Con Plus Base'!$I$117)*'F Intl Con Plus Base'!I68)*(1+International_Fuel_Surcharge),2)))*(1+FedEx_Markup),2)</f>
        <v>228.69</v>
      </c>
      <c r="J71" s="295">
        <f>ROUND((IF('F Intl Con Plus Base'!$J$120&gt;ROUND(((1-'F Intl Con Plus Base'!$J$117)*'F Intl Con Plus Base'!J68),2),ROUND('F Intl Con Plus Base'!$J$120*(1+International_Fuel_Surcharge),2),ROUND(((1-'F Intl Con Plus Base'!$J$117)*'F Intl Con Plus Base'!J68)*(1+International_Fuel_Surcharge),2)))*(1+FedEx_Markup),2)</f>
        <v>132.99</v>
      </c>
      <c r="K71" s="295">
        <f>ROUND((IF('F Intl Con Plus Base'!$K$120&gt;ROUND(((1-'F Intl Con Plus Base'!$K$117)*'F Intl Con Plus Base'!K68),2),ROUND('F Intl Con Plus Base'!$K$120*(1+International_Fuel_Surcharge),2),ROUND(((1-'F Intl Con Plus Base'!$K$117)*'F Intl Con Plus Base'!K68)*(1+International_Fuel_Surcharge),2)))*(1+FedEx_Markup),2)</f>
        <v>280.13</v>
      </c>
      <c r="L71" s="295">
        <f>ROUND((IF('F Intl Con Plus Base'!$L$120&gt;ROUND(((1-'F Intl Con Plus Base'!$L$117)*'F Intl Con Plus Base'!L68),2),ROUND('F Intl Con Plus Base'!$L$120*(1+International_Fuel_Surcharge),2),ROUND(((1-'F Intl Con Plus Base'!$L$117)*'F Intl Con Plus Base'!L68)*(1+International_Fuel_Surcharge),2)))*(1+FedEx_Markup),2)</f>
        <v>233.82</v>
      </c>
      <c r="M71" s="295">
        <f>ROUND((IF('F Intl Con Plus Base'!$M$120&gt;ROUND(((1-'F Intl Con Plus Base'!$M$117)*'F Intl Con Plus Base'!M68),2),ROUND('F Intl Con Plus Base'!$M$120*(1+International_Fuel_Surcharge),2),ROUND(((1-'F Intl Con Plus Base'!$M$117)*'F Intl Con Plus Base'!M68)*(1+International_Fuel_Surcharge),2)))*(1+FedEx_Markup),2)</f>
        <v>298.85</v>
      </c>
      <c r="N71" s="295">
        <f>ROUND((IF('F Intl Con Plus Base'!$N$120&gt;ROUND(((1-'F Intl Con Plus Base'!$N$117)*'F Intl Con Plus Base'!N68),2),ROUND('F Intl Con Plus Base'!$N$120*(1+International_Fuel_Surcharge),2),ROUND(((1-'F Intl Con Plus Base'!$N$117)*'F Intl Con Plus Base'!N68)*(1+International_Fuel_Surcharge),2)))*(1+FedEx_Markup),2)</f>
        <v>315.57</v>
      </c>
      <c r="O71" s="295">
        <f>ROUND((IF('F Intl Con Plus Base'!$O$120&gt;ROUND(((1-'F Intl Con Plus Base'!$O$117)*'F Intl Con Plus Base'!O68),2),ROUND('F Intl Con Plus Base'!$O$120*(1+International_Fuel_Surcharge),2),ROUND(((1-'F Intl Con Plus Base'!$O$117)*'F Intl Con Plus Base'!O68)*(1+International_Fuel_Surcharge),2)))*(1+FedEx_Markup),2)</f>
        <v>225.17</v>
      </c>
      <c r="P71" s="295">
        <f>ROUND((IF('F Intl Con Plus Base'!$P$120&gt;ROUND(((1-'F Intl Con Plus Base'!$P$117)*'F Intl Con Plus Base'!P68),2),ROUND('F Intl Con Plus Base'!$P$120*(1+International_Fuel_Surcharge),2),ROUND(((1-'F Intl Con Plus Base'!$P$117)*'F Intl Con Plus Base'!P68)*(1+International_Fuel_Surcharge),2)))*(1+FedEx_Markup),2)</f>
        <v>241.47</v>
      </c>
      <c r="Q71" s="138"/>
      <c r="R71" s="138"/>
      <c r="S71" s="138"/>
      <c r="T71" s="138"/>
      <c r="U71" s="138"/>
      <c r="V71" s="138"/>
      <c r="W71" s="138"/>
      <c r="X71" s="138"/>
      <c r="Y71" s="138"/>
      <c r="Z71" s="138"/>
    </row>
    <row r="72" ht="12.75" customHeight="1">
      <c r="A72" s="294">
        <v>67.0</v>
      </c>
      <c r="B72" s="295">
        <f>ROUND((IF('F Intl Con Plus Base'!$B$120&gt;ROUND(((1-'F Intl Con Plus Base'!$B$117)*'F Intl Con Plus Base'!B69),2),ROUND('F Intl Con Plus Base'!$B$120*(1+International_Fuel_Surcharge),2),ROUND(((1-'F Intl Con Plus Base'!$B$117)*'F Intl Con Plus Base'!B69)*(1+International_Fuel_Surcharge),2)))*(1+FedEx_Markup),2)</f>
        <v>128.77</v>
      </c>
      <c r="C72" s="295">
        <f>ROUND((IF('F Intl Con Plus Base'!$C$120&gt;ROUND(((1-'F Intl Con Plus Base'!$C$117)*'F Intl Con Plus Base'!C69),2),ROUND('F Intl Con Plus Base'!$C$120*(1+International_Fuel_Surcharge),2),ROUND(((1-'F Intl Con Plus Base'!$C$117)*'F Intl Con Plus Base'!C69)*(1+International_Fuel_Surcharge),2)))*(1+FedEx_Markup),2)</f>
        <v>144.14</v>
      </c>
      <c r="D72" s="295">
        <f>ROUND((IF('F Intl Con Plus Base'!$D$120&gt;ROUND(((1-'F Intl Con Plus Base'!$D$117)*'F Intl Con Plus Base'!D69),2),ROUND('F Intl Con Plus Base'!$D$120*(1+International_Fuel_Surcharge),2),ROUND(((1-'F Intl Con Plus Base'!$D$117)*'F Intl Con Plus Base'!D69)*(1+International_Fuel_Surcharge),2)))*(1+FedEx_Markup),2)</f>
        <v>92.25</v>
      </c>
      <c r="E72" s="295">
        <f>ROUND((IF('F Intl Con Plus Base'!$E$120&gt;ROUND(((1-'F Intl Con Plus Base'!$E$117)*'F Intl Con Plus Base'!E69),2),ROUND('F Intl Con Plus Base'!$E$120*(1+International_Fuel_Surcharge),2),ROUND(((1-'F Intl Con Plus Base'!$E$117)*'F Intl Con Plus Base'!E69)*(1+International_Fuel_Surcharge),2)))*(1+FedEx_Markup),2)</f>
        <v>162.59</v>
      </c>
      <c r="F72" s="295">
        <f>ROUND((IF('F Intl Con Plus Base'!$F$120&gt;ROUND(((1-'F Intl Con Plus Base'!$F$117)*'F Intl Con Plus Base'!F69),2),ROUND('F Intl Con Plus Base'!$F$120*(1+International_Fuel_Surcharge),2),ROUND(((1-'F Intl Con Plus Base'!$F$117)*'F Intl Con Plus Base'!F69)*(1+International_Fuel_Surcharge),2)))*(1+FedEx_Markup),2)</f>
        <v>349.46</v>
      </c>
      <c r="G72" s="295">
        <f>ROUND((IF('F Intl Con Plus Base'!$G$120&gt;ROUND(((1-'F Intl Con Plus Base'!$G$117)*'F Intl Con Plus Base'!G69),2),ROUND('F Intl Con Plus Base'!$G$120*(1+International_Fuel_Surcharge),2),ROUND(((1-'F Intl Con Plus Base'!$G$117)*'F Intl Con Plus Base'!G69)*(1+International_Fuel_Surcharge),2)))*(1+FedEx_Markup),2)</f>
        <v>187.45</v>
      </c>
      <c r="H72" s="295">
        <f>ROUND((IF('F Intl Con Plus Base'!$H$120&gt;ROUND(((1-'F Intl Con Plus Base'!$H$117)*'F Intl Con Plus Base'!H69),2),ROUND('F Intl Con Plus Base'!$H$120*(1+International_Fuel_Surcharge),2),ROUND(((1-'F Intl Con Plus Base'!$H$117)*'F Intl Con Plus Base'!H69)*(1+International_Fuel_Surcharge),2)))*(1+FedEx_Markup),2)</f>
        <v>191.83</v>
      </c>
      <c r="I72" s="295">
        <f>ROUND((IF('F Intl Con Plus Base'!$I$120&gt;ROUND(((1-'F Intl Con Plus Base'!$I$117)*'F Intl Con Plus Base'!I69),2),ROUND('F Intl Con Plus Base'!$I$120*(1+International_Fuel_Surcharge),2),ROUND(((1-'F Intl Con Plus Base'!$I$117)*'F Intl Con Plus Base'!I69)*(1+International_Fuel_Surcharge),2)))*(1+FedEx_Markup),2)</f>
        <v>229.25</v>
      </c>
      <c r="J72" s="295">
        <f>ROUND((IF('F Intl Con Plus Base'!$J$120&gt;ROUND(((1-'F Intl Con Plus Base'!$J$117)*'F Intl Con Plus Base'!J69),2),ROUND('F Intl Con Plus Base'!$J$120*(1+International_Fuel_Surcharge),2),ROUND(((1-'F Intl Con Plus Base'!$J$117)*'F Intl Con Plus Base'!J69)*(1+International_Fuel_Surcharge),2)))*(1+FedEx_Markup),2)</f>
        <v>133.22</v>
      </c>
      <c r="K72" s="295">
        <f>ROUND((IF('F Intl Con Plus Base'!$K$120&gt;ROUND(((1-'F Intl Con Plus Base'!$K$117)*'F Intl Con Plus Base'!K69),2),ROUND('F Intl Con Plus Base'!$K$120*(1+International_Fuel_Surcharge),2),ROUND(((1-'F Intl Con Plus Base'!$K$117)*'F Intl Con Plus Base'!K69)*(1+International_Fuel_Surcharge),2)))*(1+FedEx_Markup),2)</f>
        <v>281.11</v>
      </c>
      <c r="L72" s="295">
        <f>ROUND((IF('F Intl Con Plus Base'!$L$120&gt;ROUND(((1-'F Intl Con Plus Base'!$L$117)*'F Intl Con Plus Base'!L69),2),ROUND('F Intl Con Plus Base'!$L$120*(1+International_Fuel_Surcharge),2),ROUND(((1-'F Intl Con Plus Base'!$L$117)*'F Intl Con Plus Base'!L69)*(1+International_Fuel_Surcharge),2)))*(1+FedEx_Markup),2)</f>
        <v>237.75</v>
      </c>
      <c r="M72" s="295">
        <f>ROUND((IF('F Intl Con Plus Base'!$M$120&gt;ROUND(((1-'F Intl Con Plus Base'!$M$117)*'F Intl Con Plus Base'!M69),2),ROUND('F Intl Con Plus Base'!$M$120*(1+International_Fuel_Surcharge),2),ROUND(((1-'F Intl Con Plus Base'!$M$117)*'F Intl Con Plus Base'!M69)*(1+International_Fuel_Surcharge),2)))*(1+FedEx_Markup),2)</f>
        <v>299.62</v>
      </c>
      <c r="N72" s="295">
        <f>ROUND((IF('F Intl Con Plus Base'!$N$120&gt;ROUND(((1-'F Intl Con Plus Base'!$N$117)*'F Intl Con Plus Base'!N69),2),ROUND('F Intl Con Plus Base'!$N$120*(1+International_Fuel_Surcharge),2),ROUND(((1-'F Intl Con Plus Base'!$N$117)*'F Intl Con Plus Base'!N69)*(1+International_Fuel_Surcharge),2)))*(1+FedEx_Markup),2)</f>
        <v>316.85</v>
      </c>
      <c r="O72" s="295">
        <f>ROUND((IF('F Intl Con Plus Base'!$O$120&gt;ROUND(((1-'F Intl Con Plus Base'!$O$117)*'F Intl Con Plus Base'!O69),2),ROUND('F Intl Con Plus Base'!$O$120*(1+International_Fuel_Surcharge),2),ROUND(((1-'F Intl Con Plus Base'!$O$117)*'F Intl Con Plus Base'!O69)*(1+International_Fuel_Surcharge),2)))*(1+FedEx_Markup),2)</f>
        <v>225.23</v>
      </c>
      <c r="P72" s="295">
        <f>ROUND((IF('F Intl Con Plus Base'!$P$120&gt;ROUND(((1-'F Intl Con Plus Base'!$P$117)*'F Intl Con Plus Base'!P69),2),ROUND('F Intl Con Plus Base'!$P$120*(1+International_Fuel_Surcharge),2),ROUND(((1-'F Intl Con Plus Base'!$P$117)*'F Intl Con Plus Base'!P69)*(1+International_Fuel_Surcharge),2)))*(1+FedEx_Markup),2)</f>
        <v>241.56</v>
      </c>
      <c r="Q72" s="138"/>
      <c r="R72" s="138"/>
      <c r="S72" s="138"/>
      <c r="T72" s="138"/>
      <c r="U72" s="138"/>
      <c r="V72" s="138"/>
      <c r="W72" s="138"/>
      <c r="X72" s="138"/>
      <c r="Y72" s="138"/>
      <c r="Z72" s="138"/>
    </row>
    <row r="73" ht="12.75" customHeight="1">
      <c r="A73" s="294">
        <v>68.0</v>
      </c>
      <c r="B73" s="295">
        <f>ROUND((IF('F Intl Con Plus Base'!$B$120&gt;ROUND(((1-'F Intl Con Plus Base'!$B$117)*'F Intl Con Plus Base'!B70),2),ROUND('F Intl Con Plus Base'!$B$120*(1+International_Fuel_Surcharge),2),ROUND(((1-'F Intl Con Plus Base'!$B$117)*'F Intl Con Plus Base'!B70)*(1+International_Fuel_Surcharge),2)))*(1+FedEx_Markup),2)</f>
        <v>129.78</v>
      </c>
      <c r="C73" s="295">
        <f>ROUND((IF('F Intl Con Plus Base'!$C$120&gt;ROUND(((1-'F Intl Con Plus Base'!$C$117)*'F Intl Con Plus Base'!C70),2),ROUND('F Intl Con Plus Base'!$C$120*(1+International_Fuel_Surcharge),2),ROUND(((1-'F Intl Con Plus Base'!$C$117)*'F Intl Con Plus Base'!C70)*(1+International_Fuel_Surcharge),2)))*(1+FedEx_Markup),2)</f>
        <v>144.37</v>
      </c>
      <c r="D73" s="295">
        <f>ROUND((IF('F Intl Con Plus Base'!$D$120&gt;ROUND(((1-'F Intl Con Plus Base'!$D$117)*'F Intl Con Plus Base'!D70),2),ROUND('F Intl Con Plus Base'!$D$120*(1+International_Fuel_Surcharge),2),ROUND(((1-'F Intl Con Plus Base'!$D$117)*'F Intl Con Plus Base'!D70)*(1+International_Fuel_Surcharge),2)))*(1+FedEx_Markup),2)</f>
        <v>92.51</v>
      </c>
      <c r="E73" s="295">
        <f>ROUND((IF('F Intl Con Plus Base'!$E$120&gt;ROUND(((1-'F Intl Con Plus Base'!$E$117)*'F Intl Con Plus Base'!E70),2),ROUND('F Intl Con Plus Base'!$E$120*(1+International_Fuel_Surcharge),2),ROUND(((1-'F Intl Con Plus Base'!$E$117)*'F Intl Con Plus Base'!E70)*(1+International_Fuel_Surcharge),2)))*(1+FedEx_Markup),2)</f>
        <v>169.12</v>
      </c>
      <c r="F73" s="295">
        <f>ROUND((IF('F Intl Con Plus Base'!$F$120&gt;ROUND(((1-'F Intl Con Plus Base'!$F$117)*'F Intl Con Plus Base'!F70),2),ROUND('F Intl Con Plus Base'!$F$120*(1+International_Fuel_Surcharge),2),ROUND(((1-'F Intl Con Plus Base'!$F$117)*'F Intl Con Plus Base'!F70)*(1+International_Fuel_Surcharge),2)))*(1+FedEx_Markup),2)</f>
        <v>349.51</v>
      </c>
      <c r="G73" s="295">
        <f>ROUND((IF('F Intl Con Plus Base'!$G$120&gt;ROUND(((1-'F Intl Con Plus Base'!$G$117)*'F Intl Con Plus Base'!G70),2),ROUND('F Intl Con Plus Base'!$G$120*(1+International_Fuel_Surcharge),2),ROUND(((1-'F Intl Con Plus Base'!$G$117)*'F Intl Con Plus Base'!G70)*(1+International_Fuel_Surcharge),2)))*(1+FedEx_Markup),2)</f>
        <v>188.13</v>
      </c>
      <c r="H73" s="295">
        <f>ROUND((IF('F Intl Con Plus Base'!$H$120&gt;ROUND(((1-'F Intl Con Plus Base'!$H$117)*'F Intl Con Plus Base'!H70),2),ROUND('F Intl Con Plus Base'!$H$120*(1+International_Fuel_Surcharge),2),ROUND(((1-'F Intl Con Plus Base'!$H$117)*'F Intl Con Plus Base'!H70)*(1+International_Fuel_Surcharge),2)))*(1+FedEx_Markup),2)</f>
        <v>193.21</v>
      </c>
      <c r="I73" s="295">
        <f>ROUND((IF('F Intl Con Plus Base'!$I$120&gt;ROUND(((1-'F Intl Con Plus Base'!$I$117)*'F Intl Con Plus Base'!I70),2),ROUND('F Intl Con Plus Base'!$I$120*(1+International_Fuel_Surcharge),2),ROUND(((1-'F Intl Con Plus Base'!$I$117)*'F Intl Con Plus Base'!I70)*(1+International_Fuel_Surcharge),2)))*(1+FedEx_Markup),2)</f>
        <v>229.31</v>
      </c>
      <c r="J73" s="295">
        <f>ROUND((IF('F Intl Con Plus Base'!$J$120&gt;ROUND(((1-'F Intl Con Plus Base'!$J$117)*'F Intl Con Plus Base'!J70),2),ROUND('F Intl Con Plus Base'!$J$120*(1+International_Fuel_Surcharge),2),ROUND(((1-'F Intl Con Plus Base'!$J$117)*'F Intl Con Plus Base'!J70)*(1+International_Fuel_Surcharge),2)))*(1+FedEx_Markup),2)</f>
        <v>135.67</v>
      </c>
      <c r="K73" s="295">
        <f>ROUND((IF('F Intl Con Plus Base'!$K$120&gt;ROUND(((1-'F Intl Con Plus Base'!$K$117)*'F Intl Con Plus Base'!K70),2),ROUND('F Intl Con Plus Base'!$K$120*(1+International_Fuel_Surcharge),2),ROUND(((1-'F Intl Con Plus Base'!$K$117)*'F Intl Con Plus Base'!K70)*(1+International_Fuel_Surcharge),2)))*(1+FedEx_Markup),2)</f>
        <v>282.07</v>
      </c>
      <c r="L73" s="295">
        <f>ROUND((IF('F Intl Con Plus Base'!$L$120&gt;ROUND(((1-'F Intl Con Plus Base'!$L$117)*'F Intl Con Plus Base'!L70),2),ROUND('F Intl Con Plus Base'!$L$120*(1+International_Fuel_Surcharge),2),ROUND(((1-'F Intl Con Plus Base'!$L$117)*'F Intl Con Plus Base'!L70)*(1+International_Fuel_Surcharge),2)))*(1+FedEx_Markup),2)</f>
        <v>238.48</v>
      </c>
      <c r="M73" s="295">
        <f>ROUND((IF('F Intl Con Plus Base'!$M$120&gt;ROUND(((1-'F Intl Con Plus Base'!$M$117)*'F Intl Con Plus Base'!M70),2),ROUND('F Intl Con Plus Base'!$M$120*(1+International_Fuel_Surcharge),2),ROUND(((1-'F Intl Con Plus Base'!$M$117)*'F Intl Con Plus Base'!M70)*(1+International_Fuel_Surcharge),2)))*(1+FedEx_Markup),2)</f>
        <v>314.02</v>
      </c>
      <c r="N73" s="295">
        <f>ROUND((IF('F Intl Con Plus Base'!$N$120&gt;ROUND(((1-'F Intl Con Plus Base'!$N$117)*'F Intl Con Plus Base'!N70),2),ROUND('F Intl Con Plus Base'!$N$120*(1+International_Fuel_Surcharge),2),ROUND(((1-'F Intl Con Plus Base'!$N$117)*'F Intl Con Plus Base'!N70)*(1+International_Fuel_Surcharge),2)))*(1+FedEx_Markup),2)</f>
        <v>316.97</v>
      </c>
      <c r="O73" s="295">
        <f>ROUND((IF('F Intl Con Plus Base'!$O$120&gt;ROUND(((1-'F Intl Con Plus Base'!$O$117)*'F Intl Con Plus Base'!O70),2),ROUND('F Intl Con Plus Base'!$O$120*(1+International_Fuel_Surcharge),2),ROUND(((1-'F Intl Con Plus Base'!$O$117)*'F Intl Con Plus Base'!O70)*(1+International_Fuel_Surcharge),2)))*(1+FedEx_Markup),2)</f>
        <v>225.27</v>
      </c>
      <c r="P73" s="295">
        <f>ROUND((IF('F Intl Con Plus Base'!$P$120&gt;ROUND(((1-'F Intl Con Plus Base'!$P$117)*'F Intl Con Plus Base'!P70),2),ROUND('F Intl Con Plus Base'!$P$120*(1+International_Fuel_Surcharge),2),ROUND(((1-'F Intl Con Plus Base'!$P$117)*'F Intl Con Plus Base'!P70)*(1+International_Fuel_Surcharge),2)))*(1+FedEx_Markup),2)</f>
        <v>241.93</v>
      </c>
      <c r="Q73" s="138"/>
      <c r="R73" s="138"/>
      <c r="S73" s="138"/>
      <c r="T73" s="138"/>
      <c r="U73" s="138"/>
      <c r="V73" s="138"/>
      <c r="W73" s="138"/>
      <c r="X73" s="138"/>
      <c r="Y73" s="138"/>
      <c r="Z73" s="138"/>
    </row>
    <row r="74" ht="12.75" customHeight="1">
      <c r="A74" s="294">
        <v>69.0</v>
      </c>
      <c r="B74" s="295">
        <f>ROUND((IF('F Intl Con Plus Base'!$B$120&gt;ROUND(((1-'F Intl Con Plus Base'!$B$117)*'F Intl Con Plus Base'!B71),2),ROUND('F Intl Con Plus Base'!$B$120*(1+International_Fuel_Surcharge),2),ROUND(((1-'F Intl Con Plus Base'!$B$117)*'F Intl Con Plus Base'!B71)*(1+International_Fuel_Surcharge),2)))*(1+FedEx_Markup),2)</f>
        <v>129.88</v>
      </c>
      <c r="C74" s="295">
        <f>ROUND((IF('F Intl Con Plus Base'!$C$120&gt;ROUND(((1-'F Intl Con Plus Base'!$C$117)*'F Intl Con Plus Base'!C71),2),ROUND('F Intl Con Plus Base'!$C$120*(1+International_Fuel_Surcharge),2),ROUND(((1-'F Intl Con Plus Base'!$C$117)*'F Intl Con Plus Base'!C71)*(1+International_Fuel_Surcharge),2)))*(1+FedEx_Markup),2)</f>
        <v>146.31</v>
      </c>
      <c r="D74" s="295">
        <f>ROUND((IF('F Intl Con Plus Base'!$D$120&gt;ROUND(((1-'F Intl Con Plus Base'!$D$117)*'F Intl Con Plus Base'!D71),2),ROUND('F Intl Con Plus Base'!$D$120*(1+International_Fuel_Surcharge),2),ROUND(((1-'F Intl Con Plus Base'!$D$117)*'F Intl Con Plus Base'!D71)*(1+International_Fuel_Surcharge),2)))*(1+FedEx_Markup),2)</f>
        <v>92.59</v>
      </c>
      <c r="E74" s="295">
        <f>ROUND((IF('F Intl Con Plus Base'!$E$120&gt;ROUND(((1-'F Intl Con Plus Base'!$E$117)*'F Intl Con Plus Base'!E71),2),ROUND('F Intl Con Plus Base'!$E$120*(1+International_Fuel_Surcharge),2),ROUND(((1-'F Intl Con Plus Base'!$E$117)*'F Intl Con Plus Base'!E71)*(1+International_Fuel_Surcharge),2)))*(1+FedEx_Markup),2)</f>
        <v>169.77</v>
      </c>
      <c r="F74" s="295">
        <f>ROUND((IF('F Intl Con Plus Base'!$F$120&gt;ROUND(((1-'F Intl Con Plus Base'!$F$117)*'F Intl Con Plus Base'!F71),2),ROUND('F Intl Con Plus Base'!$F$120*(1+International_Fuel_Surcharge),2),ROUND(((1-'F Intl Con Plus Base'!$F$117)*'F Intl Con Plus Base'!F71)*(1+International_Fuel_Surcharge),2)))*(1+FedEx_Markup),2)</f>
        <v>349.59</v>
      </c>
      <c r="G74" s="295">
        <f>ROUND((IF('F Intl Con Plus Base'!$G$120&gt;ROUND(((1-'F Intl Con Plus Base'!$G$117)*'F Intl Con Plus Base'!G71),2),ROUND('F Intl Con Plus Base'!$G$120*(1+International_Fuel_Surcharge),2),ROUND(((1-'F Intl Con Plus Base'!$G$117)*'F Intl Con Plus Base'!G71)*(1+International_Fuel_Surcharge),2)))*(1+FedEx_Markup),2)</f>
        <v>188.2</v>
      </c>
      <c r="H74" s="295">
        <f>ROUND((IF('F Intl Con Plus Base'!$H$120&gt;ROUND(((1-'F Intl Con Plus Base'!$H$117)*'F Intl Con Plus Base'!H71),2),ROUND('F Intl Con Plus Base'!$H$120*(1+International_Fuel_Surcharge),2),ROUND(((1-'F Intl Con Plus Base'!$H$117)*'F Intl Con Plus Base'!H71)*(1+International_Fuel_Surcharge),2)))*(1+FedEx_Markup),2)</f>
        <v>194.63</v>
      </c>
      <c r="I74" s="295">
        <f>ROUND((IF('F Intl Con Plus Base'!$I$120&gt;ROUND(((1-'F Intl Con Plus Base'!$I$117)*'F Intl Con Plus Base'!I71),2),ROUND('F Intl Con Plus Base'!$I$120*(1+International_Fuel_Surcharge),2),ROUND(((1-'F Intl Con Plus Base'!$I$117)*'F Intl Con Plus Base'!I71)*(1+International_Fuel_Surcharge),2)))*(1+FedEx_Markup),2)</f>
        <v>229.37</v>
      </c>
      <c r="J74" s="295">
        <f>ROUND((IF('F Intl Con Plus Base'!$J$120&gt;ROUND(((1-'F Intl Con Plus Base'!$J$117)*'F Intl Con Plus Base'!J71),2),ROUND('F Intl Con Plus Base'!$J$120*(1+International_Fuel_Surcharge),2),ROUND(((1-'F Intl Con Plus Base'!$J$117)*'F Intl Con Plus Base'!J71)*(1+International_Fuel_Surcharge),2)))*(1+FedEx_Markup),2)</f>
        <v>135.91</v>
      </c>
      <c r="K74" s="295">
        <f>ROUND((IF('F Intl Con Plus Base'!$K$120&gt;ROUND(((1-'F Intl Con Plus Base'!$K$117)*'F Intl Con Plus Base'!K71),2),ROUND('F Intl Con Plus Base'!$K$120*(1+International_Fuel_Surcharge),2),ROUND(((1-'F Intl Con Plus Base'!$K$117)*'F Intl Con Plus Base'!K71)*(1+International_Fuel_Surcharge),2)))*(1+FedEx_Markup),2)</f>
        <v>282.67</v>
      </c>
      <c r="L74" s="295">
        <f>ROUND((IF('F Intl Con Plus Base'!$L$120&gt;ROUND(((1-'F Intl Con Plus Base'!$L$117)*'F Intl Con Plus Base'!L71),2),ROUND('F Intl Con Plus Base'!$L$120*(1+International_Fuel_Surcharge),2),ROUND(((1-'F Intl Con Plus Base'!$L$117)*'F Intl Con Plus Base'!L71)*(1+International_Fuel_Surcharge),2)))*(1+FedEx_Markup),2)</f>
        <v>240.97</v>
      </c>
      <c r="M74" s="295">
        <f>ROUND((IF('F Intl Con Plus Base'!$M$120&gt;ROUND(((1-'F Intl Con Plus Base'!$M$117)*'F Intl Con Plus Base'!M71),2),ROUND('F Intl Con Plus Base'!$M$120*(1+International_Fuel_Surcharge),2),ROUND(((1-'F Intl Con Plus Base'!$M$117)*'F Intl Con Plus Base'!M71)*(1+International_Fuel_Surcharge),2)))*(1+FedEx_Markup),2)</f>
        <v>315.46</v>
      </c>
      <c r="N74" s="295">
        <f>ROUND((IF('F Intl Con Plus Base'!$N$120&gt;ROUND(((1-'F Intl Con Plus Base'!$N$117)*'F Intl Con Plus Base'!N71),2),ROUND('F Intl Con Plus Base'!$N$120*(1+International_Fuel_Surcharge),2),ROUND(((1-'F Intl Con Plus Base'!$N$117)*'F Intl Con Plus Base'!N71)*(1+International_Fuel_Surcharge),2)))*(1+FedEx_Markup),2)</f>
        <v>317.06</v>
      </c>
      <c r="O74" s="295">
        <f>ROUND((IF('F Intl Con Plus Base'!$O$120&gt;ROUND(((1-'F Intl Con Plus Base'!$O$117)*'F Intl Con Plus Base'!O71),2),ROUND('F Intl Con Plus Base'!$O$120*(1+International_Fuel_Surcharge),2),ROUND(((1-'F Intl Con Plus Base'!$O$117)*'F Intl Con Plus Base'!O71)*(1+International_Fuel_Surcharge),2)))*(1+FedEx_Markup),2)</f>
        <v>225.33</v>
      </c>
      <c r="P74" s="295">
        <f>ROUND((IF('F Intl Con Plus Base'!$P$120&gt;ROUND(((1-'F Intl Con Plus Base'!$P$117)*'F Intl Con Plus Base'!P71),2),ROUND('F Intl Con Plus Base'!$P$120*(1+International_Fuel_Surcharge),2),ROUND(((1-'F Intl Con Plus Base'!$P$117)*'F Intl Con Plus Base'!P71)*(1+International_Fuel_Surcharge),2)))*(1+FedEx_Markup),2)</f>
        <v>249.3</v>
      </c>
      <c r="Q74" s="138"/>
      <c r="R74" s="138"/>
      <c r="S74" s="138"/>
      <c r="T74" s="138"/>
      <c r="U74" s="138"/>
      <c r="V74" s="138"/>
      <c r="W74" s="138"/>
      <c r="X74" s="138"/>
      <c r="Y74" s="138"/>
      <c r="Z74" s="138"/>
    </row>
    <row r="75" ht="12.75" customHeight="1">
      <c r="A75" s="294">
        <v>70.0</v>
      </c>
      <c r="B75" s="295">
        <f>ROUND((IF('F Intl Con Plus Base'!$B$120&gt;ROUND(((1-'F Intl Con Plus Base'!$B$117)*'F Intl Con Plus Base'!B72),2),ROUND('F Intl Con Plus Base'!$B$120*(1+International_Fuel_Surcharge),2),ROUND(((1-'F Intl Con Plus Base'!$B$117)*'F Intl Con Plus Base'!B72)*(1+International_Fuel_Surcharge),2)))*(1+FedEx_Markup),2)</f>
        <v>130.56</v>
      </c>
      <c r="C75" s="295">
        <f>ROUND((IF('F Intl Con Plus Base'!$C$120&gt;ROUND(((1-'F Intl Con Plus Base'!$C$117)*'F Intl Con Plus Base'!C72),2),ROUND('F Intl Con Plus Base'!$C$120*(1+International_Fuel_Surcharge),2),ROUND(((1-'F Intl Con Plus Base'!$C$117)*'F Intl Con Plus Base'!C72)*(1+International_Fuel_Surcharge),2)))*(1+FedEx_Markup),2)</f>
        <v>146.97</v>
      </c>
      <c r="D75" s="295">
        <f>ROUND((IF('F Intl Con Plus Base'!$D$120&gt;ROUND(((1-'F Intl Con Plus Base'!$D$117)*'F Intl Con Plus Base'!D72),2),ROUND('F Intl Con Plus Base'!$D$120*(1+International_Fuel_Surcharge),2),ROUND(((1-'F Intl Con Plus Base'!$D$117)*'F Intl Con Plus Base'!D72)*(1+International_Fuel_Surcharge),2)))*(1+FedEx_Markup),2)</f>
        <v>94.02</v>
      </c>
      <c r="E75" s="295">
        <f>ROUND((IF('F Intl Con Plus Base'!$E$120&gt;ROUND(((1-'F Intl Con Plus Base'!$E$117)*'F Intl Con Plus Base'!E72),2),ROUND('F Intl Con Plus Base'!$E$120*(1+International_Fuel_Surcharge),2),ROUND(((1-'F Intl Con Plus Base'!$E$117)*'F Intl Con Plus Base'!E72)*(1+International_Fuel_Surcharge),2)))*(1+FedEx_Markup),2)</f>
        <v>174.09</v>
      </c>
      <c r="F75" s="295">
        <f>ROUND((IF('F Intl Con Plus Base'!$F$120&gt;ROUND(((1-'F Intl Con Plus Base'!$F$117)*'F Intl Con Plus Base'!F72),2),ROUND('F Intl Con Plus Base'!$F$120*(1+International_Fuel_Surcharge),2),ROUND(((1-'F Intl Con Plus Base'!$F$117)*'F Intl Con Plus Base'!F72)*(1+International_Fuel_Surcharge),2)))*(1+FedEx_Markup),2)</f>
        <v>351.08</v>
      </c>
      <c r="G75" s="295">
        <f>ROUND((IF('F Intl Con Plus Base'!$G$120&gt;ROUND(((1-'F Intl Con Plus Base'!$G$117)*'F Intl Con Plus Base'!G72),2),ROUND('F Intl Con Plus Base'!$G$120*(1+International_Fuel_Surcharge),2),ROUND(((1-'F Intl Con Plus Base'!$G$117)*'F Intl Con Plus Base'!G72)*(1+International_Fuel_Surcharge),2)))*(1+FedEx_Markup),2)</f>
        <v>189.45</v>
      </c>
      <c r="H75" s="295">
        <f>ROUND((IF('F Intl Con Plus Base'!$H$120&gt;ROUND(((1-'F Intl Con Plus Base'!$H$117)*'F Intl Con Plus Base'!H72),2),ROUND('F Intl Con Plus Base'!$H$120*(1+International_Fuel_Surcharge),2),ROUND(((1-'F Intl Con Plus Base'!$H$117)*'F Intl Con Plus Base'!H72)*(1+International_Fuel_Surcharge),2)))*(1+FedEx_Markup),2)</f>
        <v>196.02</v>
      </c>
      <c r="I75" s="295">
        <f>ROUND((IF('F Intl Con Plus Base'!$I$120&gt;ROUND(((1-'F Intl Con Plus Base'!$I$117)*'F Intl Con Plus Base'!I72),2),ROUND('F Intl Con Plus Base'!$I$120*(1+International_Fuel_Surcharge),2),ROUND(((1-'F Intl Con Plus Base'!$I$117)*'F Intl Con Plus Base'!I72)*(1+International_Fuel_Surcharge),2)))*(1+FedEx_Markup),2)</f>
        <v>230.41</v>
      </c>
      <c r="J75" s="295">
        <f>ROUND((IF('F Intl Con Plus Base'!$J$120&gt;ROUND(((1-'F Intl Con Plus Base'!$J$117)*'F Intl Con Plus Base'!J72),2),ROUND('F Intl Con Plus Base'!$J$120*(1+International_Fuel_Surcharge),2),ROUND(((1-'F Intl Con Plus Base'!$J$117)*'F Intl Con Plus Base'!J72)*(1+International_Fuel_Surcharge),2)))*(1+FedEx_Markup),2)</f>
        <v>137.24</v>
      </c>
      <c r="K75" s="295">
        <f>ROUND((IF('F Intl Con Plus Base'!$K$120&gt;ROUND(((1-'F Intl Con Plus Base'!$K$117)*'F Intl Con Plus Base'!K72),2),ROUND('F Intl Con Plus Base'!$K$120*(1+International_Fuel_Surcharge),2),ROUND(((1-'F Intl Con Plus Base'!$K$117)*'F Intl Con Plus Base'!K72)*(1+International_Fuel_Surcharge),2)))*(1+FedEx_Markup),2)</f>
        <v>283.99</v>
      </c>
      <c r="L75" s="295">
        <f>ROUND((IF('F Intl Con Plus Base'!$L$120&gt;ROUND(((1-'F Intl Con Plus Base'!$L$117)*'F Intl Con Plus Base'!L72),2),ROUND('F Intl Con Plus Base'!$L$120*(1+International_Fuel_Surcharge),2),ROUND(((1-'F Intl Con Plus Base'!$L$117)*'F Intl Con Plus Base'!L72)*(1+International_Fuel_Surcharge),2)))*(1+FedEx_Markup),2)</f>
        <v>246.12</v>
      </c>
      <c r="M75" s="295">
        <f>ROUND((IF('F Intl Con Plus Base'!$M$120&gt;ROUND(((1-'F Intl Con Plus Base'!$M$117)*'F Intl Con Plus Base'!M72),2),ROUND('F Intl Con Plus Base'!$M$120*(1+International_Fuel_Surcharge),2),ROUND(((1-'F Intl Con Plus Base'!$M$117)*'F Intl Con Plus Base'!M72)*(1+International_Fuel_Surcharge),2)))*(1+FedEx_Markup),2)</f>
        <v>316.83</v>
      </c>
      <c r="N75" s="295">
        <f>ROUND((IF('F Intl Con Plus Base'!$N$120&gt;ROUND(((1-'F Intl Con Plus Base'!$N$117)*'F Intl Con Plus Base'!N72),2),ROUND('F Intl Con Plus Base'!$N$120*(1+International_Fuel_Surcharge),2),ROUND(((1-'F Intl Con Plus Base'!$N$117)*'F Intl Con Plus Base'!N72)*(1+International_Fuel_Surcharge),2)))*(1+FedEx_Markup),2)</f>
        <v>318.67</v>
      </c>
      <c r="O75" s="295">
        <f>ROUND((IF('F Intl Con Plus Base'!$O$120&gt;ROUND(((1-'F Intl Con Plus Base'!$O$117)*'F Intl Con Plus Base'!O72),2),ROUND('F Intl Con Plus Base'!$O$120*(1+International_Fuel_Surcharge),2),ROUND(((1-'F Intl Con Plus Base'!$O$117)*'F Intl Con Plus Base'!O72)*(1+International_Fuel_Surcharge),2)))*(1+FedEx_Markup),2)</f>
        <v>226.42</v>
      </c>
      <c r="P75" s="295">
        <f>ROUND((IF('F Intl Con Plus Base'!$P$120&gt;ROUND(((1-'F Intl Con Plus Base'!$P$117)*'F Intl Con Plus Base'!P72),2),ROUND('F Intl Con Plus Base'!$P$120*(1+International_Fuel_Surcharge),2),ROUND(((1-'F Intl Con Plus Base'!$P$117)*'F Intl Con Plus Base'!P72)*(1+International_Fuel_Surcharge),2)))*(1+FedEx_Markup),2)</f>
        <v>262.5</v>
      </c>
      <c r="Q75" s="138"/>
      <c r="R75" s="138"/>
      <c r="S75" s="138"/>
      <c r="T75" s="138"/>
      <c r="U75" s="138"/>
      <c r="V75" s="138"/>
      <c r="W75" s="138"/>
      <c r="X75" s="138"/>
      <c r="Y75" s="138"/>
      <c r="Z75" s="138"/>
    </row>
    <row r="76" ht="12.75" customHeight="1">
      <c r="A76" s="294">
        <v>71.0</v>
      </c>
      <c r="B76" s="295">
        <f>ROUND((IF('F Intl Con Plus Base'!$B$120&gt;ROUND(((1-'F Intl Con Plus Base'!$B$117)*'F Intl Con Plus Base'!B73),2),ROUND('F Intl Con Plus Base'!$B$120*(1+International_Fuel_Surcharge),2),ROUND(((1-'F Intl Con Plus Base'!$B$117)*'F Intl Con Plus Base'!B73)*(1+International_Fuel_Surcharge),2)))*(1+FedEx_Markup),2)</f>
        <v>144.21</v>
      </c>
      <c r="C76" s="295">
        <f>ROUND((IF('F Intl Con Plus Base'!$C$120&gt;ROUND(((1-'F Intl Con Plus Base'!$C$117)*'F Intl Con Plus Base'!C73),2),ROUND('F Intl Con Plus Base'!$C$120*(1+International_Fuel_Surcharge),2),ROUND(((1-'F Intl Con Plus Base'!$C$117)*'F Intl Con Plus Base'!C73)*(1+International_Fuel_Surcharge),2)))*(1+FedEx_Markup),2)</f>
        <v>159.92</v>
      </c>
      <c r="D76" s="295">
        <f>ROUND((IF('F Intl Con Plus Base'!$D$120&gt;ROUND(((1-'F Intl Con Plus Base'!$D$117)*'F Intl Con Plus Base'!D73),2),ROUND('F Intl Con Plus Base'!$D$120*(1+International_Fuel_Surcharge),2),ROUND(((1-'F Intl Con Plus Base'!$D$117)*'F Intl Con Plus Base'!D73)*(1+International_Fuel_Surcharge),2)))*(1+FedEx_Markup),2)</f>
        <v>105.11</v>
      </c>
      <c r="E76" s="295">
        <f>ROUND((IF('F Intl Con Plus Base'!$E$120&gt;ROUND(((1-'F Intl Con Plus Base'!$E$117)*'F Intl Con Plus Base'!E73),2),ROUND('F Intl Con Plus Base'!$E$120*(1+International_Fuel_Surcharge),2),ROUND(((1-'F Intl Con Plus Base'!$E$117)*'F Intl Con Plus Base'!E73)*(1+International_Fuel_Surcharge),2)))*(1+FedEx_Markup),2)</f>
        <v>190.04</v>
      </c>
      <c r="F76" s="295">
        <f>ROUND((IF('F Intl Con Plus Base'!$F$120&gt;ROUND(((1-'F Intl Con Plus Base'!$F$117)*'F Intl Con Plus Base'!F73),2),ROUND('F Intl Con Plus Base'!$F$120*(1+International_Fuel_Surcharge),2),ROUND(((1-'F Intl Con Plus Base'!$F$117)*'F Intl Con Plus Base'!F73)*(1+International_Fuel_Surcharge),2)))*(1+FedEx_Markup),2)</f>
        <v>381.12</v>
      </c>
      <c r="G76" s="295">
        <f>ROUND((IF('F Intl Con Plus Base'!$G$120&gt;ROUND(((1-'F Intl Con Plus Base'!$G$117)*'F Intl Con Plus Base'!G73),2),ROUND('F Intl Con Plus Base'!$G$120*(1+International_Fuel_Surcharge),2),ROUND(((1-'F Intl Con Plus Base'!$G$117)*'F Intl Con Plus Base'!G73)*(1+International_Fuel_Surcharge),2)))*(1+FedEx_Markup),2)</f>
        <v>214.43</v>
      </c>
      <c r="H76" s="295">
        <f>ROUND((IF('F Intl Con Plus Base'!$H$120&gt;ROUND(((1-'F Intl Con Plus Base'!$H$117)*'F Intl Con Plus Base'!H73),2),ROUND('F Intl Con Plus Base'!$H$120*(1+International_Fuel_Surcharge),2),ROUND(((1-'F Intl Con Plus Base'!$H$117)*'F Intl Con Plus Base'!H73)*(1+International_Fuel_Surcharge),2)))*(1+FedEx_Markup),2)</f>
        <v>217.7</v>
      </c>
      <c r="I76" s="295">
        <f>ROUND((IF('F Intl Con Plus Base'!$I$120&gt;ROUND(((1-'F Intl Con Plus Base'!$I$117)*'F Intl Con Plus Base'!I73),2),ROUND('F Intl Con Plus Base'!$I$120*(1+International_Fuel_Surcharge),2),ROUND(((1-'F Intl Con Plus Base'!$I$117)*'F Intl Con Plus Base'!I73)*(1+International_Fuel_Surcharge),2)))*(1+FedEx_Markup),2)</f>
        <v>251.38</v>
      </c>
      <c r="J76" s="295">
        <f>ROUND((IF('F Intl Con Plus Base'!$J$120&gt;ROUND(((1-'F Intl Con Plus Base'!$J$117)*'F Intl Con Plus Base'!J73),2),ROUND('F Intl Con Plus Base'!$J$120*(1+International_Fuel_Surcharge),2),ROUND(((1-'F Intl Con Plus Base'!$J$117)*'F Intl Con Plus Base'!J73)*(1+International_Fuel_Surcharge),2)))*(1+FedEx_Markup),2)</f>
        <v>152.09</v>
      </c>
      <c r="K76" s="295">
        <f>ROUND((IF('F Intl Con Plus Base'!$K$120&gt;ROUND(((1-'F Intl Con Plus Base'!$K$117)*'F Intl Con Plus Base'!K73),2),ROUND('F Intl Con Plus Base'!$K$120*(1+International_Fuel_Surcharge),2),ROUND(((1-'F Intl Con Plus Base'!$K$117)*'F Intl Con Plus Base'!K73)*(1+International_Fuel_Surcharge),2)))*(1+FedEx_Markup),2)</f>
        <v>310.56</v>
      </c>
      <c r="L76" s="295">
        <f>ROUND((IF('F Intl Con Plus Base'!$L$120&gt;ROUND(((1-'F Intl Con Plus Base'!$L$117)*'F Intl Con Plus Base'!L73),2),ROUND('F Intl Con Plus Base'!$L$120*(1+International_Fuel_Surcharge),2),ROUND(((1-'F Intl Con Plus Base'!$L$117)*'F Intl Con Plus Base'!L73)*(1+International_Fuel_Surcharge),2)))*(1+FedEx_Markup),2)</f>
        <v>269.87</v>
      </c>
      <c r="M76" s="295">
        <f>ROUND((IF('F Intl Con Plus Base'!$M$120&gt;ROUND(((1-'F Intl Con Plus Base'!$M$117)*'F Intl Con Plus Base'!M73),2),ROUND('F Intl Con Plus Base'!$M$120*(1+International_Fuel_Surcharge),2),ROUND(((1-'F Intl Con Plus Base'!$M$117)*'F Intl Con Plus Base'!M73)*(1+International_Fuel_Surcharge),2)))*(1+FedEx_Markup),2)</f>
        <v>343.99</v>
      </c>
      <c r="N76" s="295">
        <f>ROUND((IF('F Intl Con Plus Base'!$N$120&gt;ROUND(((1-'F Intl Con Plus Base'!$N$117)*'F Intl Con Plus Base'!N73),2),ROUND('F Intl Con Plus Base'!$N$120*(1+International_Fuel_Surcharge),2),ROUND(((1-'F Intl Con Plus Base'!$N$117)*'F Intl Con Plus Base'!N73)*(1+International_Fuel_Surcharge),2)))*(1+FedEx_Markup),2)</f>
        <v>350.73</v>
      </c>
      <c r="O76" s="295">
        <f>ROUND((IF('F Intl Con Plus Base'!$O$120&gt;ROUND(((1-'F Intl Con Plus Base'!$O$117)*'F Intl Con Plus Base'!O73),2),ROUND('F Intl Con Plus Base'!$O$120*(1+International_Fuel_Surcharge),2),ROUND(((1-'F Intl Con Plus Base'!$O$117)*'F Intl Con Plus Base'!O73)*(1+International_Fuel_Surcharge),2)))*(1+FedEx_Markup),2)</f>
        <v>248.19</v>
      </c>
      <c r="P76" s="295">
        <f>ROUND((IF('F Intl Con Plus Base'!$P$120&gt;ROUND(((1-'F Intl Con Plus Base'!$P$117)*'F Intl Con Plus Base'!P73),2),ROUND('F Intl Con Plus Base'!$P$120*(1+International_Fuel_Surcharge),2),ROUND(((1-'F Intl Con Plus Base'!$P$117)*'F Intl Con Plus Base'!P73)*(1+International_Fuel_Surcharge),2)))*(1+FedEx_Markup),2)</f>
        <v>286.09</v>
      </c>
      <c r="Q76" s="138"/>
      <c r="R76" s="138"/>
      <c r="S76" s="138"/>
      <c r="T76" s="138"/>
      <c r="U76" s="138"/>
      <c r="V76" s="138"/>
      <c r="W76" s="138"/>
      <c r="X76" s="138"/>
      <c r="Y76" s="138"/>
      <c r="Z76" s="138"/>
    </row>
    <row r="77" ht="12.75" customHeight="1">
      <c r="A77" s="294">
        <v>72.0</v>
      </c>
      <c r="B77" s="295">
        <f>ROUND((IF('F Intl Con Plus Base'!$B$120&gt;ROUND(((1-'F Intl Con Plus Base'!$B$117)*'F Intl Con Plus Base'!B74),2),ROUND('F Intl Con Plus Base'!$B$120*(1+International_Fuel_Surcharge),2),ROUND(((1-'F Intl Con Plus Base'!$B$117)*'F Intl Con Plus Base'!B74)*(1+International_Fuel_Surcharge),2)))*(1+FedEx_Markup),2)</f>
        <v>145.58</v>
      </c>
      <c r="C77" s="295">
        <f>ROUND((IF('F Intl Con Plus Base'!$C$120&gt;ROUND(((1-'F Intl Con Plus Base'!$C$117)*'F Intl Con Plus Base'!C74),2),ROUND('F Intl Con Plus Base'!$C$120*(1+International_Fuel_Surcharge),2),ROUND(((1-'F Intl Con Plus Base'!$C$117)*'F Intl Con Plus Base'!C74)*(1+International_Fuel_Surcharge),2)))*(1+FedEx_Markup),2)</f>
        <v>161.21</v>
      </c>
      <c r="D77" s="295">
        <f>ROUND((IF('F Intl Con Plus Base'!$D$120&gt;ROUND(((1-'F Intl Con Plus Base'!$D$117)*'F Intl Con Plus Base'!D74),2),ROUND('F Intl Con Plus Base'!$D$120*(1+International_Fuel_Surcharge),2),ROUND(((1-'F Intl Con Plus Base'!$D$117)*'F Intl Con Plus Base'!D74)*(1+International_Fuel_Surcharge),2)))*(1+FedEx_Markup),2)</f>
        <v>106.21</v>
      </c>
      <c r="E77" s="295">
        <f>ROUND((IF('F Intl Con Plus Base'!$E$120&gt;ROUND(((1-'F Intl Con Plus Base'!$E$117)*'F Intl Con Plus Base'!E74),2),ROUND('F Intl Con Plus Base'!$E$120*(1+International_Fuel_Surcharge),2),ROUND(((1-'F Intl Con Plus Base'!$E$117)*'F Intl Con Plus Base'!E74)*(1+International_Fuel_Surcharge),2)))*(1+FedEx_Markup),2)</f>
        <v>191.64</v>
      </c>
      <c r="F77" s="295">
        <f>ROUND((IF('F Intl Con Plus Base'!$F$120&gt;ROUND(((1-'F Intl Con Plus Base'!$F$117)*'F Intl Con Plus Base'!F74),2),ROUND('F Intl Con Plus Base'!$F$120*(1+International_Fuel_Surcharge),2),ROUND(((1-'F Intl Con Plus Base'!$F$117)*'F Intl Con Plus Base'!F74)*(1+International_Fuel_Surcharge),2)))*(1+FedEx_Markup),2)</f>
        <v>384.13</v>
      </c>
      <c r="G77" s="295">
        <f>ROUND((IF('F Intl Con Plus Base'!$G$120&gt;ROUND(((1-'F Intl Con Plus Base'!$G$117)*'F Intl Con Plus Base'!G74),2),ROUND('F Intl Con Plus Base'!$G$120*(1+International_Fuel_Surcharge),2),ROUND(((1-'F Intl Con Plus Base'!$G$117)*'F Intl Con Plus Base'!G74)*(1+International_Fuel_Surcharge),2)))*(1+FedEx_Markup),2)</f>
        <v>217.33</v>
      </c>
      <c r="H77" s="295">
        <f>ROUND((IF('F Intl Con Plus Base'!$H$120&gt;ROUND(((1-'F Intl Con Plus Base'!$H$117)*'F Intl Con Plus Base'!H74),2),ROUND('F Intl Con Plus Base'!$H$120*(1+International_Fuel_Surcharge),2),ROUND(((1-'F Intl Con Plus Base'!$H$117)*'F Intl Con Plus Base'!H74)*(1+International_Fuel_Surcharge),2)))*(1+FedEx_Markup),2)</f>
        <v>219.86</v>
      </c>
      <c r="I77" s="295">
        <f>ROUND((IF('F Intl Con Plus Base'!$I$120&gt;ROUND(((1-'F Intl Con Plus Base'!$I$117)*'F Intl Con Plus Base'!I74),2),ROUND('F Intl Con Plus Base'!$I$120*(1+International_Fuel_Surcharge),2),ROUND(((1-'F Intl Con Plus Base'!$I$117)*'F Intl Con Plus Base'!I74)*(1+International_Fuel_Surcharge),2)))*(1+FedEx_Markup),2)</f>
        <v>253.47</v>
      </c>
      <c r="J77" s="295">
        <f>ROUND((IF('F Intl Con Plus Base'!$J$120&gt;ROUND(((1-'F Intl Con Plus Base'!$J$117)*'F Intl Con Plus Base'!J74),2),ROUND('F Intl Con Plus Base'!$J$120*(1+International_Fuel_Surcharge),2),ROUND(((1-'F Intl Con Plus Base'!$J$117)*'F Intl Con Plus Base'!J74)*(1+International_Fuel_Surcharge),2)))*(1+FedEx_Markup),2)</f>
        <v>158.19</v>
      </c>
      <c r="K77" s="295">
        <f>ROUND((IF('F Intl Con Plus Base'!$K$120&gt;ROUND(((1-'F Intl Con Plus Base'!$K$117)*'F Intl Con Plus Base'!K74),2),ROUND('F Intl Con Plus Base'!$K$120*(1+International_Fuel_Surcharge),2),ROUND(((1-'F Intl Con Plus Base'!$K$117)*'F Intl Con Plus Base'!K74)*(1+International_Fuel_Surcharge),2)))*(1+FedEx_Markup),2)</f>
        <v>313.21</v>
      </c>
      <c r="L77" s="295">
        <f>ROUND((IF('F Intl Con Plus Base'!$L$120&gt;ROUND(((1-'F Intl Con Plus Base'!$L$117)*'F Intl Con Plus Base'!L74),2),ROUND('F Intl Con Plus Base'!$L$120*(1+International_Fuel_Surcharge),2),ROUND(((1-'F Intl Con Plus Base'!$L$117)*'F Intl Con Plus Base'!L74)*(1+International_Fuel_Surcharge),2)))*(1+FedEx_Markup),2)</f>
        <v>272.25</v>
      </c>
      <c r="M77" s="295">
        <f>ROUND((IF('F Intl Con Plus Base'!$M$120&gt;ROUND(((1-'F Intl Con Plus Base'!$M$117)*'F Intl Con Plus Base'!M74),2),ROUND('F Intl Con Plus Base'!$M$120*(1+International_Fuel_Surcharge),2),ROUND(((1-'F Intl Con Plus Base'!$M$117)*'F Intl Con Plus Base'!M74)*(1+International_Fuel_Surcharge),2)))*(1+FedEx_Markup),2)</f>
        <v>346.71</v>
      </c>
      <c r="N77" s="295">
        <f>ROUND((IF('F Intl Con Plus Base'!$N$120&gt;ROUND(((1-'F Intl Con Plus Base'!$N$117)*'F Intl Con Plus Base'!N74),2),ROUND('F Intl Con Plus Base'!$N$120*(1+International_Fuel_Surcharge),2),ROUND(((1-'F Intl Con Plus Base'!$N$117)*'F Intl Con Plus Base'!N74)*(1+International_Fuel_Surcharge),2)))*(1+FedEx_Markup),2)</f>
        <v>353.94</v>
      </c>
      <c r="O77" s="295">
        <f>ROUND((IF('F Intl Con Plus Base'!$O$120&gt;ROUND(((1-'F Intl Con Plus Base'!$O$117)*'F Intl Con Plus Base'!O74),2),ROUND('F Intl Con Plus Base'!$O$120*(1+International_Fuel_Surcharge),2),ROUND(((1-'F Intl Con Plus Base'!$O$117)*'F Intl Con Plus Base'!O74)*(1+International_Fuel_Surcharge),2)))*(1+FedEx_Markup),2)</f>
        <v>250.37</v>
      </c>
      <c r="P77" s="295">
        <f>ROUND((IF('F Intl Con Plus Base'!$P$120&gt;ROUND(((1-'F Intl Con Plus Base'!$P$117)*'F Intl Con Plus Base'!P74),2),ROUND('F Intl Con Plus Base'!$P$120*(1+International_Fuel_Surcharge),2),ROUND(((1-'F Intl Con Plus Base'!$P$117)*'F Intl Con Plus Base'!P74)*(1+International_Fuel_Surcharge),2)))*(1+FedEx_Markup),2)</f>
        <v>288.44</v>
      </c>
      <c r="Q77" s="138"/>
      <c r="R77" s="138"/>
      <c r="S77" s="138"/>
      <c r="T77" s="138"/>
      <c r="U77" s="138"/>
      <c r="V77" s="138"/>
      <c r="W77" s="138"/>
      <c r="X77" s="138"/>
      <c r="Y77" s="138"/>
      <c r="Z77" s="138"/>
    </row>
    <row r="78" ht="12.75" customHeight="1">
      <c r="A78" s="294">
        <v>73.0</v>
      </c>
      <c r="B78" s="295">
        <f>ROUND((IF('F Intl Con Plus Base'!$B$120&gt;ROUND(((1-'F Intl Con Plus Base'!$B$117)*'F Intl Con Plus Base'!B75),2),ROUND('F Intl Con Plus Base'!$B$120*(1+International_Fuel_Surcharge),2),ROUND(((1-'F Intl Con Plus Base'!$B$117)*'F Intl Con Plus Base'!B75)*(1+International_Fuel_Surcharge),2)))*(1+FedEx_Markup),2)</f>
        <v>149.41</v>
      </c>
      <c r="C78" s="295">
        <f>ROUND((IF('F Intl Con Plus Base'!$C$120&gt;ROUND(((1-'F Intl Con Plus Base'!$C$117)*'F Intl Con Plus Base'!C75),2),ROUND('F Intl Con Plus Base'!$C$120*(1+International_Fuel_Surcharge),2),ROUND(((1-'F Intl Con Plus Base'!$C$117)*'F Intl Con Plus Base'!C75)*(1+International_Fuel_Surcharge),2)))*(1+FedEx_Markup),2)</f>
        <v>161.35</v>
      </c>
      <c r="D78" s="295">
        <f>ROUND((IF('F Intl Con Plus Base'!$D$120&gt;ROUND(((1-'F Intl Con Plus Base'!$D$117)*'F Intl Con Plus Base'!D75),2),ROUND('F Intl Con Plus Base'!$D$120*(1+International_Fuel_Surcharge),2),ROUND(((1-'F Intl Con Plus Base'!$D$117)*'F Intl Con Plus Base'!D75)*(1+International_Fuel_Surcharge),2)))*(1+FedEx_Markup),2)</f>
        <v>106.33</v>
      </c>
      <c r="E78" s="295">
        <f>ROUND((IF('F Intl Con Plus Base'!$E$120&gt;ROUND(((1-'F Intl Con Plus Base'!$E$117)*'F Intl Con Plus Base'!E75),2),ROUND('F Intl Con Plus Base'!$E$120*(1+International_Fuel_Surcharge),2),ROUND(((1-'F Intl Con Plus Base'!$E$117)*'F Intl Con Plus Base'!E75)*(1+International_Fuel_Surcharge),2)))*(1+FedEx_Markup),2)</f>
        <v>200.79</v>
      </c>
      <c r="F78" s="295">
        <f>ROUND((IF('F Intl Con Plus Base'!$F$120&gt;ROUND(((1-'F Intl Con Plus Base'!$F$117)*'F Intl Con Plus Base'!F75),2),ROUND('F Intl Con Plus Base'!$F$120*(1+International_Fuel_Surcharge),2),ROUND(((1-'F Intl Con Plus Base'!$F$117)*'F Intl Con Plus Base'!F75)*(1+International_Fuel_Surcharge),2)))*(1+FedEx_Markup),2)</f>
        <v>384.43</v>
      </c>
      <c r="G78" s="295">
        <f>ROUND((IF('F Intl Con Plus Base'!$G$120&gt;ROUND(((1-'F Intl Con Plus Base'!$G$117)*'F Intl Con Plus Base'!G75),2),ROUND('F Intl Con Plus Base'!$G$120*(1+International_Fuel_Surcharge),2),ROUND(((1-'F Intl Con Plus Base'!$G$117)*'F Intl Con Plus Base'!G75)*(1+International_Fuel_Surcharge),2)))*(1+FedEx_Markup),2)</f>
        <v>217.99</v>
      </c>
      <c r="H78" s="295">
        <f>ROUND((IF('F Intl Con Plus Base'!$H$120&gt;ROUND(((1-'F Intl Con Plus Base'!$H$117)*'F Intl Con Plus Base'!H75),2),ROUND('F Intl Con Plus Base'!$H$120*(1+International_Fuel_Surcharge),2),ROUND(((1-'F Intl Con Plus Base'!$H$117)*'F Intl Con Plus Base'!H75)*(1+International_Fuel_Surcharge),2)))*(1+FedEx_Markup),2)</f>
        <v>221.41</v>
      </c>
      <c r="I78" s="295">
        <f>ROUND((IF('F Intl Con Plus Base'!$I$120&gt;ROUND(((1-'F Intl Con Plus Base'!$I$117)*'F Intl Con Plus Base'!I75),2),ROUND('F Intl Con Plus Base'!$I$120*(1+International_Fuel_Surcharge),2),ROUND(((1-'F Intl Con Plus Base'!$I$117)*'F Intl Con Plus Base'!I75)*(1+International_Fuel_Surcharge),2)))*(1+FedEx_Markup),2)</f>
        <v>260.77</v>
      </c>
      <c r="J78" s="295">
        <f>ROUND((IF('F Intl Con Plus Base'!$J$120&gt;ROUND(((1-'F Intl Con Plus Base'!$J$117)*'F Intl Con Plus Base'!J75),2),ROUND('F Intl Con Plus Base'!$J$120*(1+International_Fuel_Surcharge),2),ROUND(((1-'F Intl Con Plus Base'!$J$117)*'F Intl Con Plus Base'!J75)*(1+International_Fuel_Surcharge),2)))*(1+FedEx_Markup),2)</f>
        <v>158.8</v>
      </c>
      <c r="K78" s="295">
        <f>ROUND((IF('F Intl Con Plus Base'!$K$120&gt;ROUND(((1-'F Intl Con Plus Base'!$K$117)*'F Intl Con Plus Base'!K75),2),ROUND('F Intl Con Plus Base'!$K$120*(1+International_Fuel_Surcharge),2),ROUND(((1-'F Intl Con Plus Base'!$K$117)*'F Intl Con Plus Base'!K75)*(1+International_Fuel_Surcharge),2)))*(1+FedEx_Markup),2)</f>
        <v>314.26</v>
      </c>
      <c r="L78" s="295">
        <f>ROUND((IF('F Intl Con Plus Base'!$L$120&gt;ROUND(((1-'F Intl Con Plus Base'!$L$117)*'F Intl Con Plus Base'!L75),2),ROUND('F Intl Con Plus Base'!$L$120*(1+International_Fuel_Surcharge),2),ROUND(((1-'F Intl Con Plus Base'!$L$117)*'F Intl Con Plus Base'!L75)*(1+International_Fuel_Surcharge),2)))*(1+FedEx_Markup),2)</f>
        <v>272.49</v>
      </c>
      <c r="M78" s="295">
        <f>ROUND((IF('F Intl Con Plus Base'!$M$120&gt;ROUND(((1-'F Intl Con Plus Base'!$M$117)*'F Intl Con Plus Base'!M75),2),ROUND('F Intl Con Plus Base'!$M$120*(1+International_Fuel_Surcharge),2),ROUND(((1-'F Intl Con Plus Base'!$M$117)*'F Intl Con Plus Base'!M75)*(1+International_Fuel_Surcharge),2)))*(1+FedEx_Markup),2)</f>
        <v>346.99</v>
      </c>
      <c r="N78" s="295">
        <f>ROUND((IF('F Intl Con Plus Base'!$N$120&gt;ROUND(((1-'F Intl Con Plus Base'!$N$117)*'F Intl Con Plus Base'!N75),2),ROUND('F Intl Con Plus Base'!$N$120*(1+International_Fuel_Surcharge),2),ROUND(((1-'F Intl Con Plus Base'!$N$117)*'F Intl Con Plus Base'!N75)*(1+International_Fuel_Surcharge),2)))*(1+FedEx_Markup),2)</f>
        <v>354.26</v>
      </c>
      <c r="O78" s="295">
        <f>ROUND((IF('F Intl Con Plus Base'!$O$120&gt;ROUND(((1-'F Intl Con Plus Base'!$O$117)*'F Intl Con Plus Base'!O75),2),ROUND('F Intl Con Plus Base'!$O$120*(1+International_Fuel_Surcharge),2),ROUND(((1-'F Intl Con Plus Base'!$O$117)*'F Intl Con Plus Base'!O75)*(1+International_Fuel_Surcharge),2)))*(1+FedEx_Markup),2)</f>
        <v>250.59</v>
      </c>
      <c r="P78" s="295">
        <f>ROUND((IF('F Intl Con Plus Base'!$P$120&gt;ROUND(((1-'F Intl Con Plus Base'!$P$117)*'F Intl Con Plus Base'!P75),2),ROUND('F Intl Con Plus Base'!$P$120*(1+International_Fuel_Surcharge),2),ROUND(((1-'F Intl Con Plus Base'!$P$117)*'F Intl Con Plus Base'!P75)*(1+International_Fuel_Surcharge),2)))*(1+FedEx_Markup),2)</f>
        <v>288.68</v>
      </c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ht="12.75" customHeight="1">
      <c r="A79" s="294">
        <v>74.0</v>
      </c>
      <c r="B79" s="295">
        <f>ROUND((IF('F Intl Con Plus Base'!$B$120&gt;ROUND(((1-'F Intl Con Plus Base'!$B$117)*'F Intl Con Plus Base'!B76),2),ROUND('F Intl Con Plus Base'!$B$120*(1+International_Fuel_Surcharge),2),ROUND(((1-'F Intl Con Plus Base'!$B$117)*'F Intl Con Plus Base'!B76)*(1+International_Fuel_Surcharge),2)))*(1+FedEx_Markup),2)</f>
        <v>149.8</v>
      </c>
      <c r="C79" s="295">
        <f>ROUND((IF('F Intl Con Plus Base'!$C$120&gt;ROUND(((1-'F Intl Con Plus Base'!$C$117)*'F Intl Con Plus Base'!C76),2),ROUND('F Intl Con Plus Base'!$C$120*(1+International_Fuel_Surcharge),2),ROUND(((1-'F Intl Con Plus Base'!$C$117)*'F Intl Con Plus Base'!C76)*(1+International_Fuel_Surcharge),2)))*(1+FedEx_Markup),2)</f>
        <v>161.39</v>
      </c>
      <c r="D79" s="295">
        <f>ROUND((IF('F Intl Con Plus Base'!$D$120&gt;ROUND(((1-'F Intl Con Plus Base'!$D$117)*'F Intl Con Plus Base'!D76),2),ROUND('F Intl Con Plus Base'!$D$120*(1+International_Fuel_Surcharge),2),ROUND(((1-'F Intl Con Plus Base'!$D$117)*'F Intl Con Plus Base'!D76)*(1+International_Fuel_Surcharge),2)))*(1+FedEx_Markup),2)</f>
        <v>106.44</v>
      </c>
      <c r="E79" s="295">
        <f>ROUND((IF('F Intl Con Plus Base'!$E$120&gt;ROUND(((1-'F Intl Con Plus Base'!$E$117)*'F Intl Con Plus Base'!E76),2),ROUND('F Intl Con Plus Base'!$E$120*(1+International_Fuel_Surcharge),2),ROUND(((1-'F Intl Con Plus Base'!$E$117)*'F Intl Con Plus Base'!E76)*(1+International_Fuel_Surcharge),2)))*(1+FedEx_Markup),2)</f>
        <v>201.71</v>
      </c>
      <c r="F79" s="295">
        <f>ROUND((IF('F Intl Con Plus Base'!$F$120&gt;ROUND(((1-'F Intl Con Plus Base'!$F$117)*'F Intl Con Plus Base'!F76),2),ROUND('F Intl Con Plus Base'!$F$120*(1+International_Fuel_Surcharge),2),ROUND(((1-'F Intl Con Plus Base'!$F$117)*'F Intl Con Plus Base'!F76)*(1+International_Fuel_Surcharge),2)))*(1+FedEx_Markup),2)</f>
        <v>384.51</v>
      </c>
      <c r="G79" s="295">
        <f>ROUND((IF('F Intl Con Plus Base'!$G$120&gt;ROUND(((1-'F Intl Con Plus Base'!$G$117)*'F Intl Con Plus Base'!G76),2),ROUND('F Intl Con Plus Base'!$G$120*(1+International_Fuel_Surcharge),2),ROUND(((1-'F Intl Con Plus Base'!$G$117)*'F Intl Con Plus Base'!G76)*(1+International_Fuel_Surcharge),2)))*(1+FedEx_Markup),2)</f>
        <v>231.25</v>
      </c>
      <c r="H79" s="295">
        <f>ROUND((IF('F Intl Con Plus Base'!$H$120&gt;ROUND(((1-'F Intl Con Plus Base'!$H$117)*'F Intl Con Plus Base'!H76),2),ROUND('F Intl Con Plus Base'!$H$120*(1+International_Fuel_Surcharge),2),ROUND(((1-'F Intl Con Plus Base'!$H$117)*'F Intl Con Plus Base'!H76)*(1+International_Fuel_Surcharge),2)))*(1+FedEx_Markup),2)</f>
        <v>222.94</v>
      </c>
      <c r="I79" s="295">
        <f>ROUND((IF('F Intl Con Plus Base'!$I$120&gt;ROUND(((1-'F Intl Con Plus Base'!$I$117)*'F Intl Con Plus Base'!I76),2),ROUND('F Intl Con Plus Base'!$I$120*(1+International_Fuel_Surcharge),2),ROUND(((1-'F Intl Con Plus Base'!$I$117)*'F Intl Con Plus Base'!I76)*(1+International_Fuel_Surcharge),2)))*(1+FedEx_Markup),2)</f>
        <v>261.51</v>
      </c>
      <c r="J79" s="295">
        <f>ROUND((IF('F Intl Con Plus Base'!$J$120&gt;ROUND(((1-'F Intl Con Plus Base'!$J$117)*'F Intl Con Plus Base'!J76),2),ROUND('F Intl Con Plus Base'!$J$120*(1+International_Fuel_Surcharge),2),ROUND(((1-'F Intl Con Plus Base'!$J$117)*'F Intl Con Plus Base'!J76)*(1+International_Fuel_Surcharge),2)))*(1+FedEx_Markup),2)</f>
        <v>158.87</v>
      </c>
      <c r="K79" s="295">
        <f>ROUND((IF('F Intl Con Plus Base'!$K$120&gt;ROUND(((1-'F Intl Con Plus Base'!$K$117)*'F Intl Con Plus Base'!K76),2),ROUND('F Intl Con Plus Base'!$K$120*(1+International_Fuel_Surcharge),2),ROUND(((1-'F Intl Con Plus Base'!$K$117)*'F Intl Con Plus Base'!K76)*(1+International_Fuel_Surcharge),2)))*(1+FedEx_Markup),2)</f>
        <v>315.32</v>
      </c>
      <c r="L79" s="295">
        <f>ROUND((IF('F Intl Con Plus Base'!$L$120&gt;ROUND(((1-'F Intl Con Plus Base'!$L$117)*'F Intl Con Plus Base'!L76),2),ROUND('F Intl Con Plus Base'!$L$120*(1+International_Fuel_Surcharge),2),ROUND(((1-'F Intl Con Plus Base'!$L$117)*'F Intl Con Plus Base'!L76)*(1+International_Fuel_Surcharge),2)))*(1+FedEx_Markup),2)</f>
        <v>272.55</v>
      </c>
      <c r="M79" s="295">
        <f>ROUND((IF('F Intl Con Plus Base'!$M$120&gt;ROUND(((1-'F Intl Con Plus Base'!$M$117)*'F Intl Con Plus Base'!M76),2),ROUND('F Intl Con Plus Base'!$M$120*(1+International_Fuel_Surcharge),2),ROUND(((1-'F Intl Con Plus Base'!$M$117)*'F Intl Con Plus Base'!M76)*(1+International_Fuel_Surcharge),2)))*(1+FedEx_Markup),2)</f>
        <v>347.06</v>
      </c>
      <c r="N79" s="295">
        <f>ROUND((IF('F Intl Con Plus Base'!$N$120&gt;ROUND(((1-'F Intl Con Plus Base'!$N$117)*'F Intl Con Plus Base'!N76),2),ROUND('F Intl Con Plus Base'!$N$120*(1+International_Fuel_Surcharge),2),ROUND(((1-'F Intl Con Plus Base'!$N$117)*'F Intl Con Plus Base'!N76)*(1+International_Fuel_Surcharge),2)))*(1+FedEx_Markup),2)</f>
        <v>354.33</v>
      </c>
      <c r="O79" s="295">
        <f>ROUND((IF('F Intl Con Plus Base'!$O$120&gt;ROUND(((1-'F Intl Con Plus Base'!$O$117)*'F Intl Con Plus Base'!O76),2),ROUND('F Intl Con Plus Base'!$O$120*(1+International_Fuel_Surcharge),2),ROUND(((1-'F Intl Con Plus Base'!$O$117)*'F Intl Con Plus Base'!O76)*(1+International_Fuel_Surcharge),2)))*(1+FedEx_Markup),2)</f>
        <v>250.65</v>
      </c>
      <c r="P79" s="295">
        <f>ROUND((IF('F Intl Con Plus Base'!$P$120&gt;ROUND(((1-'F Intl Con Plus Base'!$P$117)*'F Intl Con Plus Base'!P76),2),ROUND('F Intl Con Plus Base'!$P$120*(1+International_Fuel_Surcharge),2),ROUND(((1-'F Intl Con Plus Base'!$P$117)*'F Intl Con Plus Base'!P76)*(1+International_Fuel_Surcharge),2)))*(1+FedEx_Markup),2)</f>
        <v>289.87</v>
      </c>
      <c r="Q79" s="138"/>
      <c r="R79" s="138"/>
      <c r="S79" s="138"/>
      <c r="T79" s="138"/>
      <c r="U79" s="138"/>
      <c r="V79" s="138"/>
      <c r="W79" s="138"/>
      <c r="X79" s="138"/>
      <c r="Y79" s="138"/>
      <c r="Z79" s="138"/>
    </row>
    <row r="80" ht="12.75" customHeight="1">
      <c r="A80" s="294">
        <v>75.0</v>
      </c>
      <c r="B80" s="295">
        <f>ROUND((IF('F Intl Con Plus Base'!$B$120&gt;ROUND(((1-'F Intl Con Plus Base'!$B$117)*'F Intl Con Plus Base'!B77),2),ROUND('F Intl Con Plus Base'!$B$120*(1+International_Fuel_Surcharge),2),ROUND(((1-'F Intl Con Plus Base'!$B$117)*'F Intl Con Plus Base'!B77)*(1+International_Fuel_Surcharge),2)))*(1+FedEx_Markup),2)</f>
        <v>153.21</v>
      </c>
      <c r="C80" s="295">
        <f>ROUND((IF('F Intl Con Plus Base'!$C$120&gt;ROUND(((1-'F Intl Con Plus Base'!$C$117)*'F Intl Con Plus Base'!C77),2),ROUND('F Intl Con Plus Base'!$C$120*(1+International_Fuel_Surcharge),2),ROUND(((1-'F Intl Con Plus Base'!$C$117)*'F Intl Con Plus Base'!C77)*(1+International_Fuel_Surcharge),2)))*(1+FedEx_Markup),2)</f>
        <v>161.45</v>
      </c>
      <c r="D80" s="295">
        <f>ROUND((IF('F Intl Con Plus Base'!$D$120&gt;ROUND(((1-'F Intl Con Plus Base'!$D$117)*'F Intl Con Plus Base'!D77),2),ROUND('F Intl Con Plus Base'!$D$120*(1+International_Fuel_Surcharge),2),ROUND(((1-'F Intl Con Plus Base'!$D$117)*'F Intl Con Plus Base'!D77)*(1+International_Fuel_Surcharge),2)))*(1+FedEx_Markup),2)</f>
        <v>108.74</v>
      </c>
      <c r="E80" s="295">
        <f>ROUND((IF('F Intl Con Plus Base'!$E$120&gt;ROUND(((1-'F Intl Con Plus Base'!$E$117)*'F Intl Con Plus Base'!E77),2),ROUND('F Intl Con Plus Base'!$E$120*(1+International_Fuel_Surcharge),2),ROUND(((1-'F Intl Con Plus Base'!$E$117)*'F Intl Con Plus Base'!E77)*(1+International_Fuel_Surcharge),2)))*(1+FedEx_Markup),2)</f>
        <v>201.8</v>
      </c>
      <c r="F80" s="295">
        <f>ROUND((IF('F Intl Con Plus Base'!$F$120&gt;ROUND(((1-'F Intl Con Plus Base'!$F$117)*'F Intl Con Plus Base'!F77),2),ROUND('F Intl Con Plus Base'!$F$120*(1+International_Fuel_Surcharge),2),ROUND(((1-'F Intl Con Plus Base'!$F$117)*'F Intl Con Plus Base'!F77)*(1+International_Fuel_Surcharge),2)))*(1+FedEx_Markup),2)</f>
        <v>386.17</v>
      </c>
      <c r="G80" s="295">
        <f>ROUND((IF('F Intl Con Plus Base'!$G$120&gt;ROUND(((1-'F Intl Con Plus Base'!$G$117)*'F Intl Con Plus Base'!G77),2),ROUND('F Intl Con Plus Base'!$G$120*(1+International_Fuel_Surcharge),2),ROUND(((1-'F Intl Con Plus Base'!$G$117)*'F Intl Con Plus Base'!G77)*(1+International_Fuel_Surcharge),2)))*(1+FedEx_Markup),2)</f>
        <v>232.59</v>
      </c>
      <c r="H80" s="295">
        <f>ROUND((IF('F Intl Con Plus Base'!$H$120&gt;ROUND(((1-'F Intl Con Plus Base'!$H$117)*'F Intl Con Plus Base'!H77),2),ROUND('F Intl Con Plus Base'!$H$120*(1+International_Fuel_Surcharge),2),ROUND(((1-'F Intl Con Plus Base'!$H$117)*'F Intl Con Plus Base'!H77)*(1+International_Fuel_Surcharge),2)))*(1+FedEx_Markup),2)</f>
        <v>223.1</v>
      </c>
      <c r="I80" s="295">
        <f>ROUND((IF('F Intl Con Plus Base'!$I$120&gt;ROUND(((1-'F Intl Con Plus Base'!$I$117)*'F Intl Con Plus Base'!I77),2),ROUND('F Intl Con Plus Base'!$I$120*(1+International_Fuel_Surcharge),2),ROUND(((1-'F Intl Con Plus Base'!$I$117)*'F Intl Con Plus Base'!I77)*(1+International_Fuel_Surcharge),2)))*(1+FedEx_Markup),2)</f>
        <v>261.58</v>
      </c>
      <c r="J80" s="295">
        <f>ROUND((IF('F Intl Con Plus Base'!$J$120&gt;ROUND(((1-'F Intl Con Plus Base'!$J$117)*'F Intl Con Plus Base'!J77),2),ROUND('F Intl Con Plus Base'!$J$120*(1+International_Fuel_Surcharge),2),ROUND(((1-'F Intl Con Plus Base'!$J$117)*'F Intl Con Plus Base'!J77)*(1+International_Fuel_Surcharge),2)))*(1+FedEx_Markup),2)</f>
        <v>159.15</v>
      </c>
      <c r="K80" s="295">
        <f>ROUND((IF('F Intl Con Plus Base'!$K$120&gt;ROUND(((1-'F Intl Con Plus Base'!$K$117)*'F Intl Con Plus Base'!K77),2),ROUND('F Intl Con Plus Base'!$K$120*(1+International_Fuel_Surcharge),2),ROUND(((1-'F Intl Con Plus Base'!$K$117)*'F Intl Con Plus Base'!K77)*(1+International_Fuel_Surcharge),2)))*(1+FedEx_Markup),2)</f>
        <v>316.38</v>
      </c>
      <c r="L80" s="295">
        <f>ROUND((IF('F Intl Con Plus Base'!$L$120&gt;ROUND(((1-'F Intl Con Plus Base'!$L$117)*'F Intl Con Plus Base'!L77),2),ROUND('F Intl Con Plus Base'!$L$120*(1+International_Fuel_Surcharge),2),ROUND(((1-'F Intl Con Plus Base'!$L$117)*'F Intl Con Plus Base'!L77)*(1+International_Fuel_Surcharge),2)))*(1+FedEx_Markup),2)</f>
        <v>273.01</v>
      </c>
      <c r="M80" s="295">
        <f>ROUND((IF('F Intl Con Plus Base'!$M$120&gt;ROUND(((1-'F Intl Con Plus Base'!$M$117)*'F Intl Con Plus Base'!M77),2),ROUND('F Intl Con Plus Base'!$M$120*(1+International_Fuel_Surcharge),2),ROUND(((1-'F Intl Con Plus Base'!$M$117)*'F Intl Con Plus Base'!M77)*(1+International_Fuel_Surcharge),2)))*(1+FedEx_Markup),2)</f>
        <v>347.13</v>
      </c>
      <c r="N80" s="295">
        <f>ROUND((IF('F Intl Con Plus Base'!$N$120&gt;ROUND(((1-'F Intl Con Plus Base'!$N$117)*'F Intl Con Plus Base'!N77),2),ROUND('F Intl Con Plus Base'!$N$120*(1+International_Fuel_Surcharge),2),ROUND(((1-'F Intl Con Plus Base'!$N$117)*'F Intl Con Plus Base'!N77)*(1+International_Fuel_Surcharge),2)))*(1+FedEx_Markup),2)</f>
        <v>354.37</v>
      </c>
      <c r="O80" s="295">
        <f>ROUND((IF('F Intl Con Plus Base'!$O$120&gt;ROUND(((1-'F Intl Con Plus Base'!$O$117)*'F Intl Con Plus Base'!O77),2),ROUND('F Intl Con Plus Base'!$O$120*(1+International_Fuel_Surcharge),2),ROUND(((1-'F Intl Con Plus Base'!$O$117)*'F Intl Con Plus Base'!O77)*(1+International_Fuel_Surcharge),2)))*(1+FedEx_Markup),2)</f>
        <v>250.71</v>
      </c>
      <c r="P80" s="295">
        <f>ROUND((IF('F Intl Con Plus Base'!$P$120&gt;ROUND(((1-'F Intl Con Plus Base'!$P$117)*'F Intl Con Plus Base'!P77),2),ROUND('F Intl Con Plus Base'!$P$120*(1+International_Fuel_Surcharge),2),ROUND(((1-'F Intl Con Plus Base'!$P$117)*'F Intl Con Plus Base'!P77)*(1+International_Fuel_Surcharge),2)))*(1+FedEx_Markup),2)</f>
        <v>304.09</v>
      </c>
      <c r="Q80" s="138"/>
      <c r="R80" s="138"/>
      <c r="S80" s="138"/>
      <c r="T80" s="138"/>
      <c r="U80" s="138"/>
      <c r="V80" s="138"/>
      <c r="W80" s="138"/>
      <c r="X80" s="138"/>
      <c r="Y80" s="138"/>
      <c r="Z80" s="138"/>
    </row>
    <row r="81" ht="12.75" customHeight="1">
      <c r="A81" s="294">
        <v>76.0</v>
      </c>
      <c r="B81" s="295">
        <f>ROUND((IF('F Intl Con Plus Base'!$B$120&gt;ROUND(((1-'F Intl Con Plus Base'!$B$117)*'F Intl Con Plus Base'!B78),2),ROUND('F Intl Con Plus Base'!$B$120*(1+International_Fuel_Surcharge),2),ROUND(((1-'F Intl Con Plus Base'!$B$117)*'F Intl Con Plus Base'!B78)*(1+International_Fuel_Surcharge),2)))*(1+FedEx_Markup),2)</f>
        <v>154.63</v>
      </c>
      <c r="C81" s="295">
        <f>ROUND((IF('F Intl Con Plus Base'!$C$120&gt;ROUND(((1-'F Intl Con Plus Base'!$C$117)*'F Intl Con Plus Base'!C78),2),ROUND('F Intl Con Plus Base'!$C$120*(1+International_Fuel_Surcharge),2),ROUND(((1-'F Intl Con Plus Base'!$C$117)*'F Intl Con Plus Base'!C78)*(1+International_Fuel_Surcharge),2)))*(1+FedEx_Markup),2)</f>
        <v>161.49</v>
      </c>
      <c r="D81" s="295">
        <f>ROUND((IF('F Intl Con Plus Base'!$D$120&gt;ROUND(((1-'F Intl Con Plus Base'!$D$117)*'F Intl Con Plus Base'!D78),2),ROUND('F Intl Con Plus Base'!$D$120*(1+International_Fuel_Surcharge),2),ROUND(((1-'F Intl Con Plus Base'!$D$117)*'F Intl Con Plus Base'!D78)*(1+International_Fuel_Surcharge),2)))*(1+FedEx_Markup),2)</f>
        <v>111.41</v>
      </c>
      <c r="E81" s="295">
        <f>ROUND((IF('F Intl Con Plus Base'!$E$120&gt;ROUND(((1-'F Intl Con Plus Base'!$E$117)*'F Intl Con Plus Base'!E78),2),ROUND('F Intl Con Plus Base'!$E$120*(1+International_Fuel_Surcharge),2),ROUND(((1-'F Intl Con Plus Base'!$E$117)*'F Intl Con Plus Base'!E78)*(1+International_Fuel_Surcharge),2)))*(1+FedEx_Markup),2)</f>
        <v>201.87</v>
      </c>
      <c r="F81" s="295">
        <f>ROUND((IF('F Intl Con Plus Base'!$F$120&gt;ROUND(((1-'F Intl Con Plus Base'!$F$117)*'F Intl Con Plus Base'!F78),2),ROUND('F Intl Con Plus Base'!$F$120*(1+International_Fuel_Surcharge),2),ROUND(((1-'F Intl Con Plus Base'!$F$117)*'F Intl Con Plus Base'!F78)*(1+International_Fuel_Surcharge),2)))*(1+FedEx_Markup),2)</f>
        <v>386.34</v>
      </c>
      <c r="G81" s="295">
        <f>ROUND((IF('F Intl Con Plus Base'!$G$120&gt;ROUND(((1-'F Intl Con Plus Base'!$G$117)*'F Intl Con Plus Base'!G78),2),ROUND('F Intl Con Plus Base'!$G$120*(1+International_Fuel_Surcharge),2),ROUND(((1-'F Intl Con Plus Base'!$G$117)*'F Intl Con Plus Base'!G78)*(1+International_Fuel_Surcharge),2)))*(1+FedEx_Markup),2)</f>
        <v>235</v>
      </c>
      <c r="H81" s="295">
        <f>ROUND((IF('F Intl Con Plus Base'!$H$120&gt;ROUND(((1-'F Intl Con Plus Base'!$H$117)*'F Intl Con Plus Base'!H78),2),ROUND('F Intl Con Plus Base'!$H$120*(1+International_Fuel_Surcharge),2),ROUND(((1-'F Intl Con Plus Base'!$H$117)*'F Intl Con Plus Base'!H78)*(1+International_Fuel_Surcharge),2)))*(1+FedEx_Markup),2)</f>
        <v>226.03</v>
      </c>
      <c r="I81" s="295">
        <f>ROUND((IF('F Intl Con Plus Base'!$I$120&gt;ROUND(((1-'F Intl Con Plus Base'!$I$117)*'F Intl Con Plus Base'!I78),2),ROUND('F Intl Con Plus Base'!$I$120*(1+International_Fuel_Surcharge),2),ROUND(((1-'F Intl Con Plus Base'!$I$117)*'F Intl Con Plus Base'!I78)*(1+International_Fuel_Surcharge),2)))*(1+FedEx_Markup),2)</f>
        <v>261.65</v>
      </c>
      <c r="J81" s="295">
        <f>ROUND((IF('F Intl Con Plus Base'!$J$120&gt;ROUND(((1-'F Intl Con Plus Base'!$J$117)*'F Intl Con Plus Base'!J78),2),ROUND('F Intl Con Plus Base'!$J$120*(1+International_Fuel_Surcharge),2),ROUND(((1-'F Intl Con Plus Base'!$J$117)*'F Intl Con Plus Base'!J78)*(1+International_Fuel_Surcharge),2)))*(1+FedEx_Markup),2)</f>
        <v>164.46</v>
      </c>
      <c r="K81" s="295">
        <f>ROUND((IF('F Intl Con Plus Base'!$K$120&gt;ROUND(((1-'F Intl Con Plus Base'!$K$117)*'F Intl Con Plus Base'!K78),2),ROUND('F Intl Con Plus Base'!$K$120*(1+International_Fuel_Surcharge),2),ROUND(((1-'F Intl Con Plus Base'!$K$117)*'F Intl Con Plus Base'!K78)*(1+International_Fuel_Surcharge),2)))*(1+FedEx_Markup),2)</f>
        <v>317.43</v>
      </c>
      <c r="L81" s="295">
        <f>ROUND((IF('F Intl Con Plus Base'!$L$120&gt;ROUND(((1-'F Intl Con Plus Base'!$L$117)*'F Intl Con Plus Base'!L78),2),ROUND('F Intl Con Plus Base'!$L$120*(1+International_Fuel_Surcharge),2),ROUND(((1-'F Intl Con Plus Base'!$L$117)*'F Intl Con Plus Base'!L78)*(1+International_Fuel_Surcharge),2)))*(1+FedEx_Markup),2)</f>
        <v>282.01</v>
      </c>
      <c r="M81" s="295">
        <f>ROUND((IF('F Intl Con Plus Base'!$M$120&gt;ROUND(((1-'F Intl Con Plus Base'!$M$117)*'F Intl Con Plus Base'!M78),2),ROUND('F Intl Con Plus Base'!$M$120*(1+International_Fuel_Surcharge),2),ROUND(((1-'F Intl Con Plus Base'!$M$117)*'F Intl Con Plus Base'!M78)*(1+International_Fuel_Surcharge),2)))*(1+FedEx_Markup),2)</f>
        <v>347.2</v>
      </c>
      <c r="N81" s="295">
        <f>ROUND((IF('F Intl Con Plus Base'!$N$120&gt;ROUND(((1-'F Intl Con Plus Base'!$N$117)*'F Intl Con Plus Base'!N78),2),ROUND('F Intl Con Plus Base'!$N$120*(1+International_Fuel_Surcharge),2),ROUND(((1-'F Intl Con Plus Base'!$N$117)*'F Intl Con Plus Base'!N78)*(1+International_Fuel_Surcharge),2)))*(1+FedEx_Markup),2)</f>
        <v>354.43</v>
      </c>
      <c r="O81" s="295">
        <f>ROUND((IF('F Intl Con Plus Base'!$O$120&gt;ROUND(((1-'F Intl Con Plus Base'!$O$117)*'F Intl Con Plus Base'!O78),2),ROUND('F Intl Con Plus Base'!$O$120*(1+International_Fuel_Surcharge),2),ROUND(((1-'F Intl Con Plus Base'!$O$117)*'F Intl Con Plus Base'!O78)*(1+International_Fuel_Surcharge),2)))*(1+FedEx_Markup),2)</f>
        <v>250.78</v>
      </c>
      <c r="P81" s="295">
        <f>ROUND((IF('F Intl Con Plus Base'!$P$120&gt;ROUND(((1-'F Intl Con Plus Base'!$P$117)*'F Intl Con Plus Base'!P78),2),ROUND('F Intl Con Plus Base'!$P$120*(1+International_Fuel_Surcharge),2),ROUND(((1-'F Intl Con Plus Base'!$P$117)*'F Intl Con Plus Base'!P78)*(1+International_Fuel_Surcharge),2)))*(1+FedEx_Markup),2)</f>
        <v>305.51</v>
      </c>
      <c r="Q81" s="138"/>
      <c r="R81" s="138"/>
      <c r="S81" s="138"/>
      <c r="T81" s="138"/>
      <c r="U81" s="138"/>
      <c r="V81" s="138"/>
      <c r="W81" s="138"/>
      <c r="X81" s="138"/>
      <c r="Y81" s="138"/>
      <c r="Z81" s="138"/>
    </row>
    <row r="82" ht="12.75" customHeight="1">
      <c r="A82" s="294">
        <v>77.0</v>
      </c>
      <c r="B82" s="295">
        <f>ROUND((IF('F Intl Con Plus Base'!$B$120&gt;ROUND(((1-'F Intl Con Plus Base'!$B$117)*'F Intl Con Plus Base'!B79),2),ROUND('F Intl Con Plus Base'!$B$120*(1+International_Fuel_Surcharge),2),ROUND(((1-'F Intl Con Plus Base'!$B$117)*'F Intl Con Plus Base'!B79)*(1+International_Fuel_Surcharge),2)))*(1+FedEx_Markup),2)</f>
        <v>154.77</v>
      </c>
      <c r="C82" s="295">
        <f>ROUND((IF('F Intl Con Plus Base'!$C$120&gt;ROUND(((1-'F Intl Con Plus Base'!$C$117)*'F Intl Con Plus Base'!C79),2),ROUND('F Intl Con Plus Base'!$C$120*(1+International_Fuel_Surcharge),2),ROUND(((1-'F Intl Con Plus Base'!$C$117)*'F Intl Con Plus Base'!C79)*(1+International_Fuel_Surcharge),2)))*(1+FedEx_Markup),2)</f>
        <v>161.55</v>
      </c>
      <c r="D82" s="295">
        <f>ROUND((IF('F Intl Con Plus Base'!$D$120&gt;ROUND(((1-'F Intl Con Plus Base'!$D$117)*'F Intl Con Plus Base'!D79),2),ROUND('F Intl Con Plus Base'!$D$120*(1+International_Fuel_Surcharge),2),ROUND(((1-'F Intl Con Plus Base'!$D$117)*'F Intl Con Plus Base'!D79)*(1+International_Fuel_Surcharge),2)))*(1+FedEx_Markup),2)</f>
        <v>111.69</v>
      </c>
      <c r="E82" s="295">
        <f>ROUND((IF('F Intl Con Plus Base'!$E$120&gt;ROUND(((1-'F Intl Con Plus Base'!$E$117)*'F Intl Con Plus Base'!E79),2),ROUND('F Intl Con Plus Base'!$E$120*(1+International_Fuel_Surcharge),2),ROUND(((1-'F Intl Con Plus Base'!$E$117)*'F Intl Con Plus Base'!E79)*(1+International_Fuel_Surcharge),2)))*(1+FedEx_Markup),2)</f>
        <v>202.02</v>
      </c>
      <c r="F82" s="295">
        <f>ROUND((IF('F Intl Con Plus Base'!$F$120&gt;ROUND(((1-'F Intl Con Plus Base'!$F$117)*'F Intl Con Plus Base'!F79),2),ROUND('F Intl Con Plus Base'!$F$120*(1+International_Fuel_Surcharge),2),ROUND(((1-'F Intl Con Plus Base'!$F$117)*'F Intl Con Plus Base'!F79)*(1+International_Fuel_Surcharge),2)))*(1+FedEx_Markup),2)</f>
        <v>386.4</v>
      </c>
      <c r="G82" s="295">
        <f>ROUND((IF('F Intl Con Plus Base'!$G$120&gt;ROUND(((1-'F Intl Con Plus Base'!$G$117)*'F Intl Con Plus Base'!G79),2),ROUND('F Intl Con Plus Base'!$G$120*(1+International_Fuel_Surcharge),2),ROUND(((1-'F Intl Con Plus Base'!$G$117)*'F Intl Con Plus Base'!G79)*(1+International_Fuel_Surcharge),2)))*(1+FedEx_Markup),2)</f>
        <v>236.88</v>
      </c>
      <c r="H82" s="295">
        <f>ROUND((IF('F Intl Con Plus Base'!$H$120&gt;ROUND(((1-'F Intl Con Plus Base'!$H$117)*'F Intl Con Plus Base'!H79),2),ROUND('F Intl Con Plus Base'!$H$120*(1+International_Fuel_Surcharge),2),ROUND(((1-'F Intl Con Plus Base'!$H$117)*'F Intl Con Plus Base'!H79)*(1+International_Fuel_Surcharge),2)))*(1+FedEx_Markup),2)</f>
        <v>227.57</v>
      </c>
      <c r="I82" s="295">
        <f>ROUND((IF('F Intl Con Plus Base'!$I$120&gt;ROUND(((1-'F Intl Con Plus Base'!$I$117)*'F Intl Con Plus Base'!I79),2),ROUND('F Intl Con Plus Base'!$I$120*(1+International_Fuel_Surcharge),2),ROUND(((1-'F Intl Con Plus Base'!$I$117)*'F Intl Con Plus Base'!I79)*(1+International_Fuel_Surcharge),2)))*(1+FedEx_Markup),2)</f>
        <v>261.71</v>
      </c>
      <c r="J82" s="295">
        <f>ROUND((IF('F Intl Con Plus Base'!$J$120&gt;ROUND(((1-'F Intl Con Plus Base'!$J$117)*'F Intl Con Plus Base'!J79),2),ROUND('F Intl Con Plus Base'!$J$120*(1+International_Fuel_Surcharge),2),ROUND(((1-'F Intl Con Plus Base'!$J$117)*'F Intl Con Plus Base'!J79)*(1+International_Fuel_Surcharge),2)))*(1+FedEx_Markup),2)</f>
        <v>165</v>
      </c>
      <c r="K82" s="295">
        <f>ROUND((IF('F Intl Con Plus Base'!$K$120&gt;ROUND(((1-'F Intl Con Plus Base'!$K$117)*'F Intl Con Plus Base'!K79),2),ROUND('F Intl Con Plus Base'!$K$120*(1+International_Fuel_Surcharge),2),ROUND(((1-'F Intl Con Plus Base'!$K$117)*'F Intl Con Plus Base'!K79)*(1+International_Fuel_Surcharge),2)))*(1+FedEx_Markup),2)</f>
        <v>318.49</v>
      </c>
      <c r="L82" s="295">
        <f>ROUND((IF('F Intl Con Plus Base'!$L$120&gt;ROUND(((1-'F Intl Con Plus Base'!$L$117)*'F Intl Con Plus Base'!L79),2),ROUND('F Intl Con Plus Base'!$L$120*(1+International_Fuel_Surcharge),2),ROUND(((1-'F Intl Con Plus Base'!$L$117)*'F Intl Con Plus Base'!L79)*(1+International_Fuel_Surcharge),2)))*(1+FedEx_Markup),2)</f>
        <v>282.91</v>
      </c>
      <c r="M82" s="295">
        <f>ROUND((IF('F Intl Con Plus Base'!$M$120&gt;ROUND(((1-'F Intl Con Plus Base'!$M$117)*'F Intl Con Plus Base'!M79),2),ROUND('F Intl Con Plus Base'!$M$120*(1+International_Fuel_Surcharge),2),ROUND(((1-'F Intl Con Plus Base'!$M$117)*'F Intl Con Plus Base'!M79)*(1+International_Fuel_Surcharge),2)))*(1+FedEx_Markup),2)</f>
        <v>347.27</v>
      </c>
      <c r="N82" s="295">
        <f>ROUND((IF('F Intl Con Plus Base'!$N$120&gt;ROUND(((1-'F Intl Con Plus Base'!$N$117)*'F Intl Con Plus Base'!N79),2),ROUND('F Intl Con Plus Base'!$N$120*(1+International_Fuel_Surcharge),2),ROUND(((1-'F Intl Con Plus Base'!$N$117)*'F Intl Con Plus Base'!N79)*(1+International_Fuel_Surcharge),2)))*(1+FedEx_Markup),2)</f>
        <v>354.49</v>
      </c>
      <c r="O82" s="295">
        <f>ROUND((IF('F Intl Con Plus Base'!$O$120&gt;ROUND(((1-'F Intl Con Plus Base'!$O$117)*'F Intl Con Plus Base'!O79),2),ROUND('F Intl Con Plus Base'!$O$120*(1+International_Fuel_Surcharge),2),ROUND(((1-'F Intl Con Plus Base'!$O$117)*'F Intl Con Plus Base'!O79)*(1+International_Fuel_Surcharge),2)))*(1+FedEx_Markup),2)</f>
        <v>250.84</v>
      </c>
      <c r="P82" s="295">
        <f>ROUND((IF('F Intl Con Plus Base'!$P$120&gt;ROUND(((1-'F Intl Con Plus Base'!$P$117)*'F Intl Con Plus Base'!P79),2),ROUND('F Intl Con Plus Base'!$P$120*(1+International_Fuel_Surcharge),2),ROUND(((1-'F Intl Con Plus Base'!$P$117)*'F Intl Con Plus Base'!P79)*(1+International_Fuel_Surcharge),2)))*(1+FedEx_Markup),2)</f>
        <v>305.66</v>
      </c>
      <c r="Q82" s="138"/>
      <c r="R82" s="138"/>
      <c r="S82" s="138"/>
      <c r="T82" s="138"/>
      <c r="U82" s="138"/>
      <c r="V82" s="138"/>
      <c r="W82" s="138"/>
      <c r="X82" s="138"/>
      <c r="Y82" s="138"/>
      <c r="Z82" s="138"/>
    </row>
    <row r="83" ht="12.75" customHeight="1">
      <c r="A83" s="294">
        <v>78.0</v>
      </c>
      <c r="B83" s="295">
        <f>ROUND((IF('F Intl Con Plus Base'!$B$120&gt;ROUND(((1-'F Intl Con Plus Base'!$B$117)*'F Intl Con Plus Base'!B80),2),ROUND('F Intl Con Plus Base'!$B$120*(1+International_Fuel_Surcharge),2),ROUND(((1-'F Intl Con Plus Base'!$B$117)*'F Intl Con Plus Base'!B80)*(1+International_Fuel_Surcharge),2)))*(1+FedEx_Markup),2)</f>
        <v>154.82</v>
      </c>
      <c r="C83" s="295">
        <f>ROUND((IF('F Intl Con Plus Base'!$C$120&gt;ROUND(((1-'F Intl Con Plus Base'!$C$117)*'F Intl Con Plus Base'!C80),2),ROUND('F Intl Con Plus Base'!$C$120*(1+International_Fuel_Surcharge),2),ROUND(((1-'F Intl Con Plus Base'!$C$117)*'F Intl Con Plus Base'!C80)*(1+International_Fuel_Surcharge),2)))*(1+FedEx_Markup),2)</f>
        <v>161.61</v>
      </c>
      <c r="D83" s="295">
        <f>ROUND((IF('F Intl Con Plus Base'!$D$120&gt;ROUND(((1-'F Intl Con Plus Base'!$D$117)*'F Intl Con Plus Base'!D80),2),ROUND('F Intl Con Plus Base'!$D$120*(1+International_Fuel_Surcharge),2),ROUND(((1-'F Intl Con Plus Base'!$D$117)*'F Intl Con Plus Base'!D80)*(1+International_Fuel_Surcharge),2)))*(1+FedEx_Markup),2)</f>
        <v>112.7</v>
      </c>
      <c r="E83" s="295">
        <f>ROUND((IF('F Intl Con Plus Base'!$E$120&gt;ROUND(((1-'F Intl Con Plus Base'!$E$117)*'F Intl Con Plus Base'!E80),2),ROUND('F Intl Con Plus Base'!$E$120*(1+International_Fuel_Surcharge),2),ROUND(((1-'F Intl Con Plus Base'!$E$117)*'F Intl Con Plus Base'!E80)*(1+International_Fuel_Surcharge),2)))*(1+FedEx_Markup),2)</f>
        <v>202.08</v>
      </c>
      <c r="F83" s="295">
        <f>ROUND((IF('F Intl Con Plus Base'!$F$120&gt;ROUND(((1-'F Intl Con Plus Base'!$F$117)*'F Intl Con Plus Base'!F80),2),ROUND('F Intl Con Plus Base'!$F$120*(1+International_Fuel_Surcharge),2),ROUND(((1-'F Intl Con Plus Base'!$F$117)*'F Intl Con Plus Base'!F80)*(1+International_Fuel_Surcharge),2)))*(1+FedEx_Markup),2)</f>
        <v>386.46</v>
      </c>
      <c r="G83" s="295">
        <f>ROUND((IF('F Intl Con Plus Base'!$G$120&gt;ROUND(((1-'F Intl Con Plus Base'!$G$117)*'F Intl Con Plus Base'!G80),2),ROUND('F Intl Con Plus Base'!$G$120*(1+International_Fuel_Surcharge),2),ROUND(((1-'F Intl Con Plus Base'!$G$117)*'F Intl Con Plus Base'!G80)*(1+International_Fuel_Surcharge),2)))*(1+FedEx_Markup),2)</f>
        <v>238.75</v>
      </c>
      <c r="H83" s="295">
        <f>ROUND((IF('F Intl Con Plus Base'!$H$120&gt;ROUND(((1-'F Intl Con Plus Base'!$H$117)*'F Intl Con Plus Base'!H80),2),ROUND('F Intl Con Plus Base'!$H$120*(1+International_Fuel_Surcharge),2),ROUND(((1-'F Intl Con Plus Base'!$H$117)*'F Intl Con Plus Base'!H80)*(1+International_Fuel_Surcharge),2)))*(1+FedEx_Markup),2)</f>
        <v>229.11</v>
      </c>
      <c r="I83" s="295">
        <f>ROUND((IF('F Intl Con Plus Base'!$I$120&gt;ROUND(((1-'F Intl Con Plus Base'!$I$117)*'F Intl Con Plus Base'!I80),2),ROUND('F Intl Con Plus Base'!$I$120*(1+International_Fuel_Surcharge),2),ROUND(((1-'F Intl Con Plus Base'!$I$117)*'F Intl Con Plus Base'!I80)*(1+International_Fuel_Surcharge),2)))*(1+FedEx_Markup),2)</f>
        <v>261.76</v>
      </c>
      <c r="J83" s="295">
        <f>ROUND((IF('F Intl Con Plus Base'!$J$120&gt;ROUND(((1-'F Intl Con Plus Base'!$J$117)*'F Intl Con Plus Base'!J80),2),ROUND('F Intl Con Plus Base'!$J$120*(1+International_Fuel_Surcharge),2),ROUND(((1-'F Intl Con Plus Base'!$J$117)*'F Intl Con Plus Base'!J80)*(1+International_Fuel_Surcharge),2)))*(1+FedEx_Markup),2)</f>
        <v>165.63</v>
      </c>
      <c r="K83" s="295">
        <f>ROUND((IF('F Intl Con Plus Base'!$K$120&gt;ROUND(((1-'F Intl Con Plus Base'!$K$117)*'F Intl Con Plus Base'!K80),2),ROUND('F Intl Con Plus Base'!$K$120*(1+International_Fuel_Surcharge),2),ROUND(((1-'F Intl Con Plus Base'!$K$117)*'F Intl Con Plus Base'!K80)*(1+International_Fuel_Surcharge),2)))*(1+FedEx_Markup),2)</f>
        <v>319.34</v>
      </c>
      <c r="L83" s="295">
        <f>ROUND((IF('F Intl Con Plus Base'!$L$120&gt;ROUND(((1-'F Intl Con Plus Base'!$L$117)*'F Intl Con Plus Base'!L80),2),ROUND('F Intl Con Plus Base'!$L$120*(1+International_Fuel_Surcharge),2),ROUND(((1-'F Intl Con Plus Base'!$L$117)*'F Intl Con Plus Base'!L80)*(1+International_Fuel_Surcharge),2)))*(1+FedEx_Markup),2)</f>
        <v>283</v>
      </c>
      <c r="M83" s="295">
        <f>ROUND((IF('F Intl Con Plus Base'!$M$120&gt;ROUND(((1-'F Intl Con Plus Base'!$M$117)*'F Intl Con Plus Base'!M80),2),ROUND('F Intl Con Plus Base'!$M$120*(1+International_Fuel_Surcharge),2),ROUND(((1-'F Intl Con Plus Base'!$M$117)*'F Intl Con Plus Base'!M80)*(1+International_Fuel_Surcharge),2)))*(1+FedEx_Markup),2)</f>
        <v>348.17</v>
      </c>
      <c r="N83" s="295">
        <f>ROUND((IF('F Intl Con Plus Base'!$N$120&gt;ROUND(((1-'F Intl Con Plus Base'!$N$117)*'F Intl Con Plus Base'!N80),2),ROUND('F Intl Con Plus Base'!$N$120*(1+International_Fuel_Surcharge),2),ROUND(((1-'F Intl Con Plus Base'!$N$117)*'F Intl Con Plus Base'!N80)*(1+International_Fuel_Surcharge),2)))*(1+FedEx_Markup),2)</f>
        <v>354.56</v>
      </c>
      <c r="O83" s="295">
        <f>ROUND((IF('F Intl Con Plus Base'!$O$120&gt;ROUND(((1-'F Intl Con Plus Base'!$O$117)*'F Intl Con Plus Base'!O80),2),ROUND('F Intl Con Plus Base'!$O$120*(1+International_Fuel_Surcharge),2),ROUND(((1-'F Intl Con Plus Base'!$O$117)*'F Intl Con Plus Base'!O80)*(1+International_Fuel_Surcharge),2)))*(1+FedEx_Markup),2)</f>
        <v>250.9</v>
      </c>
      <c r="P83" s="295">
        <f>ROUND((IF('F Intl Con Plus Base'!$P$120&gt;ROUND(((1-'F Intl Con Plus Base'!$P$117)*'F Intl Con Plus Base'!P80),2),ROUND('F Intl Con Plus Base'!$P$120*(1+International_Fuel_Surcharge),2),ROUND(((1-'F Intl Con Plus Base'!$P$117)*'F Intl Con Plus Base'!P80)*(1+International_Fuel_Surcharge),2)))*(1+FedEx_Markup),2)</f>
        <v>305.72</v>
      </c>
      <c r="Q83" s="138"/>
      <c r="R83" s="138"/>
      <c r="S83" s="138"/>
      <c r="T83" s="138"/>
      <c r="U83" s="138"/>
      <c r="V83" s="138"/>
      <c r="W83" s="138"/>
      <c r="X83" s="138"/>
      <c r="Y83" s="138"/>
      <c r="Z83" s="138"/>
    </row>
    <row r="84" ht="12.75" customHeight="1">
      <c r="A84" s="294">
        <v>79.0</v>
      </c>
      <c r="B84" s="295">
        <f>ROUND((IF('F Intl Con Plus Base'!$B$120&gt;ROUND(((1-'F Intl Con Plus Base'!$B$117)*'F Intl Con Plus Base'!B81),2),ROUND('F Intl Con Plus Base'!$B$120*(1+International_Fuel_Surcharge),2),ROUND(((1-'F Intl Con Plus Base'!$B$117)*'F Intl Con Plus Base'!B81)*(1+International_Fuel_Surcharge),2)))*(1+FedEx_Markup),2)</f>
        <v>154.88</v>
      </c>
      <c r="C84" s="295">
        <f>ROUND((IF('F Intl Con Plus Base'!$C$120&gt;ROUND(((1-'F Intl Con Plus Base'!$C$117)*'F Intl Con Plus Base'!C81),2),ROUND('F Intl Con Plus Base'!$C$120*(1+International_Fuel_Surcharge),2),ROUND(((1-'F Intl Con Plus Base'!$C$117)*'F Intl Con Plus Base'!C81)*(1+International_Fuel_Surcharge),2)))*(1+FedEx_Markup),2)</f>
        <v>161.66</v>
      </c>
      <c r="D84" s="295">
        <f>ROUND((IF('F Intl Con Plus Base'!$D$120&gt;ROUND(((1-'F Intl Con Plus Base'!$D$117)*'F Intl Con Plus Base'!D81),2),ROUND('F Intl Con Plus Base'!$D$120*(1+International_Fuel_Surcharge),2),ROUND(((1-'F Intl Con Plus Base'!$D$117)*'F Intl Con Plus Base'!D81)*(1+International_Fuel_Surcharge),2)))*(1+FedEx_Markup),2)</f>
        <v>114.36</v>
      </c>
      <c r="E84" s="295">
        <f>ROUND((IF('F Intl Con Plus Base'!$E$120&gt;ROUND(((1-'F Intl Con Plus Base'!$E$117)*'F Intl Con Plus Base'!E81),2),ROUND('F Intl Con Plus Base'!$E$120*(1+International_Fuel_Surcharge),2),ROUND(((1-'F Intl Con Plus Base'!$E$117)*'F Intl Con Plus Base'!E81)*(1+International_Fuel_Surcharge),2)))*(1+FedEx_Markup),2)</f>
        <v>202.15</v>
      </c>
      <c r="F84" s="295">
        <f>ROUND((IF('F Intl Con Plus Base'!$F$120&gt;ROUND(((1-'F Intl Con Plus Base'!$F$117)*'F Intl Con Plus Base'!F81),2),ROUND('F Intl Con Plus Base'!$F$120*(1+International_Fuel_Surcharge),2),ROUND(((1-'F Intl Con Plus Base'!$F$117)*'F Intl Con Plus Base'!F81)*(1+International_Fuel_Surcharge),2)))*(1+FedEx_Markup),2)</f>
        <v>386.52</v>
      </c>
      <c r="G84" s="295">
        <f>ROUND((IF('F Intl Con Plus Base'!$G$120&gt;ROUND(((1-'F Intl Con Plus Base'!$G$117)*'F Intl Con Plus Base'!G81),2),ROUND('F Intl Con Plus Base'!$G$120*(1+International_Fuel_Surcharge),2),ROUND(((1-'F Intl Con Plus Base'!$G$117)*'F Intl Con Plus Base'!G81)*(1+International_Fuel_Surcharge),2)))*(1+FedEx_Markup),2)</f>
        <v>239.41</v>
      </c>
      <c r="H84" s="295">
        <f>ROUND((IF('F Intl Con Plus Base'!$H$120&gt;ROUND(((1-'F Intl Con Plus Base'!$H$117)*'F Intl Con Plus Base'!H81),2),ROUND('F Intl Con Plus Base'!$H$120*(1+International_Fuel_Surcharge),2),ROUND(((1-'F Intl Con Plus Base'!$H$117)*'F Intl Con Plus Base'!H81)*(1+International_Fuel_Surcharge),2)))*(1+FedEx_Markup),2)</f>
        <v>230.66</v>
      </c>
      <c r="I84" s="295">
        <f>ROUND((IF('F Intl Con Plus Base'!$I$120&gt;ROUND(((1-'F Intl Con Plus Base'!$I$117)*'F Intl Con Plus Base'!I81),2),ROUND('F Intl Con Plus Base'!$I$120*(1+International_Fuel_Surcharge),2),ROUND(((1-'F Intl Con Plus Base'!$I$117)*'F Intl Con Plus Base'!I81)*(1+International_Fuel_Surcharge),2)))*(1+FedEx_Markup),2)</f>
        <v>261.82</v>
      </c>
      <c r="J84" s="295">
        <f>ROUND((IF('F Intl Con Plus Base'!$J$120&gt;ROUND(((1-'F Intl Con Plus Base'!$J$117)*'F Intl Con Plus Base'!J81),2),ROUND('F Intl Con Plus Base'!$J$120*(1+International_Fuel_Surcharge),2),ROUND(((1-'F Intl Con Plus Base'!$J$117)*'F Intl Con Plus Base'!J81)*(1+International_Fuel_Surcharge),2)))*(1+FedEx_Markup),2)</f>
        <v>165.7</v>
      </c>
      <c r="K84" s="295">
        <f>ROUND((IF('F Intl Con Plus Base'!$K$120&gt;ROUND(((1-'F Intl Con Plus Base'!$K$117)*'F Intl Con Plus Base'!K81),2),ROUND('F Intl Con Plus Base'!$K$120*(1+International_Fuel_Surcharge),2),ROUND(((1-'F Intl Con Plus Base'!$K$117)*'F Intl Con Plus Base'!K81)*(1+International_Fuel_Surcharge),2)))*(1+FedEx_Markup),2)</f>
        <v>319.42</v>
      </c>
      <c r="L84" s="295">
        <f>ROUND((IF('F Intl Con Plus Base'!$L$120&gt;ROUND(((1-'F Intl Con Plus Base'!$L$117)*'F Intl Con Plus Base'!L81),2),ROUND('F Intl Con Plus Base'!$L$120*(1+International_Fuel_Surcharge),2),ROUND(((1-'F Intl Con Plus Base'!$L$117)*'F Intl Con Plus Base'!L81)*(1+International_Fuel_Surcharge),2)))*(1+FedEx_Markup),2)</f>
        <v>283.07</v>
      </c>
      <c r="M84" s="295">
        <f>ROUND((IF('F Intl Con Plus Base'!$M$120&gt;ROUND(((1-'F Intl Con Plus Base'!$M$117)*'F Intl Con Plus Base'!M81),2),ROUND('F Intl Con Plus Base'!$M$120*(1+International_Fuel_Surcharge),2),ROUND(((1-'F Intl Con Plus Base'!$M$117)*'F Intl Con Plus Base'!M81)*(1+International_Fuel_Surcharge),2)))*(1+FedEx_Markup),2)</f>
        <v>366.47</v>
      </c>
      <c r="N84" s="295">
        <f>ROUND((IF('F Intl Con Plus Base'!$N$120&gt;ROUND(((1-'F Intl Con Plus Base'!$N$117)*'F Intl Con Plus Base'!N81),2),ROUND('F Intl Con Plus Base'!$N$120*(1+International_Fuel_Surcharge),2),ROUND(((1-'F Intl Con Plus Base'!$N$117)*'F Intl Con Plus Base'!N81)*(1+International_Fuel_Surcharge),2)))*(1+FedEx_Markup),2)</f>
        <v>355.95</v>
      </c>
      <c r="O84" s="295">
        <f>ROUND((IF('F Intl Con Plus Base'!$O$120&gt;ROUND(((1-'F Intl Con Plus Base'!$O$117)*'F Intl Con Plus Base'!O81),2),ROUND('F Intl Con Plus Base'!$O$120*(1+International_Fuel_Surcharge),2),ROUND(((1-'F Intl Con Plus Base'!$O$117)*'F Intl Con Plus Base'!O81)*(1+International_Fuel_Surcharge),2)))*(1+FedEx_Markup),2)</f>
        <v>250.96</v>
      </c>
      <c r="P84" s="295">
        <f>ROUND((IF('F Intl Con Plus Base'!$P$120&gt;ROUND(((1-'F Intl Con Plus Base'!$P$117)*'F Intl Con Plus Base'!P81),2),ROUND('F Intl Con Plus Base'!$P$120*(1+International_Fuel_Surcharge),2),ROUND(((1-'F Intl Con Plus Base'!$P$117)*'F Intl Con Plus Base'!P81)*(1+International_Fuel_Surcharge),2)))*(1+FedEx_Markup),2)</f>
        <v>305.76</v>
      </c>
      <c r="Q84" s="138"/>
      <c r="R84" s="138"/>
      <c r="S84" s="138"/>
      <c r="T84" s="138"/>
      <c r="U84" s="138"/>
      <c r="V84" s="138"/>
      <c r="W84" s="138"/>
      <c r="X84" s="138"/>
      <c r="Y84" s="138"/>
      <c r="Z84" s="138"/>
    </row>
    <row r="85" ht="12.75" customHeight="1">
      <c r="A85" s="294">
        <v>80.0</v>
      </c>
      <c r="B85" s="295">
        <f>ROUND((IF('F Intl Con Plus Base'!$B$120&gt;ROUND(((1-'F Intl Con Plus Base'!$B$117)*'F Intl Con Plus Base'!B82),2),ROUND('F Intl Con Plus Base'!$B$120*(1+International_Fuel_Surcharge),2),ROUND(((1-'F Intl Con Plus Base'!$B$117)*'F Intl Con Plus Base'!B82)*(1+International_Fuel_Surcharge),2)))*(1+FedEx_Markup),2)</f>
        <v>154.94</v>
      </c>
      <c r="C85" s="295">
        <f>ROUND((IF('F Intl Con Plus Base'!$C$120&gt;ROUND(((1-'F Intl Con Plus Base'!$C$117)*'F Intl Con Plus Base'!C82),2),ROUND('F Intl Con Plus Base'!$C$120*(1+International_Fuel_Surcharge),2),ROUND(((1-'F Intl Con Plus Base'!$C$117)*'F Intl Con Plus Base'!C82)*(1+International_Fuel_Surcharge),2)))*(1+FedEx_Markup),2)</f>
        <v>161.71</v>
      </c>
      <c r="D85" s="295">
        <f>ROUND((IF('F Intl Con Plus Base'!$D$120&gt;ROUND(((1-'F Intl Con Plus Base'!$D$117)*'F Intl Con Plus Base'!D82),2),ROUND('F Intl Con Plus Base'!$D$120*(1+International_Fuel_Surcharge),2),ROUND(((1-'F Intl Con Plus Base'!$D$117)*'F Intl Con Plus Base'!D82)*(1+International_Fuel_Surcharge),2)))*(1+FedEx_Markup),2)</f>
        <v>114.52</v>
      </c>
      <c r="E85" s="295">
        <f>ROUND((IF('F Intl Con Plus Base'!$E$120&gt;ROUND(((1-'F Intl Con Plus Base'!$E$117)*'F Intl Con Plus Base'!E82),2),ROUND('F Intl Con Plus Base'!$E$120*(1+International_Fuel_Surcharge),2),ROUND(((1-'F Intl Con Plus Base'!$E$117)*'F Intl Con Plus Base'!E82)*(1+International_Fuel_Surcharge),2)))*(1+FedEx_Markup),2)</f>
        <v>202.22</v>
      </c>
      <c r="F85" s="295">
        <f>ROUND((IF('F Intl Con Plus Base'!$F$120&gt;ROUND(((1-'F Intl Con Plus Base'!$F$117)*'F Intl Con Plus Base'!F82),2),ROUND('F Intl Con Plus Base'!$F$120*(1+International_Fuel_Surcharge),2),ROUND(((1-'F Intl Con Plus Base'!$F$117)*'F Intl Con Plus Base'!F82)*(1+International_Fuel_Surcharge),2)))*(1+FedEx_Markup),2)</f>
        <v>386.56</v>
      </c>
      <c r="G85" s="295">
        <f>ROUND((IF('F Intl Con Plus Base'!$G$120&gt;ROUND(((1-'F Intl Con Plus Base'!$G$117)*'F Intl Con Plus Base'!G82),2),ROUND('F Intl Con Plus Base'!$G$120*(1+International_Fuel_Surcharge),2),ROUND(((1-'F Intl Con Plus Base'!$G$117)*'F Intl Con Plus Base'!G82)*(1+International_Fuel_Surcharge),2)))*(1+FedEx_Markup),2)</f>
        <v>239.48</v>
      </c>
      <c r="H85" s="295">
        <f>ROUND((IF('F Intl Con Plus Base'!$H$120&gt;ROUND(((1-'F Intl Con Plus Base'!$H$117)*'F Intl Con Plus Base'!H82),2),ROUND('F Intl Con Plus Base'!$H$120*(1+International_Fuel_Surcharge),2),ROUND(((1-'F Intl Con Plus Base'!$H$117)*'F Intl Con Plus Base'!H82)*(1+International_Fuel_Surcharge),2)))*(1+FedEx_Markup),2)</f>
        <v>230.82</v>
      </c>
      <c r="I85" s="295">
        <f>ROUND((IF('F Intl Con Plus Base'!$I$120&gt;ROUND(((1-'F Intl Con Plus Base'!$I$117)*'F Intl Con Plus Base'!I82),2),ROUND('F Intl Con Plus Base'!$I$120*(1+International_Fuel_Surcharge),2),ROUND(((1-'F Intl Con Plus Base'!$I$117)*'F Intl Con Plus Base'!I82)*(1+International_Fuel_Surcharge),2)))*(1+FedEx_Markup),2)</f>
        <v>261.88</v>
      </c>
      <c r="J85" s="295">
        <f>ROUND((IF('F Intl Con Plus Base'!$J$120&gt;ROUND(((1-'F Intl Con Plus Base'!$J$117)*'F Intl Con Plus Base'!J82),2),ROUND('F Intl Con Plus Base'!$J$120*(1+International_Fuel_Surcharge),2),ROUND(((1-'F Intl Con Plus Base'!$J$117)*'F Intl Con Plus Base'!J82)*(1+International_Fuel_Surcharge),2)))*(1+FedEx_Markup),2)</f>
        <v>165.77</v>
      </c>
      <c r="K85" s="295">
        <f>ROUND((IF('F Intl Con Plus Base'!$K$120&gt;ROUND(((1-'F Intl Con Plus Base'!$K$117)*'F Intl Con Plus Base'!K82),2),ROUND('F Intl Con Plus Base'!$K$120*(1+International_Fuel_Surcharge),2),ROUND(((1-'F Intl Con Plus Base'!$K$117)*'F Intl Con Plus Base'!K82)*(1+International_Fuel_Surcharge),2)))*(1+FedEx_Markup),2)</f>
        <v>319.48</v>
      </c>
      <c r="L85" s="295">
        <f>ROUND((IF('F Intl Con Plus Base'!$L$120&gt;ROUND(((1-'F Intl Con Plus Base'!$L$117)*'F Intl Con Plus Base'!L82),2),ROUND('F Intl Con Plus Base'!$L$120*(1+International_Fuel_Surcharge),2),ROUND(((1-'F Intl Con Plus Base'!$L$117)*'F Intl Con Plus Base'!L82)*(1+International_Fuel_Surcharge),2)))*(1+FedEx_Markup),2)</f>
        <v>283.14</v>
      </c>
      <c r="M85" s="295">
        <f>ROUND((IF('F Intl Con Plus Base'!$M$120&gt;ROUND(((1-'F Intl Con Plus Base'!$M$117)*'F Intl Con Plus Base'!M82),2),ROUND('F Intl Con Plus Base'!$M$120*(1+International_Fuel_Surcharge),2),ROUND(((1-'F Intl Con Plus Base'!$M$117)*'F Intl Con Plus Base'!M82)*(1+International_Fuel_Surcharge),2)))*(1+FedEx_Markup),2)</f>
        <v>368.3</v>
      </c>
      <c r="N85" s="295">
        <f>ROUND((IF('F Intl Con Plus Base'!$N$120&gt;ROUND(((1-'F Intl Con Plus Base'!$N$117)*'F Intl Con Plus Base'!N82),2),ROUND('F Intl Con Plus Base'!$N$120*(1+International_Fuel_Surcharge),2),ROUND(((1-'F Intl Con Plus Base'!$N$117)*'F Intl Con Plus Base'!N82)*(1+International_Fuel_Surcharge),2)))*(1+FedEx_Markup),2)</f>
        <v>383.78</v>
      </c>
      <c r="O85" s="295">
        <f>ROUND((IF('F Intl Con Plus Base'!$O$120&gt;ROUND(((1-'F Intl Con Plus Base'!$O$117)*'F Intl Con Plus Base'!O82),2),ROUND('F Intl Con Plus Base'!$O$120*(1+International_Fuel_Surcharge),2),ROUND(((1-'F Intl Con Plus Base'!$O$117)*'F Intl Con Plus Base'!O82)*(1+International_Fuel_Surcharge),2)))*(1+FedEx_Markup),2)</f>
        <v>251.02</v>
      </c>
      <c r="P85" s="295">
        <f>ROUND((IF('F Intl Con Plus Base'!$P$120&gt;ROUND(((1-'F Intl Con Plus Base'!$P$117)*'F Intl Con Plus Base'!P82),2),ROUND('F Intl Con Plus Base'!$P$120*(1+International_Fuel_Surcharge),2),ROUND(((1-'F Intl Con Plus Base'!$P$117)*'F Intl Con Plus Base'!P82)*(1+International_Fuel_Surcharge),2)))*(1+FedEx_Markup),2)</f>
        <v>305.82</v>
      </c>
      <c r="Q85" s="138"/>
      <c r="R85" s="138"/>
      <c r="S85" s="138"/>
      <c r="T85" s="138"/>
      <c r="U85" s="138"/>
      <c r="V85" s="138"/>
      <c r="W85" s="138"/>
      <c r="X85" s="138"/>
      <c r="Y85" s="138"/>
      <c r="Z85" s="138"/>
    </row>
    <row r="86" ht="12.75" customHeight="1">
      <c r="A86" s="294">
        <v>81.0</v>
      </c>
      <c r="B86" s="295">
        <f>ROUND((IF('F Intl Con Plus Base'!$B$120&gt;ROUND(((1-'F Intl Con Plus Base'!$B$117)*'F Intl Con Plus Base'!B83),2),ROUND('F Intl Con Plus Base'!$B$120*(1+International_Fuel_Surcharge),2),ROUND(((1-'F Intl Con Plus Base'!$B$117)*'F Intl Con Plus Base'!B83)*(1+International_Fuel_Surcharge),2)))*(1+FedEx_Markup),2)</f>
        <v>155</v>
      </c>
      <c r="C86" s="295">
        <f>ROUND((IF('F Intl Con Plus Base'!$C$120&gt;ROUND(((1-'F Intl Con Plus Base'!$C$117)*'F Intl Con Plus Base'!C83),2),ROUND('F Intl Con Plus Base'!$C$120*(1+International_Fuel_Surcharge),2),ROUND(((1-'F Intl Con Plus Base'!$C$117)*'F Intl Con Plus Base'!C83)*(1+International_Fuel_Surcharge),2)))*(1+FedEx_Markup),2)</f>
        <v>161.76</v>
      </c>
      <c r="D86" s="295">
        <f>ROUND((IF('F Intl Con Plus Base'!$D$120&gt;ROUND(((1-'F Intl Con Plus Base'!$D$117)*'F Intl Con Plus Base'!D83),2),ROUND('F Intl Con Plus Base'!$D$120*(1+International_Fuel_Surcharge),2),ROUND(((1-'F Intl Con Plus Base'!$D$117)*'F Intl Con Plus Base'!D83)*(1+International_Fuel_Surcharge),2)))*(1+FedEx_Markup),2)</f>
        <v>114.57</v>
      </c>
      <c r="E86" s="295">
        <f>ROUND((IF('F Intl Con Plus Base'!$E$120&gt;ROUND(((1-'F Intl Con Plus Base'!$E$117)*'F Intl Con Plus Base'!E83),2),ROUND('F Intl Con Plus Base'!$E$120*(1+International_Fuel_Surcharge),2),ROUND(((1-'F Intl Con Plus Base'!$E$117)*'F Intl Con Plus Base'!E83)*(1+International_Fuel_Surcharge),2)))*(1+FedEx_Markup),2)</f>
        <v>202.35</v>
      </c>
      <c r="F86" s="295">
        <f>ROUND((IF('F Intl Con Plus Base'!$F$120&gt;ROUND(((1-'F Intl Con Plus Base'!$F$117)*'F Intl Con Plus Base'!F83),2),ROUND('F Intl Con Plus Base'!$F$120*(1+International_Fuel_Surcharge),2),ROUND(((1-'F Intl Con Plus Base'!$F$117)*'F Intl Con Plus Base'!F83)*(1+International_Fuel_Surcharge),2)))*(1+FedEx_Markup),2)</f>
        <v>386.62</v>
      </c>
      <c r="G86" s="295">
        <f>ROUND((IF('F Intl Con Plus Base'!$G$120&gt;ROUND(((1-'F Intl Con Plus Base'!$G$117)*'F Intl Con Plus Base'!G83),2),ROUND('F Intl Con Plus Base'!$G$120*(1+International_Fuel_Surcharge),2),ROUND(((1-'F Intl Con Plus Base'!$G$117)*'F Intl Con Plus Base'!G83)*(1+International_Fuel_Surcharge),2)))*(1+FedEx_Markup),2)</f>
        <v>239.53</v>
      </c>
      <c r="H86" s="295">
        <f>ROUND((IF('F Intl Con Plus Base'!$H$120&gt;ROUND(((1-'F Intl Con Plus Base'!$H$117)*'F Intl Con Plus Base'!H83),2),ROUND('F Intl Con Plus Base'!$H$120*(1+International_Fuel_Surcharge),2),ROUND(((1-'F Intl Con Plus Base'!$H$117)*'F Intl Con Plus Base'!H83)*(1+International_Fuel_Surcharge),2)))*(1+FedEx_Markup),2)</f>
        <v>232.28</v>
      </c>
      <c r="I86" s="295">
        <f>ROUND((IF('F Intl Con Plus Base'!$I$120&gt;ROUND(((1-'F Intl Con Plus Base'!$I$117)*'F Intl Con Plus Base'!I83),2),ROUND('F Intl Con Plus Base'!$I$120*(1+International_Fuel_Surcharge),2),ROUND(((1-'F Intl Con Plus Base'!$I$117)*'F Intl Con Plus Base'!I83)*(1+International_Fuel_Surcharge),2)))*(1+FedEx_Markup),2)</f>
        <v>261.94</v>
      </c>
      <c r="J86" s="295">
        <f>ROUND((IF('F Intl Con Plus Base'!$J$120&gt;ROUND(((1-'F Intl Con Plus Base'!$J$117)*'F Intl Con Plus Base'!J83),2),ROUND('F Intl Con Plus Base'!$J$120*(1+International_Fuel_Surcharge),2),ROUND(((1-'F Intl Con Plus Base'!$J$117)*'F Intl Con Plus Base'!J83)*(1+International_Fuel_Surcharge),2)))*(1+FedEx_Markup),2)</f>
        <v>166.98</v>
      </c>
      <c r="K86" s="295">
        <f>ROUND((IF('F Intl Con Plus Base'!$K$120&gt;ROUND(((1-'F Intl Con Plus Base'!$K$117)*'F Intl Con Plus Base'!K83),2),ROUND('F Intl Con Plus Base'!$K$120*(1+International_Fuel_Surcharge),2),ROUND(((1-'F Intl Con Plus Base'!$K$117)*'F Intl Con Plus Base'!K83)*(1+International_Fuel_Surcharge),2)))*(1+FedEx_Markup),2)</f>
        <v>319.54</v>
      </c>
      <c r="L86" s="295">
        <f>ROUND((IF('F Intl Con Plus Base'!$L$120&gt;ROUND(((1-'F Intl Con Plus Base'!$L$117)*'F Intl Con Plus Base'!L83),2),ROUND('F Intl Con Plus Base'!$L$120*(1+International_Fuel_Surcharge),2),ROUND(((1-'F Intl Con Plus Base'!$L$117)*'F Intl Con Plus Base'!L83)*(1+International_Fuel_Surcharge),2)))*(1+FedEx_Markup),2)</f>
        <v>283.21</v>
      </c>
      <c r="M86" s="295">
        <f>ROUND((IF('F Intl Con Plus Base'!$M$120&gt;ROUND(((1-'F Intl Con Plus Base'!$M$117)*'F Intl Con Plus Base'!M83),2),ROUND('F Intl Con Plus Base'!$M$120*(1+International_Fuel_Surcharge),2),ROUND(((1-'F Intl Con Plus Base'!$M$117)*'F Intl Con Plus Base'!M83)*(1+International_Fuel_Surcharge),2)))*(1+FedEx_Markup),2)</f>
        <v>368.48</v>
      </c>
      <c r="N86" s="295">
        <f>ROUND((IF('F Intl Con Plus Base'!$N$120&gt;ROUND(((1-'F Intl Con Plus Base'!$N$117)*'F Intl Con Plus Base'!N83),2),ROUND('F Intl Con Plus Base'!$N$120*(1+International_Fuel_Surcharge),2),ROUND(((1-'F Intl Con Plus Base'!$N$117)*'F Intl Con Plus Base'!N83)*(1+International_Fuel_Surcharge),2)))*(1+FedEx_Markup),2)</f>
        <v>386.69</v>
      </c>
      <c r="O86" s="295">
        <f>ROUND((IF('F Intl Con Plus Base'!$O$120&gt;ROUND(((1-'F Intl Con Plus Base'!$O$117)*'F Intl Con Plus Base'!O83),2),ROUND('F Intl Con Plus Base'!$O$120*(1+International_Fuel_Surcharge),2),ROUND(((1-'F Intl Con Plus Base'!$O$117)*'F Intl Con Plus Base'!O83)*(1+International_Fuel_Surcharge),2)))*(1+FedEx_Markup),2)</f>
        <v>251.09</v>
      </c>
      <c r="P86" s="295">
        <f>ROUND((IF('F Intl Con Plus Base'!$P$120&gt;ROUND(((1-'F Intl Con Plus Base'!$P$117)*'F Intl Con Plus Base'!P83),2),ROUND('F Intl Con Plus Base'!$P$120*(1+International_Fuel_Surcharge),2),ROUND(((1-'F Intl Con Plus Base'!$P$117)*'F Intl Con Plus Base'!P83)*(1+International_Fuel_Surcharge),2)))*(1+FedEx_Markup),2)</f>
        <v>305.88</v>
      </c>
      <c r="Q86" s="138"/>
      <c r="R86" s="138"/>
      <c r="S86" s="138"/>
      <c r="T86" s="138"/>
      <c r="U86" s="138"/>
      <c r="V86" s="138"/>
      <c r="W86" s="138"/>
      <c r="X86" s="138"/>
      <c r="Y86" s="138"/>
      <c r="Z86" s="138"/>
    </row>
    <row r="87" ht="12.75" customHeight="1">
      <c r="A87" s="294">
        <v>82.0</v>
      </c>
      <c r="B87" s="295">
        <f>ROUND((IF('F Intl Con Plus Base'!$B$120&gt;ROUND(((1-'F Intl Con Plus Base'!$B$117)*'F Intl Con Plus Base'!B84),2),ROUND('F Intl Con Plus Base'!$B$120*(1+International_Fuel_Surcharge),2),ROUND(((1-'F Intl Con Plus Base'!$B$117)*'F Intl Con Plus Base'!B84)*(1+International_Fuel_Surcharge),2)))*(1+FedEx_Markup),2)</f>
        <v>155.05</v>
      </c>
      <c r="C87" s="295">
        <f>ROUND((IF('F Intl Con Plus Base'!$C$120&gt;ROUND(((1-'F Intl Con Plus Base'!$C$117)*'F Intl Con Plus Base'!C84),2),ROUND('F Intl Con Plus Base'!$C$120*(1+International_Fuel_Surcharge),2),ROUND(((1-'F Intl Con Plus Base'!$C$117)*'F Intl Con Plus Base'!C84)*(1+International_Fuel_Surcharge),2)))*(1+FedEx_Markup),2)</f>
        <v>161.82</v>
      </c>
      <c r="D87" s="295">
        <f>ROUND((IF('F Intl Con Plus Base'!$D$120&gt;ROUND(((1-'F Intl Con Plus Base'!$D$117)*'F Intl Con Plus Base'!D84),2),ROUND('F Intl Con Plus Base'!$D$120*(1+International_Fuel_Surcharge),2),ROUND(((1-'F Intl Con Plus Base'!$D$117)*'F Intl Con Plus Base'!D84)*(1+International_Fuel_Surcharge),2)))*(1+FedEx_Markup),2)</f>
        <v>114.67</v>
      </c>
      <c r="E87" s="295">
        <f>ROUND((IF('F Intl Con Plus Base'!$E$120&gt;ROUND(((1-'F Intl Con Plus Base'!$E$117)*'F Intl Con Plus Base'!E84),2),ROUND('F Intl Con Plus Base'!$E$120*(1+International_Fuel_Surcharge),2),ROUND(((1-'F Intl Con Plus Base'!$E$117)*'F Intl Con Plus Base'!E84)*(1+International_Fuel_Surcharge),2)))*(1+FedEx_Markup),2)</f>
        <v>205.3</v>
      </c>
      <c r="F87" s="295">
        <f>ROUND((IF('F Intl Con Plus Base'!$F$120&gt;ROUND(((1-'F Intl Con Plus Base'!$F$117)*'F Intl Con Plus Base'!F84),2),ROUND('F Intl Con Plus Base'!$F$120*(1+International_Fuel_Surcharge),2),ROUND(((1-'F Intl Con Plus Base'!$F$117)*'F Intl Con Plus Base'!F84)*(1+International_Fuel_Surcharge),2)))*(1+FedEx_Markup),2)</f>
        <v>386.68</v>
      </c>
      <c r="G87" s="295">
        <f>ROUND((IF('F Intl Con Plus Base'!$G$120&gt;ROUND(((1-'F Intl Con Plus Base'!$G$117)*'F Intl Con Plus Base'!G84),2),ROUND('F Intl Con Plus Base'!$G$120*(1+International_Fuel_Surcharge),2),ROUND(((1-'F Intl Con Plus Base'!$G$117)*'F Intl Con Plus Base'!G84)*(1+International_Fuel_Surcharge),2)))*(1+FedEx_Markup),2)</f>
        <v>239.59</v>
      </c>
      <c r="H87" s="295">
        <f>ROUND((IF('F Intl Con Plus Base'!$H$120&gt;ROUND(((1-'F Intl Con Plus Base'!$H$117)*'F Intl Con Plus Base'!H84),2),ROUND('F Intl Con Plus Base'!$H$120*(1+International_Fuel_Surcharge),2),ROUND(((1-'F Intl Con Plus Base'!$H$117)*'F Intl Con Plus Base'!H84)*(1+International_Fuel_Surcharge),2)))*(1+FedEx_Markup),2)</f>
        <v>232.43</v>
      </c>
      <c r="I87" s="295">
        <f>ROUND((IF('F Intl Con Plus Base'!$I$120&gt;ROUND(((1-'F Intl Con Plus Base'!$I$117)*'F Intl Con Plus Base'!I84),2),ROUND('F Intl Con Plus Base'!$I$120*(1+International_Fuel_Surcharge),2),ROUND(((1-'F Intl Con Plus Base'!$I$117)*'F Intl Con Plus Base'!I84)*(1+International_Fuel_Surcharge),2)))*(1+FedEx_Markup),2)</f>
        <v>261.99</v>
      </c>
      <c r="J87" s="295">
        <f>ROUND((IF('F Intl Con Plus Base'!$J$120&gt;ROUND(((1-'F Intl Con Plus Base'!$J$117)*'F Intl Con Plus Base'!J84),2),ROUND('F Intl Con Plus Base'!$J$120*(1+International_Fuel_Surcharge),2),ROUND(((1-'F Intl Con Plus Base'!$J$117)*'F Intl Con Plus Base'!J84)*(1+International_Fuel_Surcharge),2)))*(1+FedEx_Markup),2)</f>
        <v>170.15</v>
      </c>
      <c r="K87" s="295">
        <f>ROUND((IF('F Intl Con Plus Base'!$K$120&gt;ROUND(((1-'F Intl Con Plus Base'!$K$117)*'F Intl Con Plus Base'!K84),2),ROUND('F Intl Con Plus Base'!$K$120*(1+International_Fuel_Surcharge),2),ROUND(((1-'F Intl Con Plus Base'!$K$117)*'F Intl Con Plus Base'!K84)*(1+International_Fuel_Surcharge),2)))*(1+FedEx_Markup),2)</f>
        <v>319.6</v>
      </c>
      <c r="L87" s="295">
        <f>ROUND((IF('F Intl Con Plus Base'!$L$120&gt;ROUND(((1-'F Intl Con Plus Base'!$L$117)*'F Intl Con Plus Base'!L84),2),ROUND('F Intl Con Plus Base'!$L$120*(1+International_Fuel_Surcharge),2),ROUND(((1-'F Intl Con Plus Base'!$L$117)*'F Intl Con Plus Base'!L84)*(1+International_Fuel_Surcharge),2)))*(1+FedEx_Markup),2)</f>
        <v>283.27</v>
      </c>
      <c r="M87" s="295">
        <f>ROUND((IF('F Intl Con Plus Base'!$M$120&gt;ROUND(((1-'F Intl Con Plus Base'!$M$117)*'F Intl Con Plus Base'!M84),2),ROUND('F Intl Con Plus Base'!$M$120*(1+International_Fuel_Surcharge),2),ROUND(((1-'F Intl Con Plus Base'!$M$117)*'F Intl Con Plus Base'!M84)*(1+International_Fuel_Surcharge),2)))*(1+FedEx_Markup),2)</f>
        <v>368.6</v>
      </c>
      <c r="N87" s="295">
        <f>ROUND((IF('F Intl Con Plus Base'!$N$120&gt;ROUND(((1-'F Intl Con Plus Base'!$N$117)*'F Intl Con Plus Base'!N84),2),ROUND('F Intl Con Plus Base'!$N$120*(1+International_Fuel_Surcharge),2),ROUND(((1-'F Intl Con Plus Base'!$N$117)*'F Intl Con Plus Base'!N84)*(1+International_Fuel_Surcharge),2)))*(1+FedEx_Markup),2)</f>
        <v>386.99</v>
      </c>
      <c r="O87" s="295">
        <f>ROUND((IF('F Intl Con Plus Base'!$O$120&gt;ROUND(((1-'F Intl Con Plus Base'!$O$117)*'F Intl Con Plus Base'!O84),2),ROUND('F Intl Con Plus Base'!$O$120*(1+International_Fuel_Surcharge),2),ROUND(((1-'F Intl Con Plus Base'!$O$117)*'F Intl Con Plus Base'!O84)*(1+International_Fuel_Surcharge),2)))*(1+FedEx_Markup),2)</f>
        <v>251.15</v>
      </c>
      <c r="P87" s="295">
        <f>ROUND((IF('F Intl Con Plus Base'!$P$120&gt;ROUND(((1-'F Intl Con Plus Base'!$P$117)*'F Intl Con Plus Base'!P84),2),ROUND('F Intl Con Plus Base'!$P$120*(1+International_Fuel_Surcharge),2),ROUND(((1-'F Intl Con Plus Base'!$P$117)*'F Intl Con Plus Base'!P84)*(1+International_Fuel_Surcharge),2)))*(1+FedEx_Markup),2)</f>
        <v>305.93</v>
      </c>
      <c r="Q87" s="138"/>
      <c r="R87" s="138"/>
      <c r="S87" s="138"/>
      <c r="T87" s="138"/>
      <c r="U87" s="138"/>
      <c r="V87" s="138"/>
      <c r="W87" s="138"/>
      <c r="X87" s="138"/>
      <c r="Y87" s="138"/>
      <c r="Z87" s="138"/>
    </row>
    <row r="88" ht="12.75" customHeight="1">
      <c r="A88" s="294">
        <v>83.0</v>
      </c>
      <c r="B88" s="295">
        <f>ROUND((IF('F Intl Con Plus Base'!$B$120&gt;ROUND(((1-'F Intl Con Plus Base'!$B$117)*'F Intl Con Plus Base'!B85),2),ROUND('F Intl Con Plus Base'!$B$120*(1+International_Fuel_Surcharge),2),ROUND(((1-'F Intl Con Plus Base'!$B$117)*'F Intl Con Plus Base'!B85)*(1+International_Fuel_Surcharge),2)))*(1+FedEx_Markup),2)</f>
        <v>155.1</v>
      </c>
      <c r="C88" s="295">
        <f>ROUND((IF('F Intl Con Plus Base'!$C$120&gt;ROUND(((1-'F Intl Con Plus Base'!$C$117)*'F Intl Con Plus Base'!C85),2),ROUND('F Intl Con Plus Base'!$C$120*(1+International_Fuel_Surcharge),2),ROUND(((1-'F Intl Con Plus Base'!$C$117)*'F Intl Con Plus Base'!C85)*(1+International_Fuel_Surcharge),2)))*(1+FedEx_Markup),2)</f>
        <v>161.86</v>
      </c>
      <c r="D88" s="295">
        <f>ROUND((IF('F Intl Con Plus Base'!$D$120&gt;ROUND(((1-'F Intl Con Plus Base'!$D$117)*'F Intl Con Plus Base'!D85),2),ROUND('F Intl Con Plus Base'!$D$120*(1+International_Fuel_Surcharge),2),ROUND(((1-'F Intl Con Plus Base'!$D$117)*'F Intl Con Plus Base'!D85)*(1+International_Fuel_Surcharge),2)))*(1+FedEx_Markup),2)</f>
        <v>116.63</v>
      </c>
      <c r="E88" s="295">
        <f>ROUND((IF('F Intl Con Plus Base'!$E$120&gt;ROUND(((1-'F Intl Con Plus Base'!$E$117)*'F Intl Con Plus Base'!E85),2),ROUND('F Intl Con Plus Base'!$E$120*(1+International_Fuel_Surcharge),2),ROUND(((1-'F Intl Con Plus Base'!$E$117)*'F Intl Con Plus Base'!E85)*(1+International_Fuel_Surcharge),2)))*(1+FedEx_Markup),2)</f>
        <v>205.6</v>
      </c>
      <c r="F88" s="295">
        <f>ROUND((IF('F Intl Con Plus Base'!$F$120&gt;ROUND(((1-'F Intl Con Plus Base'!$F$117)*'F Intl Con Plus Base'!F85),2),ROUND('F Intl Con Plus Base'!$F$120*(1+International_Fuel_Surcharge),2),ROUND(((1-'F Intl Con Plus Base'!$F$117)*'F Intl Con Plus Base'!F85)*(1+International_Fuel_Surcharge),2)))*(1+FedEx_Markup),2)</f>
        <v>386.76</v>
      </c>
      <c r="G88" s="295">
        <f>ROUND((IF('F Intl Con Plus Base'!$G$120&gt;ROUND(((1-'F Intl Con Plus Base'!$G$117)*'F Intl Con Plus Base'!G85),2),ROUND('F Intl Con Plus Base'!$G$120*(1+International_Fuel_Surcharge),2),ROUND(((1-'F Intl Con Plus Base'!$G$117)*'F Intl Con Plus Base'!G85)*(1+International_Fuel_Surcharge),2)))*(1+FedEx_Markup),2)</f>
        <v>239.65</v>
      </c>
      <c r="H88" s="295">
        <f>ROUND((IF('F Intl Con Plus Base'!$H$120&gt;ROUND(((1-'F Intl Con Plus Base'!$H$117)*'F Intl Con Plus Base'!H85),2),ROUND('F Intl Con Plus Base'!$H$120*(1+International_Fuel_Surcharge),2),ROUND(((1-'F Intl Con Plus Base'!$H$117)*'F Intl Con Plus Base'!H85)*(1+International_Fuel_Surcharge),2)))*(1+FedEx_Markup),2)</f>
        <v>232.71</v>
      </c>
      <c r="I88" s="295">
        <f>ROUND((IF('F Intl Con Plus Base'!$I$120&gt;ROUND(((1-'F Intl Con Plus Base'!$I$117)*'F Intl Con Plus Base'!I85),2),ROUND('F Intl Con Plus Base'!$I$120*(1+International_Fuel_Surcharge),2),ROUND(((1-'F Intl Con Plus Base'!$I$117)*'F Intl Con Plus Base'!I85)*(1+International_Fuel_Surcharge),2)))*(1+FedEx_Markup),2)</f>
        <v>262.05</v>
      </c>
      <c r="J88" s="295">
        <f>ROUND((IF('F Intl Con Plus Base'!$J$120&gt;ROUND(((1-'F Intl Con Plus Base'!$J$117)*'F Intl Con Plus Base'!J85),2),ROUND('F Intl Con Plus Base'!$J$120*(1+International_Fuel_Surcharge),2),ROUND(((1-'F Intl Con Plus Base'!$J$117)*'F Intl Con Plus Base'!J85)*(1+International_Fuel_Surcharge),2)))*(1+FedEx_Markup),2)</f>
        <v>170.48</v>
      </c>
      <c r="K88" s="295">
        <f>ROUND((IF('F Intl Con Plus Base'!$K$120&gt;ROUND(((1-'F Intl Con Plus Base'!$K$117)*'F Intl Con Plus Base'!K85),2),ROUND('F Intl Con Plus Base'!$K$120*(1+International_Fuel_Surcharge),2),ROUND(((1-'F Intl Con Plus Base'!$K$117)*'F Intl Con Plus Base'!K85)*(1+International_Fuel_Surcharge),2)))*(1+FedEx_Markup),2)</f>
        <v>319.65</v>
      </c>
      <c r="L88" s="295">
        <f>ROUND((IF('F Intl Con Plus Base'!$L$120&gt;ROUND(((1-'F Intl Con Plus Base'!$L$117)*'F Intl Con Plus Base'!L85),2),ROUND('F Intl Con Plus Base'!$L$120*(1+International_Fuel_Surcharge),2),ROUND(((1-'F Intl Con Plus Base'!$L$117)*'F Intl Con Plus Base'!L85)*(1+International_Fuel_Surcharge),2)))*(1+FedEx_Markup),2)</f>
        <v>283.33</v>
      </c>
      <c r="M88" s="295">
        <f>ROUND((IF('F Intl Con Plus Base'!$M$120&gt;ROUND(((1-'F Intl Con Plus Base'!$M$117)*'F Intl Con Plus Base'!M85),2),ROUND('F Intl Con Plus Base'!$M$120*(1+International_Fuel_Surcharge),2),ROUND(((1-'F Intl Con Plus Base'!$M$117)*'F Intl Con Plus Base'!M85)*(1+International_Fuel_Surcharge),2)))*(1+FedEx_Markup),2)</f>
        <v>368.67</v>
      </c>
      <c r="N88" s="295">
        <f>ROUND((IF('F Intl Con Plus Base'!$N$120&gt;ROUND(((1-'F Intl Con Plus Base'!$N$117)*'F Intl Con Plus Base'!N85),2),ROUND('F Intl Con Plus Base'!$N$120*(1+International_Fuel_Surcharge),2),ROUND(((1-'F Intl Con Plus Base'!$N$117)*'F Intl Con Plus Base'!N85)*(1+International_Fuel_Surcharge),2)))*(1+FedEx_Markup),2)</f>
        <v>387.04</v>
      </c>
      <c r="O88" s="295">
        <f>ROUND((IF('F Intl Con Plus Base'!$O$120&gt;ROUND(((1-'F Intl Con Plus Base'!$O$117)*'F Intl Con Plus Base'!O85),2),ROUND('F Intl Con Plus Base'!$O$120*(1+International_Fuel_Surcharge),2),ROUND(((1-'F Intl Con Plus Base'!$O$117)*'F Intl Con Plus Base'!O85)*(1+International_Fuel_Surcharge),2)))*(1+FedEx_Markup),2)</f>
        <v>251.22</v>
      </c>
      <c r="P88" s="295">
        <f>ROUND((IF('F Intl Con Plus Base'!$P$120&gt;ROUND(((1-'F Intl Con Plus Base'!$P$117)*'F Intl Con Plus Base'!P85),2),ROUND('F Intl Con Plus Base'!$P$120*(1+International_Fuel_Surcharge),2),ROUND(((1-'F Intl Con Plus Base'!$P$117)*'F Intl Con Plus Base'!P85)*(1+International_Fuel_Surcharge),2)))*(1+FedEx_Markup),2)</f>
        <v>305.98</v>
      </c>
      <c r="Q88" s="138"/>
      <c r="R88" s="138"/>
      <c r="S88" s="138"/>
      <c r="T88" s="138"/>
      <c r="U88" s="138"/>
      <c r="V88" s="138"/>
      <c r="W88" s="138"/>
      <c r="X88" s="138"/>
      <c r="Y88" s="138"/>
      <c r="Z88" s="138"/>
    </row>
    <row r="89" ht="12.75" customHeight="1">
      <c r="A89" s="294">
        <v>84.0</v>
      </c>
      <c r="B89" s="295">
        <f>ROUND((IF('F Intl Con Plus Base'!$B$120&gt;ROUND(((1-'F Intl Con Plus Base'!$B$117)*'F Intl Con Plus Base'!B86),2),ROUND('F Intl Con Plus Base'!$B$120*(1+International_Fuel_Surcharge),2),ROUND(((1-'F Intl Con Plus Base'!$B$117)*'F Intl Con Plus Base'!B86)*(1+International_Fuel_Surcharge),2)))*(1+FedEx_Markup),2)</f>
        <v>155.16</v>
      </c>
      <c r="C89" s="295">
        <f>ROUND((IF('F Intl Con Plus Base'!$C$120&gt;ROUND(((1-'F Intl Con Plus Base'!$C$117)*'F Intl Con Plus Base'!C86),2),ROUND('F Intl Con Plus Base'!$C$120*(1+International_Fuel_Surcharge),2),ROUND(((1-'F Intl Con Plus Base'!$C$117)*'F Intl Con Plus Base'!C86)*(1+International_Fuel_Surcharge),2)))*(1+FedEx_Markup),2)</f>
        <v>161.92</v>
      </c>
      <c r="D89" s="295">
        <f>ROUND((IF('F Intl Con Plus Base'!$D$120&gt;ROUND(((1-'F Intl Con Plus Base'!$D$117)*'F Intl Con Plus Base'!D86),2),ROUND('F Intl Con Plus Base'!$D$120*(1+International_Fuel_Surcharge),2),ROUND(((1-'F Intl Con Plus Base'!$D$117)*'F Intl Con Plus Base'!D86)*(1+International_Fuel_Surcharge),2)))*(1+FedEx_Markup),2)</f>
        <v>116.84</v>
      </c>
      <c r="E89" s="295">
        <f>ROUND((IF('F Intl Con Plus Base'!$E$120&gt;ROUND(((1-'F Intl Con Plus Base'!$E$117)*'F Intl Con Plus Base'!E86),2),ROUND('F Intl Con Plus Base'!$E$120*(1+International_Fuel_Surcharge),2),ROUND(((1-'F Intl Con Plus Base'!$E$117)*'F Intl Con Plus Base'!E86)*(1+International_Fuel_Surcharge),2)))*(1+FedEx_Markup),2)</f>
        <v>205.91</v>
      </c>
      <c r="F89" s="295">
        <f>ROUND((IF('F Intl Con Plus Base'!$F$120&gt;ROUND(((1-'F Intl Con Plus Base'!$F$117)*'F Intl Con Plus Base'!F86),2),ROUND('F Intl Con Plus Base'!$F$120*(1+International_Fuel_Surcharge),2),ROUND(((1-'F Intl Con Plus Base'!$F$117)*'F Intl Con Plus Base'!F86)*(1+International_Fuel_Surcharge),2)))*(1+FedEx_Markup),2)</f>
        <v>386.81</v>
      </c>
      <c r="G89" s="295">
        <f>ROUND((IF('F Intl Con Plus Base'!$G$120&gt;ROUND(((1-'F Intl Con Plus Base'!$G$117)*'F Intl Con Plus Base'!G86),2),ROUND('F Intl Con Plus Base'!$G$120*(1+International_Fuel_Surcharge),2),ROUND(((1-'F Intl Con Plus Base'!$G$117)*'F Intl Con Plus Base'!G86)*(1+International_Fuel_Surcharge),2)))*(1+FedEx_Markup),2)</f>
        <v>239.71</v>
      </c>
      <c r="H89" s="295">
        <f>ROUND((IF('F Intl Con Plus Base'!$H$120&gt;ROUND(((1-'F Intl Con Plus Base'!$H$117)*'F Intl Con Plus Base'!H86),2),ROUND('F Intl Con Plus Base'!$H$120*(1+International_Fuel_Surcharge),2),ROUND(((1-'F Intl Con Plus Base'!$H$117)*'F Intl Con Plus Base'!H86)*(1+International_Fuel_Surcharge),2)))*(1+FedEx_Markup),2)</f>
        <v>238.37</v>
      </c>
      <c r="I89" s="295">
        <f>ROUND((IF('F Intl Con Plus Base'!$I$120&gt;ROUND(((1-'F Intl Con Plus Base'!$I$117)*'F Intl Con Plus Base'!I86),2),ROUND('F Intl Con Plus Base'!$I$120*(1+International_Fuel_Surcharge),2),ROUND(((1-'F Intl Con Plus Base'!$I$117)*'F Intl Con Plus Base'!I86)*(1+International_Fuel_Surcharge),2)))*(1+FedEx_Markup),2)</f>
        <v>262.11</v>
      </c>
      <c r="J89" s="295">
        <f>ROUND((IF('F Intl Con Plus Base'!$J$120&gt;ROUND(((1-'F Intl Con Plus Base'!$J$117)*'F Intl Con Plus Base'!J86),2),ROUND('F Intl Con Plus Base'!$J$120*(1+International_Fuel_Surcharge),2),ROUND(((1-'F Intl Con Plus Base'!$J$117)*'F Intl Con Plus Base'!J86)*(1+International_Fuel_Surcharge),2)))*(1+FedEx_Markup),2)</f>
        <v>170.58</v>
      </c>
      <c r="K89" s="295">
        <f>ROUND((IF('F Intl Con Plus Base'!$K$120&gt;ROUND(((1-'F Intl Con Plus Base'!$K$117)*'F Intl Con Plus Base'!K86),2),ROUND('F Intl Con Plus Base'!$K$120*(1+International_Fuel_Surcharge),2),ROUND(((1-'F Intl Con Plus Base'!$K$117)*'F Intl Con Plus Base'!K86)*(1+International_Fuel_Surcharge),2)))*(1+FedEx_Markup),2)</f>
        <v>319.71</v>
      </c>
      <c r="L89" s="295">
        <f>ROUND((IF('F Intl Con Plus Base'!$L$120&gt;ROUND(((1-'F Intl Con Plus Base'!$L$117)*'F Intl Con Plus Base'!L86),2),ROUND('F Intl Con Plus Base'!$L$120*(1+International_Fuel_Surcharge),2),ROUND(((1-'F Intl Con Plus Base'!$L$117)*'F Intl Con Plus Base'!L86)*(1+International_Fuel_Surcharge),2)))*(1+FedEx_Markup),2)</f>
        <v>283.41</v>
      </c>
      <c r="M89" s="295">
        <f>ROUND((IF('F Intl Con Plus Base'!$M$120&gt;ROUND(((1-'F Intl Con Plus Base'!$M$117)*'F Intl Con Plus Base'!M86),2),ROUND('F Intl Con Plus Base'!$M$120*(1+International_Fuel_Surcharge),2),ROUND(((1-'F Intl Con Plus Base'!$M$117)*'F Intl Con Plus Base'!M86)*(1+International_Fuel_Surcharge),2)))*(1+FedEx_Markup),2)</f>
        <v>368.74</v>
      </c>
      <c r="N89" s="295">
        <f>ROUND((IF('F Intl Con Plus Base'!$N$120&gt;ROUND(((1-'F Intl Con Plus Base'!$N$117)*'F Intl Con Plus Base'!N86),2),ROUND('F Intl Con Plus Base'!$N$120*(1+International_Fuel_Surcharge),2),ROUND(((1-'F Intl Con Plus Base'!$N$117)*'F Intl Con Plus Base'!N86)*(1+International_Fuel_Surcharge),2)))*(1+FedEx_Markup),2)</f>
        <v>387.11</v>
      </c>
      <c r="O89" s="295">
        <f>ROUND((IF('F Intl Con Plus Base'!$O$120&gt;ROUND(((1-'F Intl Con Plus Base'!$O$117)*'F Intl Con Plus Base'!O86),2),ROUND('F Intl Con Plus Base'!$O$120*(1+International_Fuel_Surcharge),2),ROUND(((1-'F Intl Con Plus Base'!$O$117)*'F Intl Con Plus Base'!O86)*(1+International_Fuel_Surcharge),2)))*(1+FedEx_Markup),2)</f>
        <v>251.28</v>
      </c>
      <c r="P89" s="295">
        <f>ROUND((IF('F Intl Con Plus Base'!$P$120&gt;ROUND(((1-'F Intl Con Plus Base'!$P$117)*'F Intl Con Plus Base'!P86),2),ROUND('F Intl Con Plus Base'!$P$120*(1+International_Fuel_Surcharge),2),ROUND(((1-'F Intl Con Plus Base'!$P$117)*'F Intl Con Plus Base'!P86)*(1+International_Fuel_Surcharge),2)))*(1+FedEx_Markup),2)</f>
        <v>306.04</v>
      </c>
      <c r="Q89" s="138"/>
      <c r="R89" s="138"/>
      <c r="S89" s="138"/>
      <c r="T89" s="138"/>
      <c r="U89" s="138"/>
      <c r="V89" s="138"/>
      <c r="W89" s="138"/>
      <c r="X89" s="138"/>
      <c r="Y89" s="138"/>
      <c r="Z89" s="138"/>
    </row>
    <row r="90" ht="12.75" customHeight="1">
      <c r="A90" s="294">
        <v>85.0</v>
      </c>
      <c r="B90" s="295">
        <f>ROUND((IF('F Intl Con Plus Base'!$B$120&gt;ROUND(((1-'F Intl Con Plus Base'!$B$117)*'F Intl Con Plus Base'!B87),2),ROUND('F Intl Con Plus Base'!$B$120*(1+International_Fuel_Surcharge),2),ROUND(((1-'F Intl Con Plus Base'!$B$117)*'F Intl Con Plus Base'!B87)*(1+International_Fuel_Surcharge),2)))*(1+FedEx_Markup),2)</f>
        <v>155.2</v>
      </c>
      <c r="C90" s="295">
        <f>ROUND((IF('F Intl Con Plus Base'!$C$120&gt;ROUND(((1-'F Intl Con Plus Base'!$C$117)*'F Intl Con Plus Base'!C87),2),ROUND('F Intl Con Plus Base'!$C$120*(1+International_Fuel_Surcharge),2),ROUND(((1-'F Intl Con Plus Base'!$C$117)*'F Intl Con Plus Base'!C87)*(1+International_Fuel_Surcharge),2)))*(1+FedEx_Markup),2)</f>
        <v>161.97</v>
      </c>
      <c r="D90" s="295">
        <f>ROUND((IF('F Intl Con Plus Base'!$D$120&gt;ROUND(((1-'F Intl Con Plus Base'!$D$117)*'F Intl Con Plus Base'!D87),2),ROUND('F Intl Con Plus Base'!$D$120*(1+International_Fuel_Surcharge),2),ROUND(((1-'F Intl Con Plus Base'!$D$117)*'F Intl Con Plus Base'!D87)*(1+International_Fuel_Surcharge),2)))*(1+FedEx_Markup),2)</f>
        <v>119.97</v>
      </c>
      <c r="E90" s="295">
        <f>ROUND((IF('F Intl Con Plus Base'!$E$120&gt;ROUND(((1-'F Intl Con Plus Base'!$E$117)*'F Intl Con Plus Base'!E87),2),ROUND('F Intl Con Plus Base'!$E$120*(1+International_Fuel_Surcharge),2),ROUND(((1-'F Intl Con Plus Base'!$E$117)*'F Intl Con Plus Base'!E87)*(1+International_Fuel_Surcharge),2)))*(1+FedEx_Markup),2)</f>
        <v>207.75</v>
      </c>
      <c r="F90" s="295">
        <f>ROUND((IF('F Intl Con Plus Base'!$F$120&gt;ROUND(((1-'F Intl Con Plus Base'!$F$117)*'F Intl Con Plus Base'!F87),2),ROUND('F Intl Con Plus Base'!$F$120*(1+International_Fuel_Surcharge),2),ROUND(((1-'F Intl Con Plus Base'!$F$117)*'F Intl Con Plus Base'!F87)*(1+International_Fuel_Surcharge),2)))*(1+FedEx_Markup),2)</f>
        <v>386.87</v>
      </c>
      <c r="G90" s="295">
        <f>ROUND((IF('F Intl Con Plus Base'!$G$120&gt;ROUND(((1-'F Intl Con Plus Base'!$G$117)*'F Intl Con Plus Base'!G87),2),ROUND('F Intl Con Plus Base'!$G$120*(1+International_Fuel_Surcharge),2),ROUND(((1-'F Intl Con Plus Base'!$G$117)*'F Intl Con Plus Base'!G87)*(1+International_Fuel_Surcharge),2)))*(1+FedEx_Markup),2)</f>
        <v>239.81</v>
      </c>
      <c r="H90" s="295">
        <f>ROUND((IF('F Intl Con Plus Base'!$H$120&gt;ROUND(((1-'F Intl Con Plus Base'!$H$117)*'F Intl Con Plus Base'!H87),2),ROUND('F Intl Con Plus Base'!$H$120*(1+International_Fuel_Surcharge),2),ROUND(((1-'F Intl Con Plus Base'!$H$117)*'F Intl Con Plus Base'!H87)*(1+International_Fuel_Surcharge),2)))*(1+FedEx_Markup),2)</f>
        <v>239.91</v>
      </c>
      <c r="I90" s="295">
        <f>ROUND((IF('F Intl Con Plus Base'!$I$120&gt;ROUND(((1-'F Intl Con Plus Base'!$I$117)*'F Intl Con Plus Base'!I87),2),ROUND('F Intl Con Plus Base'!$I$120*(1+International_Fuel_Surcharge),2),ROUND(((1-'F Intl Con Plus Base'!$I$117)*'F Intl Con Plus Base'!I87)*(1+International_Fuel_Surcharge),2)))*(1+FedEx_Markup),2)</f>
        <v>262.17</v>
      </c>
      <c r="J90" s="295">
        <f>ROUND((IF('F Intl Con Plus Base'!$J$120&gt;ROUND(((1-'F Intl Con Plus Base'!$J$117)*'F Intl Con Plus Base'!J87),2),ROUND('F Intl Con Plus Base'!$J$120*(1+International_Fuel_Surcharge),2),ROUND(((1-'F Intl Con Plus Base'!$J$117)*'F Intl Con Plus Base'!J87)*(1+International_Fuel_Surcharge),2)))*(1+FedEx_Markup),2)</f>
        <v>172.78</v>
      </c>
      <c r="K90" s="295">
        <f>ROUND((IF('F Intl Con Plus Base'!$K$120&gt;ROUND(((1-'F Intl Con Plus Base'!$K$117)*'F Intl Con Plus Base'!K87),2),ROUND('F Intl Con Plus Base'!$K$120*(1+International_Fuel_Surcharge),2),ROUND(((1-'F Intl Con Plus Base'!$K$117)*'F Intl Con Plus Base'!K87)*(1+International_Fuel_Surcharge),2)))*(1+FedEx_Markup),2)</f>
        <v>319.77</v>
      </c>
      <c r="L90" s="295">
        <f>ROUND((IF('F Intl Con Plus Base'!$L$120&gt;ROUND(((1-'F Intl Con Plus Base'!$L$117)*'F Intl Con Plus Base'!L87),2),ROUND('F Intl Con Plus Base'!$L$120*(1+International_Fuel_Surcharge),2),ROUND(((1-'F Intl Con Plus Base'!$L$117)*'F Intl Con Plus Base'!L87)*(1+International_Fuel_Surcharge),2)))*(1+FedEx_Markup),2)</f>
        <v>283.46</v>
      </c>
      <c r="M90" s="295">
        <f>ROUND((IF('F Intl Con Plus Base'!$M$120&gt;ROUND(((1-'F Intl Con Plus Base'!$M$117)*'F Intl Con Plus Base'!M87),2),ROUND('F Intl Con Plus Base'!$M$120*(1+International_Fuel_Surcharge),2),ROUND(((1-'F Intl Con Plus Base'!$M$117)*'F Intl Con Plus Base'!M87)*(1+International_Fuel_Surcharge),2)))*(1+FedEx_Markup),2)</f>
        <v>368.82</v>
      </c>
      <c r="N90" s="295">
        <f>ROUND((IF('F Intl Con Plus Base'!$N$120&gt;ROUND(((1-'F Intl Con Plus Base'!$N$117)*'F Intl Con Plus Base'!N87),2),ROUND('F Intl Con Plus Base'!$N$120*(1+International_Fuel_Surcharge),2),ROUND(((1-'F Intl Con Plus Base'!$N$117)*'F Intl Con Plus Base'!N87)*(1+International_Fuel_Surcharge),2)))*(1+FedEx_Markup),2)</f>
        <v>387.17</v>
      </c>
      <c r="O90" s="295">
        <f>ROUND((IF('F Intl Con Plus Base'!$O$120&gt;ROUND(((1-'F Intl Con Plus Base'!$O$117)*'F Intl Con Plus Base'!O87),2),ROUND('F Intl Con Plus Base'!$O$120*(1+International_Fuel_Surcharge),2),ROUND(((1-'F Intl Con Plus Base'!$O$117)*'F Intl Con Plus Base'!O87)*(1+International_Fuel_Surcharge),2)))*(1+FedEx_Markup),2)</f>
        <v>251.34</v>
      </c>
      <c r="P90" s="295">
        <f>ROUND((IF('F Intl Con Plus Base'!$P$120&gt;ROUND(((1-'F Intl Con Plus Base'!$P$117)*'F Intl Con Plus Base'!P87),2),ROUND('F Intl Con Plus Base'!$P$120*(1+International_Fuel_Surcharge),2),ROUND(((1-'F Intl Con Plus Base'!$P$117)*'F Intl Con Plus Base'!P87)*(1+International_Fuel_Surcharge),2)))*(1+FedEx_Markup),2)</f>
        <v>306.57</v>
      </c>
      <c r="Q90" s="138"/>
      <c r="R90" s="138"/>
      <c r="S90" s="138"/>
      <c r="T90" s="138"/>
      <c r="U90" s="138"/>
      <c r="V90" s="138"/>
      <c r="W90" s="138"/>
      <c r="X90" s="138"/>
      <c r="Y90" s="138"/>
      <c r="Z90" s="138"/>
    </row>
    <row r="91" ht="13.5" customHeight="1">
      <c r="A91" s="294">
        <v>86.0</v>
      </c>
      <c r="B91" s="295">
        <f>ROUND((IF('F Intl Con Plus Base'!$B$120&gt;ROUND(((1-'F Intl Con Plus Base'!$B$117)*'F Intl Con Plus Base'!B88),2),ROUND('F Intl Con Plus Base'!$B$120*(1+International_Fuel_Surcharge),2),ROUND(((1-'F Intl Con Plus Base'!$B$117)*'F Intl Con Plus Base'!B88)*(1+International_Fuel_Surcharge),2)))*(1+FedEx_Markup),2)</f>
        <v>155.27</v>
      </c>
      <c r="C91" s="295">
        <f>ROUND((IF('F Intl Con Plus Base'!$C$120&gt;ROUND(((1-'F Intl Con Plus Base'!$C$117)*'F Intl Con Plus Base'!C88),2),ROUND('F Intl Con Plus Base'!$C$120*(1+International_Fuel_Surcharge),2),ROUND(((1-'F Intl Con Plus Base'!$C$117)*'F Intl Con Plus Base'!C88)*(1+International_Fuel_Surcharge),2)))*(1+FedEx_Markup),2)</f>
        <v>162.02</v>
      </c>
      <c r="D91" s="295">
        <f>ROUND((IF('F Intl Con Plus Base'!$D$120&gt;ROUND(((1-'F Intl Con Plus Base'!$D$117)*'F Intl Con Plus Base'!D88),2),ROUND('F Intl Con Plus Base'!$D$120*(1+International_Fuel_Surcharge),2),ROUND(((1-'F Intl Con Plus Base'!$D$117)*'F Intl Con Plus Base'!D88)*(1+International_Fuel_Surcharge),2)))*(1+FedEx_Markup),2)</f>
        <v>121.19</v>
      </c>
      <c r="E91" s="295">
        <f>ROUND((IF('F Intl Con Plus Base'!$E$120&gt;ROUND(((1-'F Intl Con Plus Base'!$E$117)*'F Intl Con Plus Base'!E88),2),ROUND('F Intl Con Plus Base'!$E$120*(1+International_Fuel_Surcharge),2),ROUND(((1-'F Intl Con Plus Base'!$E$117)*'F Intl Con Plus Base'!E88)*(1+International_Fuel_Surcharge),2)))*(1+FedEx_Markup),2)</f>
        <v>207.93</v>
      </c>
      <c r="F91" s="295">
        <f>ROUND((IF('F Intl Con Plus Base'!$F$120&gt;ROUND(((1-'F Intl Con Plus Base'!$F$117)*'F Intl Con Plus Base'!F88),2),ROUND('F Intl Con Plus Base'!$F$120*(1+International_Fuel_Surcharge),2),ROUND(((1-'F Intl Con Plus Base'!$F$117)*'F Intl Con Plus Base'!F88)*(1+International_Fuel_Surcharge),2)))*(1+FedEx_Markup),2)</f>
        <v>386.96</v>
      </c>
      <c r="G91" s="295">
        <f>ROUND((IF('F Intl Con Plus Base'!$G$120&gt;ROUND(((1-'F Intl Con Plus Base'!$G$117)*'F Intl Con Plus Base'!G88),2),ROUND('F Intl Con Plus Base'!$G$120*(1+International_Fuel_Surcharge),2),ROUND(((1-'F Intl Con Plus Base'!$G$117)*'F Intl Con Plus Base'!G88)*(1+International_Fuel_Surcharge),2)))*(1+FedEx_Markup),2)</f>
        <v>241.83</v>
      </c>
      <c r="H91" s="295">
        <f>ROUND((IF('F Intl Con Plus Base'!$H$120&gt;ROUND(((1-'F Intl Con Plus Base'!$H$117)*'F Intl Con Plus Base'!H88),2),ROUND('F Intl Con Plus Base'!$H$120*(1+International_Fuel_Surcharge),2),ROUND(((1-'F Intl Con Plus Base'!$H$117)*'F Intl Con Plus Base'!H88)*(1+International_Fuel_Surcharge),2)))*(1+FedEx_Markup),2)</f>
        <v>241.45</v>
      </c>
      <c r="I91" s="295">
        <f>ROUND((IF('F Intl Con Plus Base'!$I$120&gt;ROUND(((1-'F Intl Con Plus Base'!$I$117)*'F Intl Con Plus Base'!I88),2),ROUND('F Intl Con Plus Base'!$I$120*(1+International_Fuel_Surcharge),2),ROUND(((1-'F Intl Con Plus Base'!$I$117)*'F Intl Con Plus Base'!I88)*(1+International_Fuel_Surcharge),2)))*(1+FedEx_Markup),2)</f>
        <v>262.22</v>
      </c>
      <c r="J91" s="295">
        <f>ROUND((IF('F Intl Con Plus Base'!$J$120&gt;ROUND(((1-'F Intl Con Plus Base'!$J$117)*'F Intl Con Plus Base'!J88),2),ROUND('F Intl Con Plus Base'!$J$120*(1+International_Fuel_Surcharge),2),ROUND(((1-'F Intl Con Plus Base'!$J$117)*'F Intl Con Plus Base'!J88)*(1+International_Fuel_Surcharge),2)))*(1+FedEx_Markup),2)</f>
        <v>172.99</v>
      </c>
      <c r="K91" s="295">
        <f>ROUND((IF('F Intl Con Plus Base'!$K$120&gt;ROUND(((1-'F Intl Con Plus Base'!$K$117)*'F Intl Con Plus Base'!K88),2),ROUND('F Intl Con Plus Base'!$K$120*(1+International_Fuel_Surcharge),2),ROUND(((1-'F Intl Con Plus Base'!$K$117)*'F Intl Con Plus Base'!K88)*(1+International_Fuel_Surcharge),2)))*(1+FedEx_Markup),2)</f>
        <v>319.82</v>
      </c>
      <c r="L91" s="295">
        <f>ROUND((IF('F Intl Con Plus Base'!$L$120&gt;ROUND(((1-'F Intl Con Plus Base'!$L$117)*'F Intl Con Plus Base'!L88),2),ROUND('F Intl Con Plus Base'!$L$120*(1+International_Fuel_Surcharge),2),ROUND(((1-'F Intl Con Plus Base'!$L$117)*'F Intl Con Plus Base'!L88)*(1+International_Fuel_Surcharge),2)))*(1+FedEx_Markup),2)</f>
        <v>283.53</v>
      </c>
      <c r="M91" s="295">
        <f>ROUND((IF('F Intl Con Plus Base'!$M$120&gt;ROUND(((1-'F Intl Con Plus Base'!$M$117)*'F Intl Con Plus Base'!M88),2),ROUND('F Intl Con Plus Base'!$M$120*(1+International_Fuel_Surcharge),2),ROUND(((1-'F Intl Con Plus Base'!$M$117)*'F Intl Con Plus Base'!M88)*(1+International_Fuel_Surcharge),2)))*(1+FedEx_Markup),2)</f>
        <v>368.87</v>
      </c>
      <c r="N91" s="295">
        <f>ROUND((IF('F Intl Con Plus Base'!$N$120&gt;ROUND(((1-'F Intl Con Plus Base'!$N$117)*'F Intl Con Plus Base'!N88),2),ROUND('F Intl Con Plus Base'!$N$120*(1+International_Fuel_Surcharge),2),ROUND(((1-'F Intl Con Plus Base'!$N$117)*'F Intl Con Plus Base'!N88)*(1+International_Fuel_Surcharge),2)))*(1+FedEx_Markup),2)</f>
        <v>388.07</v>
      </c>
      <c r="O91" s="295">
        <f>ROUND((IF('F Intl Con Plus Base'!$O$120&gt;ROUND(((1-'F Intl Con Plus Base'!$O$117)*'F Intl Con Plus Base'!O88),2),ROUND('F Intl Con Plus Base'!$O$120*(1+International_Fuel_Surcharge),2),ROUND(((1-'F Intl Con Plus Base'!$O$117)*'F Intl Con Plus Base'!O88)*(1+International_Fuel_Surcharge),2)))*(1+FedEx_Markup),2)</f>
        <v>251.4</v>
      </c>
      <c r="P91" s="295">
        <f>ROUND((IF('F Intl Con Plus Base'!$P$120&gt;ROUND(((1-'F Intl Con Plus Base'!$P$117)*'F Intl Con Plus Base'!P88),2),ROUND('F Intl Con Plus Base'!$P$120*(1+International_Fuel_Surcharge),2),ROUND(((1-'F Intl Con Plus Base'!$P$117)*'F Intl Con Plus Base'!P88)*(1+International_Fuel_Surcharge),2)))*(1+FedEx_Markup),2)</f>
        <v>316.94</v>
      </c>
      <c r="Q91" s="138"/>
      <c r="R91" s="138"/>
      <c r="S91" s="138"/>
      <c r="T91" s="138"/>
      <c r="U91" s="138"/>
      <c r="V91" s="138"/>
      <c r="W91" s="138"/>
      <c r="X91" s="138"/>
      <c r="Y91" s="138"/>
      <c r="Z91" s="138"/>
    </row>
    <row r="92" ht="12.75" customHeight="1">
      <c r="A92" s="294">
        <v>87.0</v>
      </c>
      <c r="B92" s="295">
        <f>ROUND((IF('F Intl Con Plus Base'!$B$120&gt;ROUND(((1-'F Intl Con Plus Base'!$B$117)*'F Intl Con Plus Base'!B89),2),ROUND('F Intl Con Plus Base'!$B$120*(1+International_Fuel_Surcharge),2),ROUND(((1-'F Intl Con Plus Base'!$B$117)*'F Intl Con Plus Base'!B89)*(1+International_Fuel_Surcharge),2)))*(1+FedEx_Markup),2)</f>
        <v>155.33</v>
      </c>
      <c r="C92" s="295">
        <f>ROUND((IF('F Intl Con Plus Base'!$C$120&gt;ROUND(((1-'F Intl Con Plus Base'!$C$117)*'F Intl Con Plus Base'!C89),2),ROUND('F Intl Con Plus Base'!$C$120*(1+International_Fuel_Surcharge),2),ROUND(((1-'F Intl Con Plus Base'!$C$117)*'F Intl Con Plus Base'!C89)*(1+International_Fuel_Surcharge),2)))*(1+FedEx_Markup),2)</f>
        <v>162.08</v>
      </c>
      <c r="D92" s="295">
        <f>ROUND((IF('F Intl Con Plus Base'!$D$120&gt;ROUND(((1-'F Intl Con Plus Base'!$D$117)*'F Intl Con Plus Base'!D89),2),ROUND('F Intl Con Plus Base'!$D$120*(1+International_Fuel_Surcharge),2),ROUND(((1-'F Intl Con Plus Base'!$D$117)*'F Intl Con Plus Base'!D89)*(1+International_Fuel_Surcharge),2)))*(1+FedEx_Markup),2)</f>
        <v>123.83</v>
      </c>
      <c r="E92" s="295">
        <f>ROUND((IF('F Intl Con Plus Base'!$E$120&gt;ROUND(((1-'F Intl Con Plus Base'!$E$117)*'F Intl Con Plus Base'!E89),2),ROUND('F Intl Con Plus Base'!$E$120*(1+International_Fuel_Surcharge),2),ROUND(((1-'F Intl Con Plus Base'!$E$117)*'F Intl Con Plus Base'!E89)*(1+International_Fuel_Surcharge),2)))*(1+FedEx_Markup),2)</f>
        <v>208.44</v>
      </c>
      <c r="F92" s="295">
        <f>ROUND((IF('F Intl Con Plus Base'!$F$120&gt;ROUND(((1-'F Intl Con Plus Base'!$F$117)*'F Intl Con Plus Base'!F89),2),ROUND('F Intl Con Plus Base'!$F$120*(1+International_Fuel_Surcharge),2),ROUND(((1-'F Intl Con Plus Base'!$F$117)*'F Intl Con Plus Base'!F89)*(1+International_Fuel_Surcharge),2)))*(1+FedEx_Markup),2)</f>
        <v>388.78</v>
      </c>
      <c r="G92" s="295">
        <f>ROUND((IF('F Intl Con Plus Base'!$G$120&gt;ROUND(((1-'F Intl Con Plus Base'!$G$117)*'F Intl Con Plus Base'!G89),2),ROUND('F Intl Con Plus Base'!$G$120*(1+International_Fuel_Surcharge),2),ROUND(((1-'F Intl Con Plus Base'!$G$117)*'F Intl Con Plus Base'!G89)*(1+International_Fuel_Surcharge),2)))*(1+FedEx_Markup),2)</f>
        <v>242.63</v>
      </c>
      <c r="H92" s="295">
        <f>ROUND((IF('F Intl Con Plus Base'!$H$120&gt;ROUND(((1-'F Intl Con Plus Base'!$H$117)*'F Intl Con Plus Base'!H89),2),ROUND('F Intl Con Plus Base'!$H$120*(1+International_Fuel_Surcharge),2),ROUND(((1-'F Intl Con Plus Base'!$H$117)*'F Intl Con Plus Base'!H89)*(1+International_Fuel_Surcharge),2)))*(1+FedEx_Markup),2)</f>
        <v>242.14</v>
      </c>
      <c r="I92" s="295">
        <f>ROUND((IF('F Intl Con Plus Base'!$I$120&gt;ROUND(((1-'F Intl Con Plus Base'!$I$117)*'F Intl Con Plus Base'!I89),2),ROUND('F Intl Con Plus Base'!$I$120*(1+International_Fuel_Surcharge),2),ROUND(((1-'F Intl Con Plus Base'!$I$117)*'F Intl Con Plus Base'!I89)*(1+International_Fuel_Surcharge),2)))*(1+FedEx_Markup),2)</f>
        <v>262.28</v>
      </c>
      <c r="J92" s="295">
        <f>ROUND((IF('F Intl Con Plus Base'!$J$120&gt;ROUND(((1-'F Intl Con Plus Base'!$J$117)*'F Intl Con Plus Base'!J89),2),ROUND('F Intl Con Plus Base'!$J$120*(1+International_Fuel_Surcharge),2),ROUND(((1-'F Intl Con Plus Base'!$J$117)*'F Intl Con Plus Base'!J89)*(1+International_Fuel_Surcharge),2)))*(1+FedEx_Markup),2)</f>
        <v>173.11</v>
      </c>
      <c r="K92" s="295">
        <f>ROUND((IF('F Intl Con Plus Base'!$K$120&gt;ROUND(((1-'F Intl Con Plus Base'!$K$117)*'F Intl Con Plus Base'!K89),2),ROUND('F Intl Con Plus Base'!$K$120*(1+International_Fuel_Surcharge),2),ROUND(((1-'F Intl Con Plus Base'!$K$117)*'F Intl Con Plus Base'!K89)*(1+International_Fuel_Surcharge),2)))*(1+FedEx_Markup),2)</f>
        <v>319.87</v>
      </c>
      <c r="L92" s="295">
        <f>ROUND((IF('F Intl Con Plus Base'!$L$120&gt;ROUND(((1-'F Intl Con Plus Base'!$L$117)*'F Intl Con Plus Base'!L89),2),ROUND('F Intl Con Plus Base'!$L$120*(1+International_Fuel_Surcharge),2),ROUND(((1-'F Intl Con Plus Base'!$L$117)*'F Intl Con Plus Base'!L89)*(1+International_Fuel_Surcharge),2)))*(1+FedEx_Markup),2)</f>
        <v>283.6</v>
      </c>
      <c r="M92" s="295">
        <f>ROUND((IF('F Intl Con Plus Base'!$M$120&gt;ROUND(((1-'F Intl Con Plus Base'!$M$117)*'F Intl Con Plus Base'!M89),2),ROUND('F Intl Con Plus Base'!$M$120*(1+International_Fuel_Surcharge),2),ROUND(((1-'F Intl Con Plus Base'!$M$117)*'F Intl Con Plus Base'!M89)*(1+International_Fuel_Surcharge),2)))*(1+FedEx_Markup),2)</f>
        <v>368.92</v>
      </c>
      <c r="N92" s="295">
        <f>ROUND((IF('F Intl Con Plus Base'!$N$120&gt;ROUND(((1-'F Intl Con Plus Base'!$N$117)*'F Intl Con Plus Base'!N89),2),ROUND('F Intl Con Plus Base'!$N$120*(1+International_Fuel_Surcharge),2),ROUND(((1-'F Intl Con Plus Base'!$N$117)*'F Intl Con Plus Base'!N89)*(1+International_Fuel_Surcharge),2)))*(1+FedEx_Markup),2)</f>
        <v>405.93</v>
      </c>
      <c r="O92" s="295">
        <f>ROUND((IF('F Intl Con Plus Base'!$O$120&gt;ROUND(((1-'F Intl Con Plus Base'!$O$117)*'F Intl Con Plus Base'!O89),2),ROUND('F Intl Con Plus Base'!$O$120*(1+International_Fuel_Surcharge),2),ROUND(((1-'F Intl Con Plus Base'!$O$117)*'F Intl Con Plus Base'!O89)*(1+International_Fuel_Surcharge),2)))*(1+FedEx_Markup),2)</f>
        <v>251.46</v>
      </c>
      <c r="P92" s="295">
        <f>ROUND((IF('F Intl Con Plus Base'!$P$120&gt;ROUND(((1-'F Intl Con Plus Base'!$P$117)*'F Intl Con Plus Base'!P89),2),ROUND('F Intl Con Plus Base'!$P$120*(1+International_Fuel_Surcharge),2),ROUND(((1-'F Intl Con Plus Base'!$P$117)*'F Intl Con Plus Base'!P89)*(1+International_Fuel_Surcharge),2)))*(1+FedEx_Markup),2)</f>
        <v>317.99</v>
      </c>
      <c r="Q92" s="138"/>
      <c r="R92" s="138"/>
      <c r="S92" s="138"/>
      <c r="T92" s="138"/>
      <c r="U92" s="138"/>
      <c r="V92" s="138"/>
      <c r="W92" s="138"/>
      <c r="X92" s="138"/>
      <c r="Y92" s="138"/>
      <c r="Z92" s="138"/>
    </row>
    <row r="93" ht="12.75" customHeight="1">
      <c r="A93" s="294">
        <v>88.0</v>
      </c>
      <c r="B93" s="295">
        <f>ROUND((IF('F Intl Con Plus Base'!$B$120&gt;ROUND(((1-'F Intl Con Plus Base'!$B$117)*'F Intl Con Plus Base'!B90),2),ROUND('F Intl Con Plus Base'!$B$120*(1+International_Fuel_Surcharge),2),ROUND(((1-'F Intl Con Plus Base'!$B$117)*'F Intl Con Plus Base'!B90)*(1+International_Fuel_Surcharge),2)))*(1+FedEx_Markup),2)</f>
        <v>155.39</v>
      </c>
      <c r="C93" s="295">
        <f>ROUND((IF('F Intl Con Plus Base'!$C$120&gt;ROUND(((1-'F Intl Con Plus Base'!$C$117)*'F Intl Con Plus Base'!C90),2),ROUND('F Intl Con Plus Base'!$C$120*(1+International_Fuel_Surcharge),2),ROUND(((1-'F Intl Con Plus Base'!$C$117)*'F Intl Con Plus Base'!C90)*(1+International_Fuel_Surcharge),2)))*(1+FedEx_Markup),2)</f>
        <v>162.13</v>
      </c>
      <c r="D93" s="295">
        <f>ROUND((IF('F Intl Con Plus Base'!$D$120&gt;ROUND(((1-'F Intl Con Plus Base'!$D$117)*'F Intl Con Plus Base'!D90),2),ROUND('F Intl Con Plus Base'!$D$120*(1+International_Fuel_Surcharge),2),ROUND(((1-'F Intl Con Plus Base'!$D$117)*'F Intl Con Plus Base'!D90)*(1+International_Fuel_Surcharge),2)))*(1+FedEx_Markup),2)</f>
        <v>124.1</v>
      </c>
      <c r="E93" s="295">
        <f>ROUND((IF('F Intl Con Plus Base'!$E$120&gt;ROUND(((1-'F Intl Con Plus Base'!$E$117)*'F Intl Con Plus Base'!E90),2),ROUND('F Intl Con Plus Base'!$E$120*(1+International_Fuel_Surcharge),2),ROUND(((1-'F Intl Con Plus Base'!$E$117)*'F Intl Con Plus Base'!E90)*(1+International_Fuel_Surcharge),2)))*(1+FedEx_Markup),2)</f>
        <v>208.5</v>
      </c>
      <c r="F93" s="295">
        <f>ROUND((IF('F Intl Con Plus Base'!$F$120&gt;ROUND(((1-'F Intl Con Plus Base'!$F$117)*'F Intl Con Plus Base'!F90),2),ROUND('F Intl Con Plus Base'!$F$120*(1+International_Fuel_Surcharge),2),ROUND(((1-'F Intl Con Plus Base'!$F$117)*'F Intl Con Plus Base'!F90)*(1+International_Fuel_Surcharge),2)))*(1+FedEx_Markup),2)</f>
        <v>413.13</v>
      </c>
      <c r="G93" s="295">
        <f>ROUND((IF('F Intl Con Plus Base'!$G$120&gt;ROUND(((1-'F Intl Con Plus Base'!$G$117)*'F Intl Con Plus Base'!G90),2),ROUND('F Intl Con Plus Base'!$G$120*(1+International_Fuel_Surcharge),2),ROUND(((1-'F Intl Con Plus Base'!$G$117)*'F Intl Con Plus Base'!G90)*(1+International_Fuel_Surcharge),2)))*(1+FedEx_Markup),2)</f>
        <v>242.75</v>
      </c>
      <c r="H93" s="295">
        <f>ROUND((IF('F Intl Con Plus Base'!$H$120&gt;ROUND(((1-'F Intl Con Plus Base'!$H$117)*'F Intl Con Plus Base'!H90),2),ROUND('F Intl Con Plus Base'!$H$120*(1+International_Fuel_Surcharge),2),ROUND(((1-'F Intl Con Plus Base'!$H$117)*'F Intl Con Plus Base'!H90)*(1+International_Fuel_Surcharge),2)))*(1+FedEx_Markup),2)</f>
        <v>242.21</v>
      </c>
      <c r="I93" s="295">
        <f>ROUND((IF('F Intl Con Plus Base'!$I$120&gt;ROUND(((1-'F Intl Con Plus Base'!$I$117)*'F Intl Con Plus Base'!I90),2),ROUND('F Intl Con Plus Base'!$I$120*(1+International_Fuel_Surcharge),2),ROUND(((1-'F Intl Con Plus Base'!$I$117)*'F Intl Con Plus Base'!I90)*(1+International_Fuel_Surcharge),2)))*(1+FedEx_Markup),2)</f>
        <v>262.34</v>
      </c>
      <c r="J93" s="295">
        <f>ROUND((IF('F Intl Con Plus Base'!$J$120&gt;ROUND(((1-'F Intl Con Plus Base'!$J$117)*'F Intl Con Plus Base'!J90),2),ROUND('F Intl Con Plus Base'!$J$120*(1+International_Fuel_Surcharge),2),ROUND(((1-'F Intl Con Plus Base'!$J$117)*'F Intl Con Plus Base'!J90)*(1+International_Fuel_Surcharge),2)))*(1+FedEx_Markup),2)</f>
        <v>175.41</v>
      </c>
      <c r="K93" s="295">
        <f>ROUND((IF('F Intl Con Plus Base'!$K$120&gt;ROUND(((1-'F Intl Con Plus Base'!$K$117)*'F Intl Con Plus Base'!K90),2),ROUND('F Intl Con Plus Base'!$K$120*(1+International_Fuel_Surcharge),2),ROUND(((1-'F Intl Con Plus Base'!$K$117)*'F Intl Con Plus Base'!K90)*(1+International_Fuel_Surcharge),2)))*(1+FedEx_Markup),2)</f>
        <v>319.93</v>
      </c>
      <c r="L93" s="295">
        <f>ROUND((IF('F Intl Con Plus Base'!$L$120&gt;ROUND(((1-'F Intl Con Plus Base'!$L$117)*'F Intl Con Plus Base'!L90),2),ROUND('F Intl Con Plus Base'!$L$120*(1+International_Fuel_Surcharge),2),ROUND(((1-'F Intl Con Plus Base'!$L$117)*'F Intl Con Plus Base'!L90)*(1+International_Fuel_Surcharge),2)))*(1+FedEx_Markup),2)</f>
        <v>283.74</v>
      </c>
      <c r="M93" s="295">
        <f>ROUND((IF('F Intl Con Plus Base'!$M$120&gt;ROUND(((1-'F Intl Con Plus Base'!$M$117)*'F Intl Con Plus Base'!M90),2),ROUND('F Intl Con Plus Base'!$M$120*(1+International_Fuel_Surcharge),2),ROUND(((1-'F Intl Con Plus Base'!$M$117)*'F Intl Con Plus Base'!M90)*(1+International_Fuel_Surcharge),2)))*(1+FedEx_Markup),2)</f>
        <v>369.02</v>
      </c>
      <c r="N93" s="295">
        <f>ROUND((IF('F Intl Con Plus Base'!$N$120&gt;ROUND(((1-'F Intl Con Plus Base'!$N$117)*'F Intl Con Plus Base'!N90),2),ROUND('F Intl Con Plus Base'!$N$120*(1+International_Fuel_Surcharge),2),ROUND(((1-'F Intl Con Plus Base'!$N$117)*'F Intl Con Plus Base'!N90)*(1+International_Fuel_Surcharge),2)))*(1+FedEx_Markup),2)</f>
        <v>407.71</v>
      </c>
      <c r="O93" s="295">
        <f>ROUND((IF('F Intl Con Plus Base'!$O$120&gt;ROUND(((1-'F Intl Con Plus Base'!$O$117)*'F Intl Con Plus Base'!O90),2),ROUND('F Intl Con Plus Base'!$O$120*(1+International_Fuel_Surcharge),2),ROUND(((1-'F Intl Con Plus Base'!$O$117)*'F Intl Con Plus Base'!O90)*(1+International_Fuel_Surcharge),2)))*(1+FedEx_Markup),2)</f>
        <v>251.88</v>
      </c>
      <c r="P93" s="295">
        <f>ROUND((IF('F Intl Con Plus Base'!$P$120&gt;ROUND(((1-'F Intl Con Plus Base'!$P$117)*'F Intl Con Plus Base'!P90),2),ROUND('F Intl Con Plus Base'!$P$120*(1+International_Fuel_Surcharge),2),ROUND(((1-'F Intl Con Plus Base'!$P$117)*'F Intl Con Plus Base'!P90)*(1+International_Fuel_Surcharge),2)))*(1+FedEx_Markup),2)</f>
        <v>318.09</v>
      </c>
      <c r="Q93" s="138"/>
      <c r="R93" s="138"/>
      <c r="S93" s="138"/>
      <c r="T93" s="138"/>
      <c r="U93" s="138"/>
      <c r="V93" s="138"/>
      <c r="W93" s="138"/>
      <c r="X93" s="138"/>
      <c r="Y93" s="138"/>
      <c r="Z93" s="138"/>
    </row>
    <row r="94" ht="12.75" customHeight="1">
      <c r="A94" s="294">
        <v>89.0</v>
      </c>
      <c r="B94" s="295">
        <f>ROUND((IF('F Intl Con Plus Base'!$B$120&gt;ROUND(((1-'F Intl Con Plus Base'!$B$117)*'F Intl Con Plus Base'!B91),2),ROUND('F Intl Con Plus Base'!$B$120*(1+International_Fuel_Surcharge),2),ROUND(((1-'F Intl Con Plus Base'!$B$117)*'F Intl Con Plus Base'!B91)*(1+International_Fuel_Surcharge),2)))*(1+FedEx_Markup),2)</f>
        <v>155.43</v>
      </c>
      <c r="C94" s="295">
        <f>ROUND((IF('F Intl Con Plus Base'!$C$120&gt;ROUND(((1-'F Intl Con Plus Base'!$C$117)*'F Intl Con Plus Base'!C91),2),ROUND('F Intl Con Plus Base'!$C$120*(1+International_Fuel_Surcharge),2),ROUND(((1-'F Intl Con Plus Base'!$C$117)*'F Intl Con Plus Base'!C91)*(1+International_Fuel_Surcharge),2)))*(1+FedEx_Markup),2)</f>
        <v>162.18</v>
      </c>
      <c r="D94" s="295">
        <f>ROUND((IF('F Intl Con Plus Base'!$D$120&gt;ROUND(((1-'F Intl Con Plus Base'!$D$117)*'F Intl Con Plus Base'!D91),2),ROUND('F Intl Con Plus Base'!$D$120*(1+International_Fuel_Surcharge),2),ROUND(((1-'F Intl Con Plus Base'!$D$117)*'F Intl Con Plus Base'!D91)*(1+International_Fuel_Surcharge),2)))*(1+FedEx_Markup),2)</f>
        <v>124.15</v>
      </c>
      <c r="E94" s="295">
        <f>ROUND((IF('F Intl Con Plus Base'!$E$120&gt;ROUND(((1-'F Intl Con Plus Base'!$E$117)*'F Intl Con Plus Base'!E91),2),ROUND('F Intl Con Plus Base'!$E$120*(1+International_Fuel_Surcharge),2),ROUND(((1-'F Intl Con Plus Base'!$E$117)*'F Intl Con Plus Base'!E91)*(1+International_Fuel_Surcharge),2)))*(1+FedEx_Markup),2)</f>
        <v>208.58</v>
      </c>
      <c r="F94" s="295">
        <f>ROUND((IF('F Intl Con Plus Base'!$F$120&gt;ROUND(((1-'F Intl Con Plus Base'!$F$117)*'F Intl Con Plus Base'!F91),2),ROUND('F Intl Con Plus Base'!$F$120*(1+International_Fuel_Surcharge),2),ROUND(((1-'F Intl Con Plus Base'!$F$117)*'F Intl Con Plus Base'!F91)*(1+International_Fuel_Surcharge),2)))*(1+FedEx_Markup),2)</f>
        <v>436.99</v>
      </c>
      <c r="G94" s="295">
        <f>ROUND((IF('F Intl Con Plus Base'!$G$120&gt;ROUND(((1-'F Intl Con Plus Base'!$G$117)*'F Intl Con Plus Base'!G91),2),ROUND('F Intl Con Plus Base'!$G$120*(1+International_Fuel_Surcharge),2),ROUND(((1-'F Intl Con Plus Base'!$G$117)*'F Intl Con Plus Base'!G91)*(1+International_Fuel_Surcharge),2)))*(1+FedEx_Markup),2)</f>
        <v>242.8</v>
      </c>
      <c r="H94" s="295">
        <f>ROUND((IF('F Intl Con Plus Base'!$H$120&gt;ROUND(((1-'F Intl Con Plus Base'!$H$117)*'F Intl Con Plus Base'!H91),2),ROUND('F Intl Con Plus Base'!$H$120*(1+International_Fuel_Surcharge),2),ROUND(((1-'F Intl Con Plus Base'!$H$117)*'F Intl Con Plus Base'!H91)*(1+International_Fuel_Surcharge),2)))*(1+FedEx_Markup),2)</f>
        <v>242.28</v>
      </c>
      <c r="I94" s="295">
        <f>ROUND((IF('F Intl Con Plus Base'!$I$120&gt;ROUND(((1-'F Intl Con Plus Base'!$I$117)*'F Intl Con Plus Base'!I91),2),ROUND('F Intl Con Plus Base'!$I$120*(1+International_Fuel_Surcharge),2),ROUND(((1-'F Intl Con Plus Base'!$I$117)*'F Intl Con Plus Base'!I91)*(1+International_Fuel_Surcharge),2)))*(1+FedEx_Markup),2)</f>
        <v>262.41</v>
      </c>
      <c r="J94" s="295">
        <f>ROUND((IF('F Intl Con Plus Base'!$J$120&gt;ROUND(((1-'F Intl Con Plus Base'!$J$117)*'F Intl Con Plus Base'!J91),2),ROUND('F Intl Con Plus Base'!$J$120*(1+International_Fuel_Surcharge),2),ROUND(((1-'F Intl Con Plus Base'!$J$117)*'F Intl Con Plus Base'!J91)*(1+International_Fuel_Surcharge),2)))*(1+FedEx_Markup),2)</f>
        <v>179.3</v>
      </c>
      <c r="K94" s="295">
        <f>ROUND((IF('F Intl Con Plus Base'!$K$120&gt;ROUND(((1-'F Intl Con Plus Base'!$K$117)*'F Intl Con Plus Base'!K91),2),ROUND('F Intl Con Plus Base'!$K$120*(1+International_Fuel_Surcharge),2),ROUND(((1-'F Intl Con Plus Base'!$K$117)*'F Intl Con Plus Base'!K91)*(1+International_Fuel_Surcharge),2)))*(1+FedEx_Markup),2)</f>
        <v>319.99</v>
      </c>
      <c r="L94" s="295">
        <f>ROUND((IF('F Intl Con Plus Base'!$L$120&gt;ROUND(((1-'F Intl Con Plus Base'!$L$117)*'F Intl Con Plus Base'!L91),2),ROUND('F Intl Con Plus Base'!$L$120*(1+International_Fuel_Surcharge),2),ROUND(((1-'F Intl Con Plus Base'!$L$117)*'F Intl Con Plus Base'!L91)*(1+International_Fuel_Surcharge),2)))*(1+FedEx_Markup),2)</f>
        <v>286.55</v>
      </c>
      <c r="M94" s="295">
        <f>ROUND((IF('F Intl Con Plus Base'!$M$120&gt;ROUND(((1-'F Intl Con Plus Base'!$M$117)*'F Intl Con Plus Base'!M91),2),ROUND('F Intl Con Plus Base'!$M$120*(1+International_Fuel_Surcharge),2),ROUND(((1-'F Intl Con Plus Base'!$M$117)*'F Intl Con Plus Base'!M91)*(1+International_Fuel_Surcharge),2)))*(1+FedEx_Markup),2)</f>
        <v>369.08</v>
      </c>
      <c r="N94" s="295">
        <f>ROUND((IF('F Intl Con Plus Base'!$N$120&gt;ROUND(((1-'F Intl Con Plus Base'!$N$117)*'F Intl Con Plus Base'!N91),2),ROUND('F Intl Con Plus Base'!$N$120*(1+International_Fuel_Surcharge),2),ROUND(((1-'F Intl Con Plus Base'!$N$117)*'F Intl Con Plus Base'!N91)*(1+International_Fuel_Surcharge),2)))*(1+FedEx_Markup),2)</f>
        <v>407.89</v>
      </c>
      <c r="O94" s="295">
        <f>ROUND((IF('F Intl Con Plus Base'!$O$120&gt;ROUND(((1-'F Intl Con Plus Base'!$O$117)*'F Intl Con Plus Base'!O91),2),ROUND('F Intl Con Plus Base'!$O$120*(1+International_Fuel_Surcharge),2),ROUND(((1-'F Intl Con Plus Base'!$O$117)*'F Intl Con Plus Base'!O91)*(1+International_Fuel_Surcharge),2)))*(1+FedEx_Markup),2)</f>
        <v>258.66</v>
      </c>
      <c r="P94" s="295">
        <f>ROUND((IF('F Intl Con Plus Base'!$P$120&gt;ROUND(((1-'F Intl Con Plus Base'!$P$117)*'F Intl Con Plus Base'!P91),2),ROUND('F Intl Con Plus Base'!$P$120*(1+International_Fuel_Surcharge),2),ROUND(((1-'F Intl Con Plus Base'!$P$117)*'F Intl Con Plus Base'!P91)*(1+International_Fuel_Surcharge),2)))*(1+FedEx_Markup),2)</f>
        <v>318.14</v>
      </c>
      <c r="Q94" s="138"/>
      <c r="R94" s="138"/>
      <c r="S94" s="138"/>
      <c r="T94" s="138"/>
      <c r="U94" s="138"/>
      <c r="V94" s="138"/>
      <c r="W94" s="138"/>
      <c r="X94" s="138"/>
      <c r="Y94" s="138"/>
      <c r="Z94" s="138"/>
    </row>
    <row r="95" ht="12.75" customHeight="1">
      <c r="A95" s="294">
        <v>90.0</v>
      </c>
      <c r="B95" s="295">
        <f>ROUND((IF('F Intl Con Plus Base'!$B$120&gt;ROUND(((1-'F Intl Con Plus Base'!$B$117)*'F Intl Con Plus Base'!B92),2),ROUND('F Intl Con Plus Base'!$B$120*(1+International_Fuel_Surcharge),2),ROUND(((1-'F Intl Con Plus Base'!$B$117)*'F Intl Con Plus Base'!B92)*(1+International_Fuel_Surcharge),2)))*(1+FedEx_Markup),2)</f>
        <v>155.49</v>
      </c>
      <c r="C95" s="295">
        <f>ROUND((IF('F Intl Con Plus Base'!$C$120&gt;ROUND(((1-'F Intl Con Plus Base'!$C$117)*'F Intl Con Plus Base'!C92),2),ROUND('F Intl Con Plus Base'!$C$120*(1+International_Fuel_Surcharge),2),ROUND(((1-'F Intl Con Plus Base'!$C$117)*'F Intl Con Plus Base'!C92)*(1+International_Fuel_Surcharge),2)))*(1+FedEx_Markup),2)</f>
        <v>162.23</v>
      </c>
      <c r="D95" s="295">
        <f>ROUND((IF('F Intl Con Plus Base'!$D$120&gt;ROUND(((1-'F Intl Con Plus Base'!$D$117)*'F Intl Con Plus Base'!D92),2),ROUND('F Intl Con Plus Base'!$D$120*(1+International_Fuel_Surcharge),2),ROUND(((1-'F Intl Con Plus Base'!$D$117)*'F Intl Con Plus Base'!D92)*(1+International_Fuel_Surcharge),2)))*(1+FedEx_Markup),2)</f>
        <v>124.22</v>
      </c>
      <c r="E95" s="295">
        <f>ROUND((IF('F Intl Con Plus Base'!$E$120&gt;ROUND(((1-'F Intl Con Plus Base'!$E$117)*'F Intl Con Plus Base'!E92),2),ROUND('F Intl Con Plus Base'!$E$120*(1+International_Fuel_Surcharge),2),ROUND(((1-'F Intl Con Plus Base'!$E$117)*'F Intl Con Plus Base'!E92)*(1+International_Fuel_Surcharge),2)))*(1+FedEx_Markup),2)</f>
        <v>210.34</v>
      </c>
      <c r="F95" s="295">
        <f>ROUND((IF('F Intl Con Plus Base'!$F$120&gt;ROUND(((1-'F Intl Con Plus Base'!$F$117)*'F Intl Con Plus Base'!F92),2),ROUND('F Intl Con Plus Base'!$F$120*(1+International_Fuel_Surcharge),2),ROUND(((1-'F Intl Con Plus Base'!$F$117)*'F Intl Con Plus Base'!F92)*(1+International_Fuel_Surcharge),2)))*(1+FedEx_Markup),2)</f>
        <v>439.38</v>
      </c>
      <c r="G95" s="295">
        <f>ROUND((IF('F Intl Con Plus Base'!$G$120&gt;ROUND(((1-'F Intl Con Plus Base'!$G$117)*'F Intl Con Plus Base'!G92),2),ROUND('F Intl Con Plus Base'!$G$120*(1+International_Fuel_Surcharge),2),ROUND(((1-'F Intl Con Plus Base'!$G$117)*'F Intl Con Plus Base'!G92)*(1+International_Fuel_Surcharge),2)))*(1+FedEx_Markup),2)</f>
        <v>242.86</v>
      </c>
      <c r="H95" s="295">
        <f>ROUND((IF('F Intl Con Plus Base'!$H$120&gt;ROUND(((1-'F Intl Con Plus Base'!$H$117)*'F Intl Con Plus Base'!H92),2),ROUND('F Intl Con Plus Base'!$H$120*(1+International_Fuel_Surcharge),2),ROUND(((1-'F Intl Con Plus Base'!$H$117)*'F Intl Con Plus Base'!H92)*(1+International_Fuel_Surcharge),2)))*(1+FedEx_Markup),2)</f>
        <v>242.45</v>
      </c>
      <c r="I95" s="295">
        <f>ROUND((IF('F Intl Con Plus Base'!$I$120&gt;ROUND(((1-'F Intl Con Plus Base'!$I$117)*'F Intl Con Plus Base'!I92),2),ROUND('F Intl Con Plus Base'!$I$120*(1+International_Fuel_Surcharge),2),ROUND(((1-'F Intl Con Plus Base'!$I$117)*'F Intl Con Plus Base'!I92)*(1+International_Fuel_Surcharge),2)))*(1+FedEx_Markup),2)</f>
        <v>262.45</v>
      </c>
      <c r="J95" s="295">
        <f>ROUND((IF('F Intl Con Plus Base'!$J$120&gt;ROUND(((1-'F Intl Con Plus Base'!$J$117)*'F Intl Con Plus Base'!J92),2),ROUND('F Intl Con Plus Base'!$J$120*(1+International_Fuel_Surcharge),2),ROUND(((1-'F Intl Con Plus Base'!$J$117)*'F Intl Con Plus Base'!J92)*(1+International_Fuel_Surcharge),2)))*(1+FedEx_Markup),2)</f>
        <v>179.7</v>
      </c>
      <c r="K95" s="295">
        <f>ROUND((IF('F Intl Con Plus Base'!$K$120&gt;ROUND(((1-'F Intl Con Plus Base'!$K$117)*'F Intl Con Plus Base'!K92),2),ROUND('F Intl Con Plus Base'!$K$120*(1+International_Fuel_Surcharge),2),ROUND(((1-'F Intl Con Plus Base'!$K$117)*'F Intl Con Plus Base'!K92)*(1+International_Fuel_Surcharge),2)))*(1+FedEx_Markup),2)</f>
        <v>320.05</v>
      </c>
      <c r="L95" s="295">
        <f>ROUND((IF('F Intl Con Plus Base'!$L$120&gt;ROUND(((1-'F Intl Con Plus Base'!$L$117)*'F Intl Con Plus Base'!L92),2),ROUND('F Intl Con Plus Base'!$L$120*(1+International_Fuel_Surcharge),2),ROUND(((1-'F Intl Con Plus Base'!$L$117)*'F Intl Con Plus Base'!L92)*(1+International_Fuel_Surcharge),2)))*(1+FedEx_Markup),2)</f>
        <v>287.72</v>
      </c>
      <c r="M95" s="295">
        <f>ROUND((IF('F Intl Con Plus Base'!$M$120&gt;ROUND(((1-'F Intl Con Plus Base'!$M$117)*'F Intl Con Plus Base'!M92),2),ROUND('F Intl Con Plus Base'!$M$120*(1+International_Fuel_Surcharge),2),ROUND(((1-'F Intl Con Plus Base'!$M$117)*'F Intl Con Plus Base'!M92)*(1+International_Fuel_Surcharge),2)))*(1+FedEx_Markup),2)</f>
        <v>369.17</v>
      </c>
      <c r="N95" s="295">
        <f>ROUND((IF('F Intl Con Plus Base'!$N$120&gt;ROUND(((1-'F Intl Con Plus Base'!$N$117)*'F Intl Con Plus Base'!N92),2),ROUND('F Intl Con Plus Base'!$N$120*(1+International_Fuel_Surcharge),2),ROUND(((1-'F Intl Con Plus Base'!$N$117)*'F Intl Con Plus Base'!N92)*(1+International_Fuel_Surcharge),2)))*(1+FedEx_Markup),2)</f>
        <v>408.96</v>
      </c>
      <c r="O95" s="295">
        <f>ROUND((IF('F Intl Con Plus Base'!$O$120&gt;ROUND(((1-'F Intl Con Plus Base'!$O$117)*'F Intl Con Plus Base'!O92),2),ROUND('F Intl Con Plus Base'!$O$120*(1+International_Fuel_Surcharge),2),ROUND(((1-'F Intl Con Plus Base'!$O$117)*'F Intl Con Plus Base'!O92)*(1+International_Fuel_Surcharge),2)))*(1+FedEx_Markup),2)</f>
        <v>259.33</v>
      </c>
      <c r="P95" s="295">
        <f>ROUND((IF('F Intl Con Plus Base'!$P$120&gt;ROUND(((1-'F Intl Con Plus Base'!$P$117)*'F Intl Con Plus Base'!P92),2),ROUND('F Intl Con Plus Base'!$P$120*(1+International_Fuel_Surcharge),2),ROUND(((1-'F Intl Con Plus Base'!$P$117)*'F Intl Con Plus Base'!P92)*(1+International_Fuel_Surcharge),2)))*(1+FedEx_Markup),2)</f>
        <v>318.19</v>
      </c>
      <c r="Q95" s="138"/>
      <c r="R95" s="138"/>
      <c r="S95" s="138"/>
      <c r="T95" s="138"/>
      <c r="U95" s="138"/>
      <c r="V95" s="138"/>
      <c r="W95" s="138"/>
      <c r="X95" s="138"/>
      <c r="Y95" s="138"/>
      <c r="Z95" s="138"/>
    </row>
    <row r="96" ht="12.75" customHeight="1">
      <c r="A96" s="294">
        <v>91.0</v>
      </c>
      <c r="B96" s="295">
        <f>ROUND((IF('F Intl Con Plus Base'!$B$120&gt;ROUND(((1-'F Intl Con Plus Base'!$B$117)*'F Intl Con Plus Base'!B93),2),ROUND('F Intl Con Plus Base'!$B$120*(1+International_Fuel_Surcharge),2),ROUND(((1-'F Intl Con Plus Base'!$B$117)*'F Intl Con Plus Base'!B93)*(1+International_Fuel_Surcharge),2)))*(1+FedEx_Markup),2)</f>
        <v>155.55</v>
      </c>
      <c r="C96" s="295">
        <f>ROUND((IF('F Intl Con Plus Base'!$C$120&gt;ROUND(((1-'F Intl Con Plus Base'!$C$117)*'F Intl Con Plus Base'!C93),2),ROUND('F Intl Con Plus Base'!$C$120*(1+International_Fuel_Surcharge),2),ROUND(((1-'F Intl Con Plus Base'!$C$117)*'F Intl Con Plus Base'!C93)*(1+International_Fuel_Surcharge),2)))*(1+FedEx_Markup),2)</f>
        <v>162.29</v>
      </c>
      <c r="D96" s="295">
        <f>ROUND((IF('F Intl Con Plus Base'!$D$120&gt;ROUND(((1-'F Intl Con Plus Base'!$D$117)*'F Intl Con Plus Base'!D93),2),ROUND('F Intl Con Plus Base'!$D$120*(1+International_Fuel_Surcharge),2),ROUND(((1-'F Intl Con Plus Base'!$D$117)*'F Intl Con Plus Base'!D93)*(1+International_Fuel_Surcharge),2)))*(1+FedEx_Markup),2)</f>
        <v>124.27</v>
      </c>
      <c r="E96" s="295">
        <f>ROUND((IF('F Intl Con Plus Base'!$E$120&gt;ROUND(((1-'F Intl Con Plus Base'!$E$117)*'F Intl Con Plus Base'!E93),2),ROUND('F Intl Con Plus Base'!$E$120*(1+International_Fuel_Surcharge),2),ROUND(((1-'F Intl Con Plus Base'!$E$117)*'F Intl Con Plus Base'!E93)*(1+International_Fuel_Surcharge),2)))*(1+FedEx_Markup),2)</f>
        <v>210.52</v>
      </c>
      <c r="F96" s="295">
        <f>ROUND((IF('F Intl Con Plus Base'!$F$120&gt;ROUND(((1-'F Intl Con Plus Base'!$F$117)*'F Intl Con Plus Base'!F93),2),ROUND('F Intl Con Plus Base'!$F$120*(1+International_Fuel_Surcharge),2),ROUND(((1-'F Intl Con Plus Base'!$F$117)*'F Intl Con Plus Base'!F93)*(1+International_Fuel_Surcharge),2)))*(1+FedEx_Markup),2)</f>
        <v>439.62</v>
      </c>
      <c r="G96" s="295">
        <f>ROUND((IF('F Intl Con Plus Base'!$G$120&gt;ROUND(((1-'F Intl Con Plus Base'!$G$117)*'F Intl Con Plus Base'!G93),2),ROUND('F Intl Con Plus Base'!$G$120*(1+International_Fuel_Surcharge),2),ROUND(((1-'F Intl Con Plus Base'!$G$117)*'F Intl Con Plus Base'!G93)*(1+International_Fuel_Surcharge),2)))*(1+FedEx_Markup),2)</f>
        <v>242.91</v>
      </c>
      <c r="H96" s="295">
        <f>ROUND((IF('F Intl Con Plus Base'!$H$120&gt;ROUND(((1-'F Intl Con Plus Base'!$H$117)*'F Intl Con Plus Base'!H93),2),ROUND('F Intl Con Plus Base'!$H$120*(1+International_Fuel_Surcharge),2),ROUND(((1-'F Intl Con Plus Base'!$H$117)*'F Intl Con Plus Base'!H93)*(1+International_Fuel_Surcharge),2)))*(1+FedEx_Markup),2)</f>
        <v>245.86</v>
      </c>
      <c r="I96" s="295">
        <f>ROUND((IF('F Intl Con Plus Base'!$I$120&gt;ROUND(((1-'F Intl Con Plus Base'!$I$117)*'F Intl Con Plus Base'!I93),2),ROUND('F Intl Con Plus Base'!$I$120*(1+International_Fuel_Surcharge),2),ROUND(((1-'F Intl Con Plus Base'!$I$117)*'F Intl Con Plus Base'!I93)*(1+International_Fuel_Surcharge),2)))*(1+FedEx_Markup),2)</f>
        <v>262.52</v>
      </c>
      <c r="J96" s="295">
        <f>ROUND((IF('F Intl Con Plus Base'!$J$120&gt;ROUND(((1-'F Intl Con Plus Base'!$J$117)*'F Intl Con Plus Base'!J93),2),ROUND('F Intl Con Plus Base'!$J$120*(1+International_Fuel_Surcharge),2),ROUND(((1-'F Intl Con Plus Base'!$J$117)*'F Intl Con Plus Base'!J93)*(1+International_Fuel_Surcharge),2)))*(1+FedEx_Markup),2)</f>
        <v>180.01</v>
      </c>
      <c r="K96" s="295">
        <f>ROUND((IF('F Intl Con Plus Base'!$K$120&gt;ROUND(((1-'F Intl Con Plus Base'!$K$117)*'F Intl Con Plus Base'!K93),2),ROUND('F Intl Con Plus Base'!$K$120*(1+International_Fuel_Surcharge),2),ROUND(((1-'F Intl Con Plus Base'!$K$117)*'F Intl Con Plus Base'!K93)*(1+International_Fuel_Surcharge),2)))*(1+FedEx_Markup),2)</f>
        <v>320.1</v>
      </c>
      <c r="L96" s="295">
        <f>ROUND((IF('F Intl Con Plus Base'!$L$120&gt;ROUND(((1-'F Intl Con Plus Base'!$L$117)*'F Intl Con Plus Base'!L93),2),ROUND('F Intl Con Plus Base'!$L$120*(1+International_Fuel_Surcharge),2),ROUND(((1-'F Intl Con Plus Base'!$L$117)*'F Intl Con Plus Base'!L93)*(1+International_Fuel_Surcharge),2)))*(1+FedEx_Markup),2)</f>
        <v>288.26</v>
      </c>
      <c r="M96" s="295">
        <f>ROUND((IF('F Intl Con Plus Base'!$M$120&gt;ROUND(((1-'F Intl Con Plus Base'!$M$117)*'F Intl Con Plus Base'!M93),2),ROUND('F Intl Con Plus Base'!$M$120*(1+International_Fuel_Surcharge),2),ROUND(((1-'F Intl Con Plus Base'!$M$117)*'F Intl Con Plus Base'!M93)*(1+International_Fuel_Surcharge),2)))*(1+FedEx_Markup),2)</f>
        <v>369.24</v>
      </c>
      <c r="N96" s="295">
        <f>ROUND((IF('F Intl Con Plus Base'!$N$120&gt;ROUND(((1-'F Intl Con Plus Base'!$N$117)*'F Intl Con Plus Base'!N93),2),ROUND('F Intl Con Plus Base'!$N$120*(1+International_Fuel_Surcharge),2),ROUND(((1-'F Intl Con Plus Base'!$N$117)*'F Intl Con Plus Base'!N93)*(1+International_Fuel_Surcharge),2)))*(1+FedEx_Markup),2)</f>
        <v>410.14</v>
      </c>
      <c r="O96" s="295">
        <f>ROUND((IF('F Intl Con Plus Base'!$O$120&gt;ROUND(((1-'F Intl Con Plus Base'!$O$117)*'F Intl Con Plus Base'!O93),2),ROUND('F Intl Con Plus Base'!$O$120*(1+International_Fuel_Surcharge),2),ROUND(((1-'F Intl Con Plus Base'!$O$117)*'F Intl Con Plus Base'!O93)*(1+International_Fuel_Surcharge),2)))*(1+FedEx_Markup),2)</f>
        <v>259.39</v>
      </c>
      <c r="P96" s="295">
        <f>ROUND((IF('F Intl Con Plus Base'!$P$120&gt;ROUND(((1-'F Intl Con Plus Base'!$P$117)*'F Intl Con Plus Base'!P93),2),ROUND('F Intl Con Plus Base'!$P$120*(1+International_Fuel_Surcharge),2),ROUND(((1-'F Intl Con Plus Base'!$P$117)*'F Intl Con Plus Base'!P93)*(1+International_Fuel_Surcharge),2)))*(1+FedEx_Markup),2)</f>
        <v>318.25</v>
      </c>
      <c r="Q96" s="138"/>
      <c r="R96" s="138"/>
      <c r="S96" s="138"/>
      <c r="T96" s="138"/>
      <c r="U96" s="138"/>
      <c r="V96" s="138"/>
      <c r="W96" s="138"/>
      <c r="X96" s="138"/>
      <c r="Y96" s="138"/>
      <c r="Z96" s="138"/>
    </row>
    <row r="97" ht="12.75" customHeight="1">
      <c r="A97" s="294">
        <v>92.0</v>
      </c>
      <c r="B97" s="295">
        <f>ROUND((IF('F Intl Con Plus Base'!$B$120&gt;ROUND(((1-'F Intl Con Plus Base'!$B$117)*'F Intl Con Plus Base'!B94),2),ROUND('F Intl Con Plus Base'!$B$120*(1+International_Fuel_Surcharge),2),ROUND(((1-'F Intl Con Plus Base'!$B$117)*'F Intl Con Plus Base'!B94)*(1+International_Fuel_Surcharge),2)))*(1+FedEx_Markup),2)</f>
        <v>155.61</v>
      </c>
      <c r="C97" s="295">
        <f>ROUND((IF('F Intl Con Plus Base'!$C$120&gt;ROUND(((1-'F Intl Con Plus Base'!$C$117)*'F Intl Con Plus Base'!C94),2),ROUND('F Intl Con Plus Base'!$C$120*(1+International_Fuel_Surcharge),2),ROUND(((1-'F Intl Con Plus Base'!$C$117)*'F Intl Con Plus Base'!C94)*(1+International_Fuel_Surcharge),2)))*(1+FedEx_Markup),2)</f>
        <v>162.33</v>
      </c>
      <c r="D97" s="295">
        <f>ROUND((IF('F Intl Con Plus Base'!$D$120&gt;ROUND(((1-'F Intl Con Plus Base'!$D$117)*'F Intl Con Plus Base'!D94),2),ROUND('F Intl Con Plus Base'!$D$120*(1+International_Fuel_Surcharge),2),ROUND(((1-'F Intl Con Plus Base'!$D$117)*'F Intl Con Plus Base'!D94)*(1+International_Fuel_Surcharge),2)))*(1+FedEx_Markup),2)</f>
        <v>124.35</v>
      </c>
      <c r="E97" s="295">
        <f>ROUND((IF('F Intl Con Plus Base'!$E$120&gt;ROUND(((1-'F Intl Con Plus Base'!$E$117)*'F Intl Con Plus Base'!E94),2),ROUND('F Intl Con Plus Base'!$E$120*(1+International_Fuel_Surcharge),2),ROUND(((1-'F Intl Con Plus Base'!$E$117)*'F Intl Con Plus Base'!E94)*(1+International_Fuel_Surcharge),2)))*(1+FedEx_Markup),2)</f>
        <v>210.57</v>
      </c>
      <c r="F97" s="295">
        <f>ROUND((IF('F Intl Con Plus Base'!$F$120&gt;ROUND(((1-'F Intl Con Plus Base'!$F$117)*'F Intl Con Plus Base'!F94),2),ROUND('F Intl Con Plus Base'!$F$120*(1+International_Fuel_Surcharge),2),ROUND(((1-'F Intl Con Plus Base'!$F$117)*'F Intl Con Plus Base'!F94)*(1+International_Fuel_Surcharge),2)))*(1+FedEx_Markup),2)</f>
        <v>439.68</v>
      </c>
      <c r="G97" s="295">
        <f>ROUND((IF('F Intl Con Plus Base'!$G$120&gt;ROUND(((1-'F Intl Con Plus Base'!$G$117)*'F Intl Con Plus Base'!G94),2),ROUND('F Intl Con Plus Base'!$G$120*(1+International_Fuel_Surcharge),2),ROUND(((1-'F Intl Con Plus Base'!$G$117)*'F Intl Con Plus Base'!G94)*(1+International_Fuel_Surcharge),2)))*(1+FedEx_Markup),2)</f>
        <v>242.97</v>
      </c>
      <c r="H97" s="295">
        <f>ROUND((IF('F Intl Con Plus Base'!$H$120&gt;ROUND(((1-'F Intl Con Plus Base'!$H$117)*'F Intl Con Plus Base'!H94),2),ROUND('F Intl Con Plus Base'!$H$120*(1+International_Fuel_Surcharge),2),ROUND(((1-'F Intl Con Plus Base'!$H$117)*'F Intl Con Plus Base'!H94)*(1+International_Fuel_Surcharge),2)))*(1+FedEx_Markup),2)</f>
        <v>246.19</v>
      </c>
      <c r="I97" s="295">
        <f>ROUND((IF('F Intl Con Plus Base'!$I$120&gt;ROUND(((1-'F Intl Con Plus Base'!$I$117)*'F Intl Con Plus Base'!I94),2),ROUND('F Intl Con Plus Base'!$I$120*(1+International_Fuel_Surcharge),2),ROUND(((1-'F Intl Con Plus Base'!$I$117)*'F Intl Con Plus Base'!I94)*(1+International_Fuel_Surcharge),2)))*(1+FedEx_Markup),2)</f>
        <v>262.58</v>
      </c>
      <c r="J97" s="295">
        <f>ROUND((IF('F Intl Con Plus Base'!$J$120&gt;ROUND(((1-'F Intl Con Plus Base'!$J$117)*'F Intl Con Plus Base'!J94),2),ROUND('F Intl Con Plus Base'!$J$120*(1+International_Fuel_Surcharge),2),ROUND(((1-'F Intl Con Plus Base'!$J$117)*'F Intl Con Plus Base'!J94)*(1+International_Fuel_Surcharge),2)))*(1+FedEx_Markup),2)</f>
        <v>181.78</v>
      </c>
      <c r="K97" s="295">
        <f>ROUND((IF('F Intl Con Plus Base'!$K$120&gt;ROUND(((1-'F Intl Con Plus Base'!$K$117)*'F Intl Con Plus Base'!K94),2),ROUND('F Intl Con Plus Base'!$K$120*(1+International_Fuel_Surcharge),2),ROUND(((1-'F Intl Con Plus Base'!$K$117)*'F Intl Con Plus Base'!K94)*(1+International_Fuel_Surcharge),2)))*(1+FedEx_Markup),2)</f>
        <v>320.16</v>
      </c>
      <c r="L97" s="295">
        <f>ROUND((IF('F Intl Con Plus Base'!$L$120&gt;ROUND(((1-'F Intl Con Plus Base'!$L$117)*'F Intl Con Plus Base'!L94),2),ROUND('F Intl Con Plus Base'!$L$120*(1+International_Fuel_Surcharge),2),ROUND(((1-'F Intl Con Plus Base'!$L$117)*'F Intl Con Plus Base'!L94)*(1+International_Fuel_Surcharge),2)))*(1+FedEx_Markup),2)</f>
        <v>288.78</v>
      </c>
      <c r="M97" s="295">
        <f>ROUND((IF('F Intl Con Plus Base'!$M$120&gt;ROUND(((1-'F Intl Con Plus Base'!$M$117)*'F Intl Con Plus Base'!M94),2),ROUND('F Intl Con Plus Base'!$M$120*(1+International_Fuel_Surcharge),2),ROUND(((1-'F Intl Con Plus Base'!$M$117)*'F Intl Con Plus Base'!M94)*(1+International_Fuel_Surcharge),2)))*(1+FedEx_Markup),2)</f>
        <v>369.3</v>
      </c>
      <c r="N97" s="295">
        <f>ROUND((IF('F Intl Con Plus Base'!$N$120&gt;ROUND(((1-'F Intl Con Plus Base'!$N$117)*'F Intl Con Plus Base'!N94),2),ROUND('F Intl Con Plus Base'!$N$120*(1+International_Fuel_Surcharge),2),ROUND(((1-'F Intl Con Plus Base'!$N$117)*'F Intl Con Plus Base'!N94)*(1+International_Fuel_Surcharge),2)))*(1+FedEx_Markup),2)</f>
        <v>433.5</v>
      </c>
      <c r="O97" s="295">
        <f>ROUND((IF('F Intl Con Plus Base'!$O$120&gt;ROUND(((1-'F Intl Con Plus Base'!$O$117)*'F Intl Con Plus Base'!O94),2),ROUND('F Intl Con Plus Base'!$O$120*(1+International_Fuel_Surcharge),2),ROUND(((1-'F Intl Con Plus Base'!$O$117)*'F Intl Con Plus Base'!O94)*(1+International_Fuel_Surcharge),2)))*(1+FedEx_Markup),2)</f>
        <v>259.45</v>
      </c>
      <c r="P97" s="295">
        <f>ROUND((IF('F Intl Con Plus Base'!$P$120&gt;ROUND(((1-'F Intl Con Plus Base'!$P$117)*'F Intl Con Plus Base'!P94),2),ROUND('F Intl Con Plus Base'!$P$120*(1+International_Fuel_Surcharge),2),ROUND(((1-'F Intl Con Plus Base'!$P$117)*'F Intl Con Plus Base'!P94)*(1+International_Fuel_Surcharge),2)))*(1+FedEx_Markup),2)</f>
        <v>318.31</v>
      </c>
      <c r="Q97" s="138"/>
      <c r="R97" s="138"/>
      <c r="S97" s="138"/>
      <c r="T97" s="138"/>
      <c r="U97" s="138"/>
      <c r="V97" s="138"/>
      <c r="W97" s="138"/>
      <c r="X97" s="138"/>
      <c r="Y97" s="138"/>
      <c r="Z97" s="138"/>
    </row>
    <row r="98" ht="12.75" customHeight="1">
      <c r="A98" s="294">
        <v>93.0</v>
      </c>
      <c r="B98" s="295">
        <f>ROUND((IF('F Intl Con Plus Base'!$B$120&gt;ROUND(((1-'F Intl Con Plus Base'!$B$117)*'F Intl Con Plus Base'!B95),2),ROUND('F Intl Con Plus Base'!$B$120*(1+International_Fuel_Surcharge),2),ROUND(((1-'F Intl Con Plus Base'!$B$117)*'F Intl Con Plus Base'!B95)*(1+International_Fuel_Surcharge),2)))*(1+FedEx_Markup),2)</f>
        <v>155.66</v>
      </c>
      <c r="C98" s="295">
        <f>ROUND((IF('F Intl Con Plus Base'!$C$120&gt;ROUND(((1-'F Intl Con Plus Base'!$C$117)*'F Intl Con Plus Base'!C95),2),ROUND('F Intl Con Plus Base'!$C$120*(1+International_Fuel_Surcharge),2),ROUND(((1-'F Intl Con Plus Base'!$C$117)*'F Intl Con Plus Base'!C95)*(1+International_Fuel_Surcharge),2)))*(1+FedEx_Markup),2)</f>
        <v>162.39</v>
      </c>
      <c r="D98" s="295">
        <f>ROUND((IF('F Intl Con Plus Base'!$D$120&gt;ROUND(((1-'F Intl Con Plus Base'!$D$117)*'F Intl Con Plus Base'!D95),2),ROUND('F Intl Con Plus Base'!$D$120*(1+International_Fuel_Surcharge),2),ROUND(((1-'F Intl Con Plus Base'!$D$117)*'F Intl Con Plus Base'!D95)*(1+International_Fuel_Surcharge),2)))*(1+FedEx_Markup),2)</f>
        <v>124.43</v>
      </c>
      <c r="E98" s="295">
        <f>ROUND((IF('F Intl Con Plus Base'!$E$120&gt;ROUND(((1-'F Intl Con Plus Base'!$E$117)*'F Intl Con Plus Base'!E95),2),ROUND('F Intl Con Plus Base'!$E$120*(1+International_Fuel_Surcharge),2),ROUND(((1-'F Intl Con Plus Base'!$E$117)*'F Intl Con Plus Base'!E95)*(1+International_Fuel_Surcharge),2)))*(1+FedEx_Markup),2)</f>
        <v>210.61</v>
      </c>
      <c r="F98" s="295">
        <f>ROUND((IF('F Intl Con Plus Base'!$F$120&gt;ROUND(((1-'F Intl Con Plus Base'!$F$117)*'F Intl Con Plus Base'!F95),2),ROUND('F Intl Con Plus Base'!$F$120*(1+International_Fuel_Surcharge),2),ROUND(((1-'F Intl Con Plus Base'!$F$117)*'F Intl Con Plus Base'!F95)*(1+International_Fuel_Surcharge),2)))*(1+FedEx_Markup),2)</f>
        <v>439.74</v>
      </c>
      <c r="G98" s="295">
        <f>ROUND((IF('F Intl Con Plus Base'!$G$120&gt;ROUND(((1-'F Intl Con Plus Base'!$G$117)*'F Intl Con Plus Base'!G95),2),ROUND('F Intl Con Plus Base'!$G$120*(1+International_Fuel_Surcharge),2),ROUND(((1-'F Intl Con Plus Base'!$G$117)*'F Intl Con Plus Base'!G95)*(1+International_Fuel_Surcharge),2)))*(1+FedEx_Markup),2)</f>
        <v>243.03</v>
      </c>
      <c r="H98" s="295">
        <f>ROUND((IF('F Intl Con Plus Base'!$H$120&gt;ROUND(((1-'F Intl Con Plus Base'!$H$117)*'F Intl Con Plus Base'!H95),2),ROUND('F Intl Con Plus Base'!$H$120*(1+International_Fuel_Surcharge),2),ROUND(((1-'F Intl Con Plus Base'!$H$117)*'F Intl Con Plus Base'!H95)*(1+International_Fuel_Surcharge),2)))*(1+FedEx_Markup),2)</f>
        <v>246.26</v>
      </c>
      <c r="I98" s="295">
        <f>ROUND((IF('F Intl Con Plus Base'!$I$120&gt;ROUND(((1-'F Intl Con Plus Base'!$I$117)*'F Intl Con Plus Base'!I95),2),ROUND('F Intl Con Plus Base'!$I$120*(1+International_Fuel_Surcharge),2),ROUND(((1-'F Intl Con Plus Base'!$I$117)*'F Intl Con Plus Base'!I95)*(1+International_Fuel_Surcharge),2)))*(1+FedEx_Markup),2)</f>
        <v>262.64</v>
      </c>
      <c r="J98" s="295">
        <f>ROUND((IF('F Intl Con Plus Base'!$J$120&gt;ROUND(((1-'F Intl Con Plus Base'!$J$117)*'F Intl Con Plus Base'!J95),2),ROUND('F Intl Con Plus Base'!$J$120*(1+International_Fuel_Surcharge),2),ROUND(((1-'F Intl Con Plus Base'!$J$117)*'F Intl Con Plus Base'!J95)*(1+International_Fuel_Surcharge),2)))*(1+FedEx_Markup),2)</f>
        <v>181.96</v>
      </c>
      <c r="K98" s="295">
        <f>ROUND((IF('F Intl Con Plus Base'!$K$120&gt;ROUND(((1-'F Intl Con Plus Base'!$K$117)*'F Intl Con Plus Base'!K95),2),ROUND('F Intl Con Plus Base'!$K$120*(1+International_Fuel_Surcharge),2),ROUND(((1-'F Intl Con Plus Base'!$K$117)*'F Intl Con Plus Base'!K95)*(1+International_Fuel_Surcharge),2)))*(1+FedEx_Markup),2)</f>
        <v>320.21</v>
      </c>
      <c r="L98" s="295">
        <f>ROUND((IF('F Intl Con Plus Base'!$L$120&gt;ROUND(((1-'F Intl Con Plus Base'!$L$117)*'F Intl Con Plus Base'!L95),2),ROUND('F Intl Con Plus Base'!$L$120*(1+International_Fuel_Surcharge),2),ROUND(((1-'F Intl Con Plus Base'!$L$117)*'F Intl Con Plus Base'!L95)*(1+International_Fuel_Surcharge),2)))*(1+FedEx_Markup),2)</f>
        <v>299.15</v>
      </c>
      <c r="M98" s="295">
        <f>ROUND((IF('F Intl Con Plus Base'!$M$120&gt;ROUND(((1-'F Intl Con Plus Base'!$M$117)*'F Intl Con Plus Base'!M95),2),ROUND('F Intl Con Plus Base'!$M$120*(1+International_Fuel_Surcharge),2),ROUND(((1-'F Intl Con Plus Base'!$M$117)*'F Intl Con Plus Base'!M95)*(1+International_Fuel_Surcharge),2)))*(1+FedEx_Markup),2)</f>
        <v>369.39</v>
      </c>
      <c r="N98" s="295">
        <f>ROUND((IF('F Intl Con Plus Base'!$N$120&gt;ROUND(((1-'F Intl Con Plus Base'!$N$117)*'F Intl Con Plus Base'!N95),2),ROUND('F Intl Con Plus Base'!$N$120*(1+International_Fuel_Surcharge),2),ROUND(((1-'F Intl Con Plus Base'!$N$117)*'F Intl Con Plus Base'!N95)*(1+International_Fuel_Surcharge),2)))*(1+FedEx_Markup),2)</f>
        <v>435.95</v>
      </c>
      <c r="O98" s="295">
        <f>ROUND((IF('F Intl Con Plus Base'!$O$120&gt;ROUND(((1-'F Intl Con Plus Base'!$O$117)*'F Intl Con Plus Base'!O95),2),ROUND('F Intl Con Plus Base'!$O$120*(1+International_Fuel_Surcharge),2),ROUND(((1-'F Intl Con Plus Base'!$O$117)*'F Intl Con Plus Base'!O95)*(1+International_Fuel_Surcharge),2)))*(1+FedEx_Markup),2)</f>
        <v>259.5</v>
      </c>
      <c r="P98" s="295">
        <f>ROUND((IF('F Intl Con Plus Base'!$P$120&gt;ROUND(((1-'F Intl Con Plus Base'!$P$117)*'F Intl Con Plus Base'!P95),2),ROUND('F Intl Con Plus Base'!$P$120*(1+International_Fuel_Surcharge),2),ROUND(((1-'F Intl Con Plus Base'!$P$117)*'F Intl Con Plus Base'!P95)*(1+International_Fuel_Surcharge),2)))*(1+FedEx_Markup),2)</f>
        <v>318.35</v>
      </c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ht="12.75" customHeight="1">
      <c r="A99" s="294">
        <v>94.0</v>
      </c>
      <c r="B99" s="295">
        <f>ROUND((IF('F Intl Con Plus Base'!$B$120&gt;ROUND(((1-'F Intl Con Plus Base'!$B$117)*'F Intl Con Plus Base'!B96),2),ROUND('F Intl Con Plus Base'!$B$120*(1+International_Fuel_Surcharge),2),ROUND(((1-'F Intl Con Plus Base'!$B$117)*'F Intl Con Plus Base'!B96)*(1+International_Fuel_Surcharge),2)))*(1+FedEx_Markup),2)</f>
        <v>155.72</v>
      </c>
      <c r="C99" s="295">
        <f>ROUND((IF('F Intl Con Plus Base'!$C$120&gt;ROUND(((1-'F Intl Con Plus Base'!$C$117)*'F Intl Con Plus Base'!C96),2),ROUND('F Intl Con Plus Base'!$C$120*(1+International_Fuel_Surcharge),2),ROUND(((1-'F Intl Con Plus Base'!$C$117)*'F Intl Con Plus Base'!C96)*(1+International_Fuel_Surcharge),2)))*(1+FedEx_Markup),2)</f>
        <v>162.45</v>
      </c>
      <c r="D99" s="295">
        <f>ROUND((IF('F Intl Con Plus Base'!$D$120&gt;ROUND(((1-'F Intl Con Plus Base'!$D$117)*'F Intl Con Plus Base'!D96),2),ROUND('F Intl Con Plus Base'!$D$120*(1+International_Fuel_Surcharge),2),ROUND(((1-'F Intl Con Plus Base'!$D$117)*'F Intl Con Plus Base'!D96)*(1+International_Fuel_Surcharge),2)))*(1+FedEx_Markup),2)</f>
        <v>124.87</v>
      </c>
      <c r="E99" s="295">
        <f>ROUND((IF('F Intl Con Plus Base'!$E$120&gt;ROUND(((1-'F Intl Con Plus Base'!$E$117)*'F Intl Con Plus Base'!E96),2),ROUND('F Intl Con Plus Base'!$E$120*(1+International_Fuel_Surcharge),2),ROUND(((1-'F Intl Con Plus Base'!$E$117)*'F Intl Con Plus Base'!E96)*(1+International_Fuel_Surcharge),2)))*(1+FedEx_Markup),2)</f>
        <v>210.67</v>
      </c>
      <c r="F99" s="295">
        <f>ROUND((IF('F Intl Con Plus Base'!$F$120&gt;ROUND(((1-'F Intl Con Plus Base'!$F$117)*'F Intl Con Plus Base'!F96),2),ROUND('F Intl Con Plus Base'!$F$120*(1+International_Fuel_Surcharge),2),ROUND(((1-'F Intl Con Plus Base'!$F$117)*'F Intl Con Plus Base'!F96)*(1+International_Fuel_Surcharge),2)))*(1+FedEx_Markup),2)</f>
        <v>439.78</v>
      </c>
      <c r="G99" s="295">
        <f>ROUND((IF('F Intl Con Plus Base'!$G$120&gt;ROUND(((1-'F Intl Con Plus Base'!$G$117)*'F Intl Con Plus Base'!G96),2),ROUND('F Intl Con Plus Base'!$G$120*(1+International_Fuel_Surcharge),2),ROUND(((1-'F Intl Con Plus Base'!$G$117)*'F Intl Con Plus Base'!G96)*(1+International_Fuel_Surcharge),2)))*(1+FedEx_Markup),2)</f>
        <v>243.08</v>
      </c>
      <c r="H99" s="295">
        <f>ROUND((IF('F Intl Con Plus Base'!$H$120&gt;ROUND(((1-'F Intl Con Plus Base'!$H$117)*'F Intl Con Plus Base'!H96),2),ROUND('F Intl Con Plus Base'!$H$120*(1+International_Fuel_Surcharge),2),ROUND(((1-'F Intl Con Plus Base'!$H$117)*'F Intl Con Plus Base'!H96)*(1+International_Fuel_Surcharge),2)))*(1+FedEx_Markup),2)</f>
        <v>246.32</v>
      </c>
      <c r="I99" s="295">
        <f>ROUND((IF('F Intl Con Plus Base'!$I$120&gt;ROUND(((1-'F Intl Con Plus Base'!$I$117)*'F Intl Con Plus Base'!I96),2),ROUND('F Intl Con Plus Base'!$I$120*(1+International_Fuel_Surcharge),2),ROUND(((1-'F Intl Con Plus Base'!$I$117)*'F Intl Con Plus Base'!I96)*(1+International_Fuel_Surcharge),2)))*(1+FedEx_Markup),2)</f>
        <v>262.69</v>
      </c>
      <c r="J99" s="295">
        <f>ROUND((IF('F Intl Con Plus Base'!$J$120&gt;ROUND(((1-'F Intl Con Plus Base'!$J$117)*'F Intl Con Plus Base'!J96),2),ROUND('F Intl Con Plus Base'!$J$120*(1+International_Fuel_Surcharge),2),ROUND(((1-'F Intl Con Plus Base'!$J$117)*'F Intl Con Plus Base'!J96)*(1+International_Fuel_Surcharge),2)))*(1+FedEx_Markup),2)</f>
        <v>185.54</v>
      </c>
      <c r="K99" s="295">
        <f>ROUND((IF('F Intl Con Plus Base'!$K$120&gt;ROUND(((1-'F Intl Con Plus Base'!$K$117)*'F Intl Con Plus Base'!K96),2),ROUND('F Intl Con Plus Base'!$K$120*(1+International_Fuel_Surcharge),2),ROUND(((1-'F Intl Con Plus Base'!$K$117)*'F Intl Con Plus Base'!K96)*(1+International_Fuel_Surcharge),2)))*(1+FedEx_Markup),2)</f>
        <v>320.26</v>
      </c>
      <c r="L99" s="295">
        <f>ROUND((IF('F Intl Con Plus Base'!$L$120&gt;ROUND(((1-'F Intl Con Plus Base'!$L$117)*'F Intl Con Plus Base'!L96),2),ROUND('F Intl Con Plus Base'!$L$120*(1+International_Fuel_Surcharge),2),ROUND(((1-'F Intl Con Plus Base'!$L$117)*'F Intl Con Plus Base'!L96)*(1+International_Fuel_Surcharge),2)))*(1+FedEx_Markup),2)</f>
        <v>300.18</v>
      </c>
      <c r="M99" s="295">
        <f>ROUND((IF('F Intl Con Plus Base'!$M$120&gt;ROUND(((1-'F Intl Con Plus Base'!$M$117)*'F Intl Con Plus Base'!M96),2),ROUND('F Intl Con Plus Base'!$M$120*(1+International_Fuel_Surcharge),2),ROUND(((1-'F Intl Con Plus Base'!$M$117)*'F Intl Con Plus Base'!M96)*(1+International_Fuel_Surcharge),2)))*(1+FedEx_Markup),2)</f>
        <v>369.46</v>
      </c>
      <c r="N99" s="295">
        <f>ROUND((IF('F Intl Con Plus Base'!$N$120&gt;ROUND(((1-'F Intl Con Plus Base'!$N$117)*'F Intl Con Plus Base'!N96),2),ROUND('F Intl Con Plus Base'!$N$120*(1+International_Fuel_Surcharge),2),ROUND(((1-'F Intl Con Plus Base'!$N$117)*'F Intl Con Plus Base'!N96)*(1+International_Fuel_Surcharge),2)))*(1+FedEx_Markup),2)</f>
        <v>436.21</v>
      </c>
      <c r="O99" s="295">
        <f>ROUND((IF('F Intl Con Plus Base'!$O$120&gt;ROUND(((1-'F Intl Con Plus Base'!$O$117)*'F Intl Con Plus Base'!O96),2),ROUND('F Intl Con Plus Base'!$O$120*(1+International_Fuel_Surcharge),2),ROUND(((1-'F Intl Con Plus Base'!$O$117)*'F Intl Con Plus Base'!O96)*(1+International_Fuel_Surcharge),2)))*(1+FedEx_Markup),2)</f>
        <v>259.56</v>
      </c>
      <c r="P99" s="295">
        <f>ROUND((IF('F Intl Con Plus Base'!$P$120&gt;ROUND(((1-'F Intl Con Plus Base'!$P$117)*'F Intl Con Plus Base'!P96),2),ROUND('F Intl Con Plus Base'!$P$120*(1+International_Fuel_Surcharge),2),ROUND(((1-'F Intl Con Plus Base'!$P$117)*'F Intl Con Plus Base'!P96)*(1+International_Fuel_Surcharge),2)))*(1+FedEx_Markup),2)</f>
        <v>318.41</v>
      </c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ht="12.75" customHeight="1">
      <c r="A100" s="294">
        <v>95.0</v>
      </c>
      <c r="B100" s="295">
        <f>ROUND((IF('F Intl Con Plus Base'!$B$120&gt;ROUND(((1-'F Intl Con Plus Base'!$B$117)*'F Intl Con Plus Base'!B97),2),ROUND('F Intl Con Plus Base'!$B$120*(1+International_Fuel_Surcharge),2),ROUND(((1-'F Intl Con Plus Base'!$B$117)*'F Intl Con Plus Base'!B97)*(1+International_Fuel_Surcharge),2)))*(1+FedEx_Markup),2)</f>
        <v>155.77</v>
      </c>
      <c r="C100" s="295">
        <f>ROUND((IF('F Intl Con Plus Base'!$C$120&gt;ROUND(((1-'F Intl Con Plus Base'!$C$117)*'F Intl Con Plus Base'!C97),2),ROUND('F Intl Con Plus Base'!$C$120*(1+International_Fuel_Surcharge),2),ROUND(((1-'F Intl Con Plus Base'!$C$117)*'F Intl Con Plus Base'!C97)*(1+International_Fuel_Surcharge),2)))*(1+FedEx_Markup),2)</f>
        <v>162.5</v>
      </c>
      <c r="D100" s="295">
        <f>ROUND((IF('F Intl Con Plus Base'!$D$120&gt;ROUND(((1-'F Intl Con Plus Base'!$D$117)*'F Intl Con Plus Base'!D97),2),ROUND('F Intl Con Plus Base'!$D$120*(1+International_Fuel_Surcharge),2),ROUND(((1-'F Intl Con Plus Base'!$D$117)*'F Intl Con Plus Base'!D97)*(1+International_Fuel_Surcharge),2)))*(1+FedEx_Markup),2)</f>
        <v>133.39</v>
      </c>
      <c r="E100" s="295">
        <f>ROUND((IF('F Intl Con Plus Base'!$E$120&gt;ROUND(((1-'F Intl Con Plus Base'!$E$117)*'F Intl Con Plus Base'!E97),2),ROUND('F Intl Con Plus Base'!$E$120*(1+International_Fuel_Surcharge),2),ROUND(((1-'F Intl Con Plus Base'!$E$117)*'F Intl Con Plus Base'!E97)*(1+International_Fuel_Surcharge),2)))*(1+FedEx_Markup),2)</f>
        <v>210.71</v>
      </c>
      <c r="F100" s="295">
        <f>ROUND((IF('F Intl Con Plus Base'!$F$120&gt;ROUND(((1-'F Intl Con Plus Base'!$F$117)*'F Intl Con Plus Base'!F97),2),ROUND('F Intl Con Plus Base'!$F$120*(1+International_Fuel_Surcharge),2),ROUND(((1-'F Intl Con Plus Base'!$F$117)*'F Intl Con Plus Base'!F97)*(1+International_Fuel_Surcharge),2)))*(1+FedEx_Markup),2)</f>
        <v>440.35</v>
      </c>
      <c r="G100" s="295">
        <f>ROUND((IF('F Intl Con Plus Base'!$G$120&gt;ROUND(((1-'F Intl Con Plus Base'!$G$117)*'F Intl Con Plus Base'!G97),2),ROUND('F Intl Con Plus Base'!$G$120*(1+International_Fuel_Surcharge),2),ROUND(((1-'F Intl Con Plus Base'!$G$117)*'F Intl Con Plus Base'!G97)*(1+International_Fuel_Surcharge),2)))*(1+FedEx_Markup),2)</f>
        <v>243.13</v>
      </c>
      <c r="H100" s="295">
        <f>ROUND((IF('F Intl Con Plus Base'!$H$120&gt;ROUND(((1-'F Intl Con Plus Base'!$H$117)*'F Intl Con Plus Base'!H97),2),ROUND('F Intl Con Plus Base'!$H$120*(1+International_Fuel_Surcharge),2),ROUND(((1-'F Intl Con Plus Base'!$H$117)*'F Intl Con Plus Base'!H97)*(1+International_Fuel_Surcharge),2)))*(1+FedEx_Markup),2)</f>
        <v>246.39</v>
      </c>
      <c r="I100" s="295">
        <f>ROUND((IF('F Intl Con Plus Base'!$I$120&gt;ROUND(((1-'F Intl Con Plus Base'!$I$117)*'F Intl Con Plus Base'!I97),2),ROUND('F Intl Con Plus Base'!$I$120*(1+International_Fuel_Surcharge),2),ROUND(((1-'F Intl Con Plus Base'!$I$117)*'F Intl Con Plus Base'!I97)*(1+International_Fuel_Surcharge),2)))*(1+FedEx_Markup),2)</f>
        <v>262.75</v>
      </c>
      <c r="J100" s="295">
        <f>ROUND((IF('F Intl Con Plus Base'!$J$120&gt;ROUND(((1-'F Intl Con Plus Base'!$J$117)*'F Intl Con Plus Base'!J97),2),ROUND('F Intl Con Plus Base'!$J$120*(1+International_Fuel_Surcharge),2),ROUND(((1-'F Intl Con Plus Base'!$J$117)*'F Intl Con Plus Base'!J97)*(1+International_Fuel_Surcharge),2)))*(1+FedEx_Markup),2)</f>
        <v>185.92</v>
      </c>
      <c r="K100" s="295">
        <f>ROUND((IF('F Intl Con Plus Base'!$K$120&gt;ROUND(((1-'F Intl Con Plus Base'!$K$117)*'F Intl Con Plus Base'!K97),2),ROUND('F Intl Con Plus Base'!$K$120*(1+International_Fuel_Surcharge),2),ROUND(((1-'F Intl Con Plus Base'!$K$117)*'F Intl Con Plus Base'!K97)*(1+International_Fuel_Surcharge),2)))*(1+FedEx_Markup),2)</f>
        <v>320.32</v>
      </c>
      <c r="L100" s="295">
        <f>ROUND((IF('F Intl Con Plus Base'!$L$120&gt;ROUND(((1-'F Intl Con Plus Base'!$L$117)*'F Intl Con Plus Base'!L97),2),ROUND('F Intl Con Plus Base'!$L$120*(1+International_Fuel_Surcharge),2),ROUND(((1-'F Intl Con Plus Base'!$L$117)*'F Intl Con Plus Base'!L97)*(1+International_Fuel_Surcharge),2)))*(1+FedEx_Markup),2)</f>
        <v>300.3</v>
      </c>
      <c r="M100" s="295">
        <f>ROUND((IF('F Intl Con Plus Base'!$M$120&gt;ROUND(((1-'F Intl Con Plus Base'!$M$117)*'F Intl Con Plus Base'!M97),2),ROUND('F Intl Con Plus Base'!$M$120*(1+International_Fuel_Surcharge),2),ROUND(((1-'F Intl Con Plus Base'!$M$117)*'F Intl Con Plus Base'!M97)*(1+International_Fuel_Surcharge),2)))*(1+FedEx_Markup),2)</f>
        <v>369.53</v>
      </c>
      <c r="N100" s="295">
        <f>ROUND((IF('F Intl Con Plus Base'!$N$120&gt;ROUND(((1-'F Intl Con Plus Base'!$N$117)*'F Intl Con Plus Base'!N97),2),ROUND('F Intl Con Plus Base'!$N$120*(1+International_Fuel_Surcharge),2),ROUND(((1-'F Intl Con Plus Base'!$N$117)*'F Intl Con Plus Base'!N97)*(1+International_Fuel_Surcharge),2)))*(1+FedEx_Markup),2)</f>
        <v>436.26</v>
      </c>
      <c r="O100" s="295">
        <f>ROUND((IF('F Intl Con Plus Base'!$O$120&gt;ROUND(((1-'F Intl Con Plus Base'!$O$117)*'F Intl Con Plus Base'!O97),2),ROUND('F Intl Con Plus Base'!$O$120*(1+International_Fuel_Surcharge),2),ROUND(((1-'F Intl Con Plus Base'!$O$117)*'F Intl Con Plus Base'!O97)*(1+International_Fuel_Surcharge),2)))*(1+FedEx_Markup),2)</f>
        <v>259.6</v>
      </c>
      <c r="P100" s="295">
        <f>ROUND((IF('F Intl Con Plus Base'!$P$120&gt;ROUND(((1-'F Intl Con Plus Base'!$P$117)*'F Intl Con Plus Base'!P97),2),ROUND('F Intl Con Plus Base'!$P$120*(1+International_Fuel_Surcharge),2),ROUND(((1-'F Intl Con Plus Base'!$P$117)*'F Intl Con Plus Base'!P97)*(1+International_Fuel_Surcharge),2)))*(1+FedEx_Markup),2)</f>
        <v>318.86</v>
      </c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ht="12.75" customHeight="1">
      <c r="A101" s="294">
        <v>96.0</v>
      </c>
      <c r="B101" s="295">
        <f>ROUND((IF('F Intl Con Plus Base'!$B$120&gt;ROUND(((1-'F Intl Con Plus Base'!$B$117)*'F Intl Con Plus Base'!B98),2),ROUND('F Intl Con Plus Base'!$B$120*(1+International_Fuel_Surcharge),2),ROUND(((1-'F Intl Con Plus Base'!$B$117)*'F Intl Con Plus Base'!B98)*(1+International_Fuel_Surcharge),2)))*(1+FedEx_Markup),2)</f>
        <v>155.83</v>
      </c>
      <c r="C101" s="295">
        <f>ROUND((IF('F Intl Con Plus Base'!$C$120&gt;ROUND(((1-'F Intl Con Plus Base'!$C$117)*'F Intl Con Plus Base'!C98),2),ROUND('F Intl Con Plus Base'!$C$120*(1+International_Fuel_Surcharge),2),ROUND(((1-'F Intl Con Plus Base'!$C$117)*'F Intl Con Plus Base'!C98)*(1+International_Fuel_Surcharge),2)))*(1+FedEx_Markup),2)</f>
        <v>162.55</v>
      </c>
      <c r="D101" s="295">
        <f>ROUND((IF('F Intl Con Plus Base'!$D$120&gt;ROUND(((1-'F Intl Con Plus Base'!$D$117)*'F Intl Con Plus Base'!D98),2),ROUND('F Intl Con Plus Base'!$D$120*(1+International_Fuel_Surcharge),2),ROUND(((1-'F Intl Con Plus Base'!$D$117)*'F Intl Con Plus Base'!D98)*(1+International_Fuel_Surcharge),2)))*(1+FedEx_Markup),2)</f>
        <v>134.25</v>
      </c>
      <c r="E101" s="295">
        <f>ROUND((IF('F Intl Con Plus Base'!$E$120&gt;ROUND(((1-'F Intl Con Plus Base'!$E$117)*'F Intl Con Plus Base'!E98),2),ROUND('F Intl Con Plus Base'!$E$120*(1+International_Fuel_Surcharge),2),ROUND(((1-'F Intl Con Plus Base'!$E$117)*'F Intl Con Plus Base'!E98)*(1+International_Fuel_Surcharge),2)))*(1+FedEx_Markup),2)</f>
        <v>210.76</v>
      </c>
      <c r="F101" s="295">
        <f>ROUND((IF('F Intl Con Plus Base'!$F$120&gt;ROUND(((1-'F Intl Con Plus Base'!$F$117)*'F Intl Con Plus Base'!F98),2),ROUND('F Intl Con Plus Base'!$F$120*(1+International_Fuel_Surcharge),2),ROUND(((1-'F Intl Con Plus Base'!$F$117)*'F Intl Con Plus Base'!F98)*(1+International_Fuel_Surcharge),2)))*(1+FedEx_Markup),2)</f>
        <v>451.47</v>
      </c>
      <c r="G101" s="295">
        <f>ROUND((IF('F Intl Con Plus Base'!$G$120&gt;ROUND(((1-'F Intl Con Plus Base'!$G$117)*'F Intl Con Plus Base'!G98),2),ROUND('F Intl Con Plus Base'!$G$120*(1+International_Fuel_Surcharge),2),ROUND(((1-'F Intl Con Plus Base'!$G$117)*'F Intl Con Plus Base'!G98)*(1+International_Fuel_Surcharge),2)))*(1+FedEx_Markup),2)</f>
        <v>244.28</v>
      </c>
      <c r="H101" s="295">
        <f>ROUND((IF('F Intl Con Plus Base'!$H$120&gt;ROUND(((1-'F Intl Con Plus Base'!$H$117)*'F Intl Con Plus Base'!H98),2),ROUND('F Intl Con Plus Base'!$H$120*(1+International_Fuel_Surcharge),2),ROUND(((1-'F Intl Con Plus Base'!$H$117)*'F Intl Con Plus Base'!H98)*(1+International_Fuel_Surcharge),2)))*(1+FedEx_Markup),2)</f>
        <v>246.45</v>
      </c>
      <c r="I101" s="295">
        <f>ROUND((IF('F Intl Con Plus Base'!$I$120&gt;ROUND(((1-'F Intl Con Plus Base'!$I$117)*'F Intl Con Plus Base'!I98),2),ROUND('F Intl Con Plus Base'!$I$120*(1+International_Fuel_Surcharge),2),ROUND(((1-'F Intl Con Plus Base'!$I$117)*'F Intl Con Plus Base'!I98)*(1+International_Fuel_Surcharge),2)))*(1+FedEx_Markup),2)</f>
        <v>262.81</v>
      </c>
      <c r="J101" s="295">
        <f>ROUND((IF('F Intl Con Plus Base'!$J$120&gt;ROUND(((1-'F Intl Con Plus Base'!$J$117)*'F Intl Con Plus Base'!J98),2),ROUND('F Intl Con Plus Base'!$J$120*(1+International_Fuel_Surcharge),2),ROUND(((1-'F Intl Con Plus Base'!$J$117)*'F Intl Con Plus Base'!J98)*(1+International_Fuel_Surcharge),2)))*(1+FedEx_Markup),2)</f>
        <v>187.55</v>
      </c>
      <c r="K101" s="295">
        <f>ROUND((IF('F Intl Con Plus Base'!$K$120&gt;ROUND(((1-'F Intl Con Plus Base'!$K$117)*'F Intl Con Plus Base'!K98),2),ROUND('F Intl Con Plus Base'!$K$120*(1+International_Fuel_Surcharge),2),ROUND(((1-'F Intl Con Plus Base'!$K$117)*'F Intl Con Plus Base'!K98)*(1+International_Fuel_Surcharge),2)))*(1+FedEx_Markup),2)</f>
        <v>320.38</v>
      </c>
      <c r="L101" s="295">
        <f>ROUND((IF('F Intl Con Plus Base'!$L$120&gt;ROUND(((1-'F Intl Con Plus Base'!$L$117)*'F Intl Con Plus Base'!L98),2),ROUND('F Intl Con Plus Base'!$L$120*(1+International_Fuel_Surcharge),2),ROUND(((1-'F Intl Con Plus Base'!$L$117)*'F Intl Con Plus Base'!L98)*(1+International_Fuel_Surcharge),2)))*(1+FedEx_Markup),2)</f>
        <v>300.36</v>
      </c>
      <c r="M101" s="295">
        <f>ROUND((IF('F Intl Con Plus Base'!$M$120&gt;ROUND(((1-'F Intl Con Plus Base'!$M$117)*'F Intl Con Plus Base'!M98),2),ROUND('F Intl Con Plus Base'!$M$120*(1+International_Fuel_Surcharge),2),ROUND(((1-'F Intl Con Plus Base'!$M$117)*'F Intl Con Plus Base'!M98)*(1+International_Fuel_Surcharge),2)))*(1+FedEx_Markup),2)</f>
        <v>369.6</v>
      </c>
      <c r="N101" s="295">
        <f>ROUND((IF('F Intl Con Plus Base'!$N$120&gt;ROUND(((1-'F Intl Con Plus Base'!$N$117)*'F Intl Con Plus Base'!N98),2),ROUND('F Intl Con Plus Base'!$N$120*(1+International_Fuel_Surcharge),2),ROUND(((1-'F Intl Con Plus Base'!$N$117)*'F Intl Con Plus Base'!N98)*(1+International_Fuel_Surcharge),2)))*(1+FedEx_Markup),2)</f>
        <v>436.32</v>
      </c>
      <c r="O101" s="295">
        <f>ROUND((IF('F Intl Con Plus Base'!$O$120&gt;ROUND(((1-'F Intl Con Plus Base'!$O$117)*'F Intl Con Plus Base'!O98),2),ROUND('F Intl Con Plus Base'!$O$120*(1+International_Fuel_Surcharge),2),ROUND(((1-'F Intl Con Plus Base'!$O$117)*'F Intl Con Plus Base'!O98)*(1+International_Fuel_Surcharge),2)))*(1+FedEx_Markup),2)</f>
        <v>259.66</v>
      </c>
      <c r="P101" s="295">
        <f>ROUND((IF('F Intl Con Plus Base'!$P$120&gt;ROUND(((1-'F Intl Con Plus Base'!$P$117)*'F Intl Con Plus Base'!P98),2),ROUND('F Intl Con Plus Base'!$P$120*(1+International_Fuel_Surcharge),2),ROUND(((1-'F Intl Con Plus Base'!$P$117)*'F Intl Con Plus Base'!P98)*(1+International_Fuel_Surcharge),2)))*(1+FedEx_Markup),2)</f>
        <v>327.75</v>
      </c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ht="12.75" customHeight="1">
      <c r="A102" s="294">
        <v>97.0</v>
      </c>
      <c r="B102" s="295">
        <f>ROUND((IF('F Intl Con Plus Base'!$B$120&gt;ROUND(((1-'F Intl Con Plus Base'!$B$117)*'F Intl Con Plus Base'!B99),2),ROUND('F Intl Con Plus Base'!$B$120*(1+International_Fuel_Surcharge),2),ROUND(((1-'F Intl Con Plus Base'!$B$117)*'F Intl Con Plus Base'!B99)*(1+International_Fuel_Surcharge),2)))*(1+FedEx_Markup),2)</f>
        <v>155.88</v>
      </c>
      <c r="C102" s="295">
        <f>ROUND((IF('F Intl Con Plus Base'!$C$120&gt;ROUND(((1-'F Intl Con Plus Base'!$C$117)*'F Intl Con Plus Base'!C99),2),ROUND('F Intl Con Plus Base'!$C$120*(1+International_Fuel_Surcharge),2),ROUND(((1-'F Intl Con Plus Base'!$C$117)*'F Intl Con Plus Base'!C99)*(1+International_Fuel_Surcharge),2)))*(1+FedEx_Markup),2)</f>
        <v>162.6</v>
      </c>
      <c r="D102" s="295">
        <f>ROUND((IF('F Intl Con Plus Base'!$D$120&gt;ROUND(((1-'F Intl Con Plus Base'!$D$117)*'F Intl Con Plus Base'!D99),2),ROUND('F Intl Con Plus Base'!$D$120*(1+International_Fuel_Surcharge),2),ROUND(((1-'F Intl Con Plus Base'!$D$117)*'F Intl Con Plus Base'!D99)*(1+International_Fuel_Surcharge),2)))*(1+FedEx_Markup),2)</f>
        <v>134.34</v>
      </c>
      <c r="E102" s="295">
        <f>ROUND((IF('F Intl Con Plus Base'!$E$120&gt;ROUND(((1-'F Intl Con Plus Base'!$E$117)*'F Intl Con Plus Base'!E99),2),ROUND('F Intl Con Plus Base'!$E$120*(1+International_Fuel_Surcharge),2),ROUND(((1-'F Intl Con Plus Base'!$E$117)*'F Intl Con Plus Base'!E99)*(1+International_Fuel_Surcharge),2)))*(1+FedEx_Markup),2)</f>
        <v>210.81</v>
      </c>
      <c r="F102" s="295">
        <f>ROUND((IF('F Intl Con Plus Base'!$F$120&gt;ROUND(((1-'F Intl Con Plus Base'!$F$117)*'F Intl Con Plus Base'!F99),2),ROUND('F Intl Con Plus Base'!$F$120*(1+International_Fuel_Surcharge),2),ROUND(((1-'F Intl Con Plus Base'!$F$117)*'F Intl Con Plus Base'!F99)*(1+International_Fuel_Surcharge),2)))*(1+FedEx_Markup),2)</f>
        <v>452.58</v>
      </c>
      <c r="G102" s="295">
        <f>ROUND((IF('F Intl Con Plus Base'!$G$120&gt;ROUND(((1-'F Intl Con Plus Base'!$G$117)*'F Intl Con Plus Base'!G99),2),ROUND('F Intl Con Plus Base'!$G$120*(1+International_Fuel_Surcharge),2),ROUND(((1-'F Intl Con Plus Base'!$G$117)*'F Intl Con Plus Base'!G99)*(1+International_Fuel_Surcharge),2)))*(1+FedEx_Markup),2)</f>
        <v>250.87</v>
      </c>
      <c r="H102" s="295">
        <f>ROUND((IF('F Intl Con Plus Base'!$H$120&gt;ROUND(((1-'F Intl Con Plus Base'!$H$117)*'F Intl Con Plus Base'!H99),2),ROUND('F Intl Con Plus Base'!$H$120*(1+International_Fuel_Surcharge),2),ROUND(((1-'F Intl Con Plus Base'!$H$117)*'F Intl Con Plus Base'!H99)*(1+International_Fuel_Surcharge),2)))*(1+FedEx_Markup),2)</f>
        <v>246.51</v>
      </c>
      <c r="I102" s="295">
        <f>ROUND((IF('F Intl Con Plus Base'!$I$120&gt;ROUND(((1-'F Intl Con Plus Base'!$I$117)*'F Intl Con Plus Base'!I99),2),ROUND('F Intl Con Plus Base'!$I$120*(1+International_Fuel_Surcharge),2),ROUND(((1-'F Intl Con Plus Base'!$I$117)*'F Intl Con Plus Base'!I99)*(1+International_Fuel_Surcharge),2)))*(1+FedEx_Markup),2)</f>
        <v>262.87</v>
      </c>
      <c r="J102" s="295">
        <f>ROUND((IF('F Intl Con Plus Base'!$J$120&gt;ROUND(((1-'F Intl Con Plus Base'!$J$117)*'F Intl Con Plus Base'!J99),2),ROUND('F Intl Con Plus Base'!$J$120*(1+International_Fuel_Surcharge),2),ROUND(((1-'F Intl Con Plus Base'!$J$117)*'F Intl Con Plus Base'!J99)*(1+International_Fuel_Surcharge),2)))*(1+FedEx_Markup),2)</f>
        <v>187.71</v>
      </c>
      <c r="K102" s="295">
        <f>ROUND((IF('F Intl Con Plus Base'!$K$120&gt;ROUND(((1-'F Intl Con Plus Base'!$K$117)*'F Intl Con Plus Base'!K99),2),ROUND('F Intl Con Plus Base'!$K$120*(1+International_Fuel_Surcharge),2),ROUND(((1-'F Intl Con Plus Base'!$K$117)*'F Intl Con Plus Base'!K99)*(1+International_Fuel_Surcharge),2)))*(1+FedEx_Markup),2)</f>
        <v>320.42</v>
      </c>
      <c r="L102" s="295">
        <f>ROUND((IF('F Intl Con Plus Base'!$L$120&gt;ROUND(((1-'F Intl Con Plus Base'!$L$117)*'F Intl Con Plus Base'!L99),2),ROUND('F Intl Con Plus Base'!$L$120*(1+International_Fuel_Surcharge),2),ROUND(((1-'F Intl Con Plus Base'!$L$117)*'F Intl Con Plus Base'!L99)*(1+International_Fuel_Surcharge),2)))*(1+FedEx_Markup),2)</f>
        <v>300.43</v>
      </c>
      <c r="M102" s="295">
        <f>ROUND((IF('F Intl Con Plus Base'!$M$120&gt;ROUND(((1-'F Intl Con Plus Base'!$M$117)*'F Intl Con Plus Base'!M99),2),ROUND('F Intl Con Plus Base'!$M$120*(1+International_Fuel_Surcharge),2),ROUND(((1-'F Intl Con Plus Base'!$M$117)*'F Intl Con Plus Base'!M99)*(1+International_Fuel_Surcharge),2)))*(1+FedEx_Markup),2)</f>
        <v>369.64</v>
      </c>
      <c r="N102" s="295">
        <f>ROUND((IF('F Intl Con Plus Base'!$N$120&gt;ROUND(((1-'F Intl Con Plus Base'!$N$117)*'F Intl Con Plus Base'!N99),2),ROUND('F Intl Con Plus Base'!$N$120*(1+International_Fuel_Surcharge),2),ROUND(((1-'F Intl Con Plus Base'!$N$117)*'F Intl Con Plus Base'!N99)*(1+International_Fuel_Surcharge),2)))*(1+FedEx_Markup),2)</f>
        <v>436.39</v>
      </c>
      <c r="O102" s="295">
        <f>ROUND((IF('F Intl Con Plus Base'!$O$120&gt;ROUND(((1-'F Intl Con Plus Base'!$O$117)*'F Intl Con Plus Base'!O99),2),ROUND('F Intl Con Plus Base'!$O$120*(1+International_Fuel_Surcharge),2),ROUND(((1-'F Intl Con Plus Base'!$O$117)*'F Intl Con Plus Base'!O99)*(1+International_Fuel_Surcharge),2)))*(1+FedEx_Markup),2)</f>
        <v>259.7</v>
      </c>
      <c r="P102" s="295">
        <f>ROUND((IF('F Intl Con Plus Base'!$P$120&gt;ROUND(((1-'F Intl Con Plus Base'!$P$117)*'F Intl Con Plus Base'!P99),2),ROUND('F Intl Con Plus Base'!$P$120*(1+International_Fuel_Surcharge),2),ROUND(((1-'F Intl Con Plus Base'!$P$117)*'F Intl Con Plus Base'!P99)*(1+International_Fuel_Surcharge),2)))*(1+FedEx_Markup),2)</f>
        <v>328.81</v>
      </c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ht="12.75" customHeight="1">
      <c r="A103" s="294">
        <v>98.0</v>
      </c>
      <c r="B103" s="295">
        <f>ROUND((IF('F Intl Con Plus Base'!$B$120&gt;ROUND(((1-'F Intl Con Plus Base'!$B$117)*'F Intl Con Plus Base'!B100),2),ROUND('F Intl Con Plus Base'!$B$120*(1+International_Fuel_Surcharge),2),ROUND(((1-'F Intl Con Plus Base'!$B$117)*'F Intl Con Plus Base'!B100)*(1+International_Fuel_Surcharge),2)))*(1+FedEx_Markup),2)</f>
        <v>155.93</v>
      </c>
      <c r="C103" s="295">
        <f>ROUND((IF('F Intl Con Plus Base'!$C$120&gt;ROUND(((1-'F Intl Con Plus Base'!$C$117)*'F Intl Con Plus Base'!C100),2),ROUND('F Intl Con Plus Base'!$C$120*(1+International_Fuel_Surcharge),2),ROUND(((1-'F Intl Con Plus Base'!$C$117)*'F Intl Con Plus Base'!C100)*(1+International_Fuel_Surcharge),2)))*(1+FedEx_Markup),2)</f>
        <v>162.66</v>
      </c>
      <c r="D103" s="295">
        <f>ROUND((IF('F Intl Con Plus Base'!$D$120&gt;ROUND(((1-'F Intl Con Plus Base'!$D$117)*'F Intl Con Plus Base'!D100),2),ROUND('F Intl Con Plus Base'!$D$120*(1+International_Fuel_Surcharge),2),ROUND(((1-'F Intl Con Plus Base'!$D$117)*'F Intl Con Plus Base'!D100)*(1+International_Fuel_Surcharge),2)))*(1+FedEx_Markup),2)</f>
        <v>134.4</v>
      </c>
      <c r="E103" s="295">
        <f>ROUND((IF('F Intl Con Plus Base'!$E$120&gt;ROUND(((1-'F Intl Con Plus Base'!$E$117)*'F Intl Con Plus Base'!E100),2),ROUND('F Intl Con Plus Base'!$E$120*(1+International_Fuel_Surcharge),2),ROUND(((1-'F Intl Con Plus Base'!$E$117)*'F Intl Con Plus Base'!E100)*(1+International_Fuel_Surcharge),2)))*(1+FedEx_Markup),2)</f>
        <v>210.86</v>
      </c>
      <c r="F103" s="295">
        <f>ROUND((IF('F Intl Con Plus Base'!$F$120&gt;ROUND(((1-'F Intl Con Plus Base'!$F$117)*'F Intl Con Plus Base'!F100),2),ROUND('F Intl Con Plus Base'!$F$120*(1+International_Fuel_Surcharge),2),ROUND(((1-'F Intl Con Plus Base'!$F$117)*'F Intl Con Plus Base'!F100)*(1+International_Fuel_Surcharge),2)))*(1+FedEx_Markup),2)</f>
        <v>452.69</v>
      </c>
      <c r="G103" s="295">
        <f>ROUND((IF('F Intl Con Plus Base'!$G$120&gt;ROUND(((1-'F Intl Con Plus Base'!$G$117)*'F Intl Con Plus Base'!G100),2),ROUND('F Intl Con Plus Base'!$G$120*(1+International_Fuel_Surcharge),2),ROUND(((1-'F Intl Con Plus Base'!$G$117)*'F Intl Con Plus Base'!G100)*(1+International_Fuel_Surcharge),2)))*(1+FedEx_Markup),2)</f>
        <v>251.54</v>
      </c>
      <c r="H103" s="295">
        <f>ROUND((IF('F Intl Con Plus Base'!$H$120&gt;ROUND(((1-'F Intl Con Plus Base'!$H$117)*'F Intl Con Plus Base'!H100),2),ROUND('F Intl Con Plus Base'!$H$120*(1+International_Fuel_Surcharge),2),ROUND(((1-'F Intl Con Plus Base'!$H$117)*'F Intl Con Plus Base'!H100)*(1+International_Fuel_Surcharge),2)))*(1+FedEx_Markup),2)</f>
        <v>246.57</v>
      </c>
      <c r="I103" s="295">
        <f>ROUND((IF('F Intl Con Plus Base'!$I$120&gt;ROUND(((1-'F Intl Con Plus Base'!$I$117)*'F Intl Con Plus Base'!I100),2),ROUND('F Intl Con Plus Base'!$I$120*(1+International_Fuel_Surcharge),2),ROUND(((1-'F Intl Con Plus Base'!$I$117)*'F Intl Con Plus Base'!I100)*(1+International_Fuel_Surcharge),2)))*(1+FedEx_Markup),2)</f>
        <v>262.91</v>
      </c>
      <c r="J103" s="295">
        <f>ROUND((IF('F Intl Con Plus Base'!$J$120&gt;ROUND(((1-'F Intl Con Plus Base'!$J$117)*'F Intl Con Plus Base'!J100),2),ROUND('F Intl Con Plus Base'!$J$120*(1+International_Fuel_Surcharge),2),ROUND(((1-'F Intl Con Plus Base'!$J$117)*'F Intl Con Plus Base'!J100)*(1+International_Fuel_Surcharge),2)))*(1+FedEx_Markup),2)</f>
        <v>187.8</v>
      </c>
      <c r="K103" s="295">
        <f>ROUND((IF('F Intl Con Plus Base'!$K$120&gt;ROUND(((1-'F Intl Con Plus Base'!$K$117)*'F Intl Con Plus Base'!K100),2),ROUND('F Intl Con Plus Base'!$K$120*(1+International_Fuel_Surcharge),2),ROUND(((1-'F Intl Con Plus Base'!$K$117)*'F Intl Con Plus Base'!K100)*(1+International_Fuel_Surcharge),2)))*(1+FedEx_Markup),2)</f>
        <v>320.48</v>
      </c>
      <c r="L103" s="295">
        <f>ROUND((IF('F Intl Con Plus Base'!$L$120&gt;ROUND(((1-'F Intl Con Plus Base'!$L$117)*'F Intl Con Plus Base'!L100),2),ROUND('F Intl Con Plus Base'!$L$120*(1+International_Fuel_Surcharge),2),ROUND(((1-'F Intl Con Plus Base'!$L$117)*'F Intl Con Plus Base'!L100)*(1+International_Fuel_Surcharge),2)))*(1+FedEx_Markup),2)</f>
        <v>300.5</v>
      </c>
      <c r="M103" s="295">
        <f>ROUND((IF('F Intl Con Plus Base'!$M$120&gt;ROUND(((1-'F Intl Con Plus Base'!$M$117)*'F Intl Con Plus Base'!M100),2),ROUND('F Intl Con Plus Base'!$M$120*(1+International_Fuel_Surcharge),2),ROUND(((1-'F Intl Con Plus Base'!$M$117)*'F Intl Con Plus Base'!M100)*(1+International_Fuel_Surcharge),2)))*(1+FedEx_Markup),2)</f>
        <v>369.76</v>
      </c>
      <c r="N103" s="295">
        <f>ROUND((IF('F Intl Con Plus Base'!$N$120&gt;ROUND(((1-'F Intl Con Plus Base'!$N$117)*'F Intl Con Plus Base'!N100),2),ROUND('F Intl Con Plus Base'!$N$120*(1+International_Fuel_Surcharge),2),ROUND(((1-'F Intl Con Plus Base'!$N$117)*'F Intl Con Plus Base'!N100)*(1+International_Fuel_Surcharge),2)))*(1+FedEx_Markup),2)</f>
        <v>437.71</v>
      </c>
      <c r="O103" s="295">
        <f>ROUND((IF('F Intl Con Plus Base'!$O$120&gt;ROUND(((1-'F Intl Con Plus Base'!$O$117)*'F Intl Con Plus Base'!O100),2),ROUND('F Intl Con Plus Base'!$O$120*(1+International_Fuel_Surcharge),2),ROUND(((1-'F Intl Con Plus Base'!$O$117)*'F Intl Con Plus Base'!O100)*(1+International_Fuel_Surcharge),2)))*(1+FedEx_Markup),2)</f>
        <v>259.76</v>
      </c>
      <c r="P103" s="295">
        <f>ROUND((IF('F Intl Con Plus Base'!$P$120&gt;ROUND(((1-'F Intl Con Plus Base'!$P$117)*'F Intl Con Plus Base'!P100),2),ROUND('F Intl Con Plus Base'!$P$120*(1+International_Fuel_Surcharge),2),ROUND(((1-'F Intl Con Plus Base'!$P$117)*'F Intl Con Plus Base'!P100)*(1+International_Fuel_Surcharge),2)))*(1+FedEx_Markup),2)</f>
        <v>329.53</v>
      </c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ht="12.75" customHeight="1">
      <c r="A104" s="294">
        <v>99.0</v>
      </c>
      <c r="B104" s="295">
        <f>ROUND((IF('F Intl Con Plus Base'!$B$120&gt;ROUND(((1-'F Intl Con Plus Base'!$B$117)*'F Intl Con Plus Base'!B101),2),ROUND('F Intl Con Plus Base'!$B$120*(1+International_Fuel_Surcharge),2),ROUND(((1-'F Intl Con Plus Base'!$B$117)*'F Intl Con Plus Base'!B101)*(1+International_Fuel_Surcharge),2)))*(1+FedEx_Markup),2)</f>
        <v>155.99</v>
      </c>
      <c r="C104" s="295">
        <f>ROUND((IF('F Intl Con Plus Base'!$C$120&gt;ROUND(((1-'F Intl Con Plus Base'!$C$117)*'F Intl Con Plus Base'!C101),2),ROUND('F Intl Con Plus Base'!$C$120*(1+International_Fuel_Surcharge),2),ROUND(((1-'F Intl Con Plus Base'!$C$117)*'F Intl Con Plus Base'!C101)*(1+International_Fuel_Surcharge),2)))*(1+FedEx_Markup),2)</f>
        <v>162.7</v>
      </c>
      <c r="D104" s="295">
        <f>ROUND((IF('F Intl Con Plus Base'!$D$120&gt;ROUND(((1-'F Intl Con Plus Base'!$D$117)*'F Intl Con Plus Base'!D101),2),ROUND('F Intl Con Plus Base'!$D$120*(1+International_Fuel_Surcharge),2),ROUND(((1-'F Intl Con Plus Base'!$D$117)*'F Intl Con Plus Base'!D101)*(1+International_Fuel_Surcharge),2)))*(1+FedEx_Markup),2)</f>
        <v>135.26</v>
      </c>
      <c r="E104" s="295">
        <f>ROUND((IF('F Intl Con Plus Base'!$E$120&gt;ROUND(((1-'F Intl Con Plus Base'!$E$117)*'F Intl Con Plus Base'!E101),2),ROUND('F Intl Con Plus Base'!$E$120*(1+International_Fuel_Surcharge),2),ROUND(((1-'F Intl Con Plus Base'!$E$117)*'F Intl Con Plus Base'!E101)*(1+International_Fuel_Surcharge),2)))*(1+FedEx_Markup),2)</f>
        <v>210.91</v>
      </c>
      <c r="F104" s="295">
        <f>ROUND((IF('F Intl Con Plus Base'!$F$120&gt;ROUND(((1-'F Intl Con Plus Base'!$F$117)*'F Intl Con Plus Base'!F101),2),ROUND('F Intl Con Plus Base'!$F$120*(1+International_Fuel_Surcharge),2),ROUND(((1-'F Intl Con Plus Base'!$F$117)*'F Intl Con Plus Base'!F101)*(1+International_Fuel_Surcharge),2)))*(1+FedEx_Markup),2)</f>
        <v>453.07</v>
      </c>
      <c r="G104" s="295">
        <f>ROUND((IF('F Intl Con Plus Base'!$G$120&gt;ROUND(((1-'F Intl Con Plus Base'!$G$117)*'F Intl Con Plus Base'!G101),2),ROUND('F Intl Con Plus Base'!$G$120*(1+International_Fuel_Surcharge),2),ROUND(((1-'F Intl Con Plus Base'!$G$117)*'F Intl Con Plus Base'!G101)*(1+International_Fuel_Surcharge),2)))*(1+FedEx_Markup),2)</f>
        <v>251.95</v>
      </c>
      <c r="H104" s="295">
        <f>ROUND((IF('F Intl Con Plus Base'!$H$120&gt;ROUND(((1-'F Intl Con Plus Base'!$H$117)*'F Intl Con Plus Base'!H101),2),ROUND('F Intl Con Plus Base'!$H$120*(1+International_Fuel_Surcharge),2),ROUND(((1-'F Intl Con Plus Base'!$H$117)*'F Intl Con Plus Base'!H101)*(1+International_Fuel_Surcharge),2)))*(1+FedEx_Markup),2)</f>
        <v>246.78</v>
      </c>
      <c r="I104" s="295">
        <f>ROUND((IF('F Intl Con Plus Base'!$I$120&gt;ROUND(((1-'F Intl Con Plus Base'!$I$117)*'F Intl Con Plus Base'!I101),2),ROUND('F Intl Con Plus Base'!$I$120*(1+International_Fuel_Surcharge),2),ROUND(((1-'F Intl Con Plus Base'!$I$117)*'F Intl Con Plus Base'!I101)*(1+International_Fuel_Surcharge),2)))*(1+FedEx_Markup),2)</f>
        <v>262.97</v>
      </c>
      <c r="J104" s="295">
        <f>ROUND((IF('F Intl Con Plus Base'!$J$120&gt;ROUND(((1-'F Intl Con Plus Base'!$J$117)*'F Intl Con Plus Base'!J101),2),ROUND('F Intl Con Plus Base'!$J$120*(1+International_Fuel_Surcharge),2),ROUND(((1-'F Intl Con Plus Base'!$J$117)*'F Intl Con Plus Base'!J101)*(1+International_Fuel_Surcharge),2)))*(1+FedEx_Markup),2)</f>
        <v>189.37</v>
      </c>
      <c r="K104" s="295">
        <f>ROUND((IF('F Intl Con Plus Base'!$K$120&gt;ROUND(((1-'F Intl Con Plus Base'!$K$117)*'F Intl Con Plus Base'!K101),2),ROUND('F Intl Con Plus Base'!$K$120*(1+International_Fuel_Surcharge),2),ROUND(((1-'F Intl Con Plus Base'!$K$117)*'F Intl Con Plus Base'!K101)*(1+International_Fuel_Surcharge),2)))*(1+FedEx_Markup),2)</f>
        <v>320.54</v>
      </c>
      <c r="L104" s="295">
        <f>ROUND((IF('F Intl Con Plus Base'!$L$120&gt;ROUND(((1-'F Intl Con Plus Base'!$L$117)*'F Intl Con Plus Base'!L101),2),ROUND('F Intl Con Plus Base'!$L$120*(1+International_Fuel_Surcharge),2),ROUND(((1-'F Intl Con Plus Base'!$L$117)*'F Intl Con Plus Base'!L101)*(1+International_Fuel_Surcharge),2)))*(1+FedEx_Markup),2)</f>
        <v>301.12</v>
      </c>
      <c r="M104" s="295">
        <f>ROUND((IF('F Intl Con Plus Base'!$M$120&gt;ROUND(((1-'F Intl Con Plus Base'!$M$117)*'F Intl Con Plus Base'!M101),2),ROUND('F Intl Con Plus Base'!$M$120*(1+International_Fuel_Surcharge),2),ROUND(((1-'F Intl Con Plus Base'!$M$117)*'F Intl Con Plus Base'!M101)*(1+International_Fuel_Surcharge),2)))*(1+FedEx_Markup),2)</f>
        <v>372.03</v>
      </c>
      <c r="N104" s="295">
        <f>ROUND((IF('F Intl Con Plus Base'!$N$120&gt;ROUND(((1-'F Intl Con Plus Base'!$N$117)*'F Intl Con Plus Base'!N101),2),ROUND('F Intl Con Plus Base'!$N$120*(1+International_Fuel_Surcharge),2),ROUND(((1-'F Intl Con Plus Base'!$N$117)*'F Intl Con Plus Base'!N101)*(1+International_Fuel_Surcharge),2)))*(1+FedEx_Markup),2)</f>
        <v>437.85</v>
      </c>
      <c r="O104" s="295">
        <f>ROUND((IF('F Intl Con Plus Base'!$O$120&gt;ROUND(((1-'F Intl Con Plus Base'!$O$117)*'F Intl Con Plus Base'!O101),2),ROUND('F Intl Con Plus Base'!$O$120*(1+International_Fuel_Surcharge),2),ROUND(((1-'F Intl Con Plus Base'!$O$117)*'F Intl Con Plus Base'!O101)*(1+International_Fuel_Surcharge),2)))*(1+FedEx_Markup),2)</f>
        <v>259.81</v>
      </c>
      <c r="P104" s="295">
        <f>ROUND((IF('F Intl Con Plus Base'!$P$120&gt;ROUND(((1-'F Intl Con Plus Base'!$P$117)*'F Intl Con Plus Base'!P101),2),ROUND('F Intl Con Plus Base'!$P$120*(1+International_Fuel_Surcharge),2),ROUND(((1-'F Intl Con Plus Base'!$P$117)*'F Intl Con Plus Base'!P101)*(1+International_Fuel_Surcharge),2)))*(1+FedEx_Markup),2)</f>
        <v>334.24</v>
      </c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ht="12.75" customHeight="1">
      <c r="A105" s="294">
        <v>100.0</v>
      </c>
      <c r="B105" s="295">
        <f>ROUND((IF('F Intl Con Plus Base'!$B$120&gt;ROUND(((1-'F Intl Con Plus Base'!$B$117)*'F Intl Con Plus Base'!B102),2),ROUND('F Intl Con Plus Base'!$B$120*(1+International_Fuel_Surcharge),2),ROUND(((1-'F Intl Con Plus Base'!$B$117)*'F Intl Con Plus Base'!B102)*(1+International_Fuel_Surcharge),2)))*(1+FedEx_Markup),2)</f>
        <v>156.04</v>
      </c>
      <c r="C105" s="295">
        <f>ROUND((IF('F Intl Con Plus Base'!$C$120&gt;ROUND(((1-'F Intl Con Plus Base'!$C$117)*'F Intl Con Plus Base'!C102),2),ROUND('F Intl Con Plus Base'!$C$120*(1+International_Fuel_Surcharge),2),ROUND(((1-'F Intl Con Plus Base'!$C$117)*'F Intl Con Plus Base'!C102)*(1+International_Fuel_Surcharge),2)))*(1+FedEx_Markup),2)</f>
        <v>162.76</v>
      </c>
      <c r="D105" s="295">
        <f>ROUND((IF('F Intl Con Plus Base'!$D$120&gt;ROUND(((1-'F Intl Con Plus Base'!$D$117)*'F Intl Con Plus Base'!D102),2),ROUND('F Intl Con Plus Base'!$D$120*(1+International_Fuel_Surcharge),2),ROUND(((1-'F Intl Con Plus Base'!$D$117)*'F Intl Con Plus Base'!D102)*(1+International_Fuel_Surcharge),2)))*(1+FedEx_Markup),2)</f>
        <v>147.49</v>
      </c>
      <c r="E105" s="295">
        <f>ROUND((IF('F Intl Con Plus Base'!$E$120&gt;ROUND(((1-'F Intl Con Plus Base'!$E$117)*'F Intl Con Plus Base'!E102),2),ROUND('F Intl Con Plus Base'!$E$120*(1+International_Fuel_Surcharge),2),ROUND(((1-'F Intl Con Plus Base'!$E$117)*'F Intl Con Plus Base'!E102)*(1+International_Fuel_Surcharge),2)))*(1+FedEx_Markup),2)</f>
        <v>210.96</v>
      </c>
      <c r="F105" s="295">
        <f>ROUND((IF('F Intl Con Plus Base'!$F$120&gt;ROUND(((1-'F Intl Con Plus Base'!$F$117)*'F Intl Con Plus Base'!F102),2),ROUND('F Intl Con Plus Base'!$F$120*(1+International_Fuel_Surcharge),2),ROUND(((1-'F Intl Con Plus Base'!$F$117)*'F Intl Con Plus Base'!F102)*(1+International_Fuel_Surcharge),2)))*(1+FedEx_Markup),2)</f>
        <v>460.44</v>
      </c>
      <c r="G105" s="295">
        <f>ROUND((IF('F Intl Con Plus Base'!$G$120&gt;ROUND(((1-'F Intl Con Plus Base'!$G$117)*'F Intl Con Plus Base'!G102),2),ROUND('F Intl Con Plus Base'!$G$120*(1+International_Fuel_Surcharge),2),ROUND(((1-'F Intl Con Plus Base'!$G$117)*'F Intl Con Plus Base'!G102)*(1+International_Fuel_Surcharge),2)))*(1+FedEx_Markup),2)</f>
        <v>260.07</v>
      </c>
      <c r="H105" s="295">
        <f>ROUND((IF('F Intl Con Plus Base'!$H$120&gt;ROUND(((1-'F Intl Con Plus Base'!$H$117)*'F Intl Con Plus Base'!H102),2),ROUND('F Intl Con Plus Base'!$H$120*(1+International_Fuel_Surcharge),2),ROUND(((1-'F Intl Con Plus Base'!$H$117)*'F Intl Con Plus Base'!H102)*(1+International_Fuel_Surcharge),2)))*(1+FedEx_Markup),2)</f>
        <v>248.71</v>
      </c>
      <c r="I105" s="295">
        <f>ROUND((IF('F Intl Con Plus Base'!$I$120&gt;ROUND(((1-'F Intl Con Plus Base'!$I$117)*'F Intl Con Plus Base'!I102),2),ROUND('F Intl Con Plus Base'!$I$120*(1+International_Fuel_Surcharge),2),ROUND(((1-'F Intl Con Plus Base'!$I$117)*'F Intl Con Plus Base'!I102)*(1+International_Fuel_Surcharge),2)))*(1+FedEx_Markup),2)</f>
        <v>263.79</v>
      </c>
      <c r="J105" s="295">
        <f>ROUND((IF('F Intl Con Plus Base'!$J$120&gt;ROUND(((1-'F Intl Con Plus Base'!$J$117)*'F Intl Con Plus Base'!J102),2),ROUND('F Intl Con Plus Base'!$J$120*(1+International_Fuel_Surcharge),2),ROUND(((1-'F Intl Con Plus Base'!$J$117)*'F Intl Con Plus Base'!J102)*(1+International_Fuel_Surcharge),2)))*(1+FedEx_Markup),2)</f>
        <v>219.17</v>
      </c>
      <c r="K105" s="295">
        <f>ROUND((IF('F Intl Con Plus Base'!$K$120&gt;ROUND(((1-'F Intl Con Plus Base'!$K$117)*'F Intl Con Plus Base'!K102),2),ROUND('F Intl Con Plus Base'!$K$120*(1+International_Fuel_Surcharge),2),ROUND(((1-'F Intl Con Plus Base'!$K$117)*'F Intl Con Plus Base'!K102)*(1+International_Fuel_Surcharge),2)))*(1+FedEx_Markup),2)</f>
        <v>321.64</v>
      </c>
      <c r="L105" s="295">
        <f>ROUND((IF('F Intl Con Plus Base'!$L$120&gt;ROUND(((1-'F Intl Con Plus Base'!$L$117)*'F Intl Con Plus Base'!L102),2),ROUND('F Intl Con Plus Base'!$L$120*(1+International_Fuel_Surcharge),2),ROUND(((1-'F Intl Con Plus Base'!$L$117)*'F Intl Con Plus Base'!L102)*(1+International_Fuel_Surcharge),2)))*(1+FedEx_Markup),2)</f>
        <v>308.61</v>
      </c>
      <c r="M105" s="295">
        <f>ROUND((IF('F Intl Con Plus Base'!$M$120&gt;ROUND(((1-'F Intl Con Plus Base'!$M$117)*'F Intl Con Plus Base'!M102),2),ROUND('F Intl Con Plus Base'!$M$120*(1+International_Fuel_Surcharge),2),ROUND(((1-'F Intl Con Plus Base'!$M$117)*'F Intl Con Plus Base'!M102)*(1+International_Fuel_Surcharge),2)))*(1+FedEx_Markup),2)</f>
        <v>408.8</v>
      </c>
      <c r="N105" s="295">
        <f>ROUND((IF('F Intl Con Plus Base'!$N$120&gt;ROUND(((1-'F Intl Con Plus Base'!$N$117)*'F Intl Con Plus Base'!N102),2),ROUND('F Intl Con Plus Base'!$N$120*(1+International_Fuel_Surcharge),2),ROUND(((1-'F Intl Con Plus Base'!$N$117)*'F Intl Con Plus Base'!N102)*(1+International_Fuel_Surcharge),2)))*(1+FedEx_Markup),2)</f>
        <v>439.78</v>
      </c>
      <c r="O105" s="295">
        <f>ROUND((IF('F Intl Con Plus Base'!$O$120&gt;ROUND(((1-'F Intl Con Plus Base'!$O$117)*'F Intl Con Plus Base'!O102),2),ROUND('F Intl Con Plus Base'!$O$120*(1+International_Fuel_Surcharge),2),ROUND(((1-'F Intl Con Plus Base'!$O$117)*'F Intl Con Plus Base'!O102)*(1+International_Fuel_Surcharge),2)))*(1+FedEx_Markup),2)</f>
        <v>259.87</v>
      </c>
      <c r="P105" s="295">
        <f>ROUND((IF('F Intl Con Plus Base'!$P$120&gt;ROUND(((1-'F Intl Con Plus Base'!$P$117)*'F Intl Con Plus Base'!P102),2),ROUND('F Intl Con Plus Base'!$P$120*(1+International_Fuel_Surcharge),2),ROUND(((1-'F Intl Con Plus Base'!$P$117)*'F Intl Con Plus Base'!P102)*(1+International_Fuel_Surcharge),2)))*(1+FedEx_Markup),2)</f>
        <v>337.33</v>
      </c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</row>
    <row r="106" ht="12.75" customHeight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ht="12.75" customHeight="1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ht="12.75" customHeight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ht="12.75" customHeight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ht="12.75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ht="12.75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ht="12.75" customHeight="1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ht="12.75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</row>
    <row r="114" ht="12.75" customHeight="1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</row>
    <row r="115" ht="12.75" customHeigh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ht="12.7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ht="12.7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ht="12.75" customHeight="1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</row>
    <row r="119" ht="12.75" customHeight="1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</row>
    <row r="120" ht="12.75" customHeight="1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</row>
    <row r="121" ht="12.7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</row>
    <row r="122" ht="12.75" customHeight="1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</row>
    <row r="123" ht="12.7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</row>
    <row r="124" ht="12.75" customHeight="1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ht="12.7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ht="12.75" customHeight="1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</row>
    <row r="127" ht="12.75" customHeight="1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</row>
    <row r="128" ht="12.75" customHeight="1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</row>
    <row r="129" ht="12.75" customHeight="1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</row>
    <row r="130" ht="12.75" customHeight="1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</row>
    <row r="131" ht="12.75" customHeight="1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</row>
    <row r="132" ht="12.75" customHeight="1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</row>
    <row r="133" ht="12.75" customHeight="1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</row>
    <row r="134" ht="12.75" customHeigh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</row>
    <row r="135" ht="12.75" customHeight="1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</row>
    <row r="136" ht="12.75" customHeight="1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</row>
    <row r="137" ht="12.75" customHeight="1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</row>
    <row r="138" ht="12.75" customHeight="1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</row>
    <row r="139" ht="12.75" customHeight="1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</row>
    <row r="140" ht="12.75" customHeight="1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</row>
    <row r="141" ht="12.75" customHeight="1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</row>
    <row r="142" ht="12.75" customHeight="1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</row>
    <row r="143" ht="12.75" customHeight="1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</row>
    <row r="144" ht="12.75" customHeigh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</row>
    <row r="145" ht="12.75" customHeight="1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</row>
    <row r="146" ht="12.75" customHeight="1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</row>
    <row r="147" ht="12.75" customHeight="1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</row>
    <row r="148" ht="12.75" customHeight="1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</row>
    <row r="149" ht="12.75" customHeight="1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</row>
    <row r="150" ht="12.7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</row>
    <row r="151" ht="12.75" customHeight="1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</row>
    <row r="152" ht="12.7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</row>
    <row r="153" ht="12.75" customHeight="1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</row>
    <row r="154" ht="12.75" customHeight="1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</row>
    <row r="155" ht="12.75" customHeight="1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</row>
    <row r="156" ht="12.75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</row>
    <row r="157" ht="12.75" customHeight="1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</row>
    <row r="158" ht="12.75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</row>
    <row r="159" ht="12.75" customHeight="1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</row>
    <row r="160" ht="12.75" customHeigh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</row>
    <row r="161" ht="12.75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</row>
    <row r="162" ht="12.75" customHeight="1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</row>
    <row r="163" ht="12.75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</row>
    <row r="164" ht="12.75" customHeight="1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</row>
    <row r="165" ht="12.75" customHeight="1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</row>
    <row r="166" ht="12.75" customHeight="1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</row>
    <row r="167" ht="12.75" customHeight="1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</row>
    <row r="168" ht="12.75" customHeight="1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</row>
    <row r="169" ht="12.75" customHeight="1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</row>
    <row r="170" ht="12.7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</row>
    <row r="171" ht="12.75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</row>
    <row r="172" ht="12.75" customHeight="1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</row>
    <row r="173" ht="12.75" customHeight="1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</row>
    <row r="174" ht="12.75" customHeight="1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</row>
    <row r="175" ht="12.7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</row>
    <row r="176" ht="12.75" customHeight="1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</row>
    <row r="177" ht="12.7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</row>
    <row r="178" ht="12.75" customHeigh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</row>
    <row r="179" ht="12.75" customHeight="1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</row>
    <row r="180" ht="12.75" customHeight="1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</row>
    <row r="181" ht="12.75" customHeight="1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</row>
    <row r="182" ht="12.75" customHeight="1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</row>
    <row r="183" ht="12.7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</row>
    <row r="184" ht="12.75" customHeight="1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</row>
    <row r="185" ht="12.75" customHeight="1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</row>
    <row r="186" ht="12.75" customHeight="1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</row>
    <row r="187" ht="12.75" customHeight="1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</row>
    <row r="188" ht="12.7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</row>
    <row r="189" ht="12.75" customHeight="1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</row>
    <row r="190" ht="12.75" customHeight="1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</row>
    <row r="191" ht="12.75" customHeight="1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</row>
    <row r="192" ht="12.7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</row>
    <row r="193" ht="12.75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</row>
    <row r="194" ht="12.75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</row>
    <row r="195" ht="12.7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</row>
    <row r="196" ht="12.7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</row>
    <row r="197" ht="12.7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</row>
    <row r="198" ht="12.7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</row>
    <row r="199" ht="12.75" customHeight="1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</row>
    <row r="200" ht="12.75" customHeight="1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</row>
    <row r="201" ht="12.75" customHeight="1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</row>
    <row r="202" ht="12.75" customHeight="1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</row>
    <row r="203" ht="12.75" customHeight="1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</row>
    <row r="204" ht="12.75" customHeight="1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</row>
    <row r="205" ht="12.75" customHeight="1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</row>
    <row r="206" ht="12.75" customHeight="1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</row>
    <row r="207" ht="12.75" customHeight="1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</row>
    <row r="208" ht="12.7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</row>
    <row r="209" ht="12.75" customHeight="1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</row>
    <row r="210" ht="12.75" customHeight="1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</row>
    <row r="211" ht="12.75" customHeight="1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</row>
    <row r="212" ht="12.75" customHeight="1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</row>
    <row r="213" ht="12.75" customHeight="1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</row>
    <row r="214" ht="12.75" customHeight="1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</row>
    <row r="215" ht="12.75" customHeight="1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</row>
    <row r="216" ht="12.75" customHeight="1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</row>
    <row r="217" ht="12.75" customHeight="1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</row>
    <row r="218" ht="12.75" customHeight="1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</row>
    <row r="219" ht="12.75" customHeight="1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</row>
    <row r="220" ht="12.75" customHeight="1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</row>
    <row r="221" ht="12.75" customHeight="1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</row>
    <row r="222" ht="12.75" customHeight="1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</row>
    <row r="223" ht="12.75" customHeight="1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</row>
    <row r="224" ht="12.75" customHeight="1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</row>
    <row r="225" ht="12.75" customHeight="1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</row>
    <row r="226" ht="12.75" customHeight="1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</row>
    <row r="227" ht="12.75" customHeight="1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</row>
    <row r="228" ht="12.75" customHeight="1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</row>
    <row r="229" ht="12.75" customHeight="1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</row>
    <row r="230" ht="12.75" customHeight="1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</row>
    <row r="231" ht="12.75" customHeight="1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</row>
    <row r="232" ht="12.75" customHeight="1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</row>
    <row r="233" ht="12.75" customHeight="1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</row>
    <row r="234" ht="12.75" customHeight="1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</row>
    <row r="235" ht="12.75" customHeight="1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</row>
    <row r="236" ht="12.75" customHeight="1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</row>
    <row r="237" ht="12.75" customHeight="1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</row>
    <row r="238" ht="12.75" customHeight="1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</row>
    <row r="239" ht="12.75" customHeight="1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</row>
    <row r="240" ht="12.75" customHeight="1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</row>
    <row r="241" ht="12.75" customHeight="1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</row>
    <row r="242" ht="12.75" customHeight="1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</row>
    <row r="243" ht="12.75" customHeight="1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</row>
    <row r="244" ht="12.75" customHeight="1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</row>
    <row r="245" ht="12.75" customHeight="1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</row>
    <row r="246" ht="12.75" customHeight="1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</row>
    <row r="247" ht="12.75" customHeight="1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</row>
    <row r="248" ht="12.75" customHeight="1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</row>
    <row r="249" ht="12.75" customHeight="1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</row>
    <row r="250" ht="12.75" customHeight="1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</row>
    <row r="251" ht="12.75" customHeight="1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</row>
    <row r="252" ht="12.75" customHeight="1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</row>
    <row r="253" ht="12.75" customHeight="1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</row>
    <row r="254" ht="12.75" customHeight="1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</row>
    <row r="255" ht="12.75" customHeight="1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</row>
    <row r="256" ht="12.75" customHeight="1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</row>
    <row r="257" ht="12.75" customHeight="1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</row>
    <row r="258" ht="12.75" customHeight="1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</row>
    <row r="259" ht="12.75" customHeight="1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</row>
    <row r="260" ht="12.75" customHeight="1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</row>
    <row r="261" ht="12.75" customHeight="1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</row>
    <row r="262" ht="12.75" customHeight="1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</row>
    <row r="263" ht="12.75" customHeight="1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</row>
    <row r="264" ht="12.75" customHeight="1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</row>
    <row r="265" ht="12.75" customHeight="1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</row>
    <row r="266" ht="12.75" customHeight="1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</row>
    <row r="267" ht="12.75" customHeight="1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</row>
    <row r="268" ht="12.75" customHeight="1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</row>
    <row r="269" ht="12.75" customHeight="1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</row>
    <row r="270" ht="12.75" customHeight="1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</row>
    <row r="271" ht="12.75" customHeight="1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</row>
    <row r="272" ht="12.75" customHeight="1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</row>
    <row r="273" ht="12.75" customHeight="1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</row>
    <row r="274" ht="12.75" customHeight="1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</row>
    <row r="275" ht="12.75" customHeight="1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</row>
    <row r="276" ht="12.75" customHeight="1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</row>
    <row r="277" ht="12.75" customHeight="1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</row>
    <row r="278" ht="12.75" customHeight="1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</row>
    <row r="279" ht="12.75" customHeight="1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</row>
    <row r="280" ht="12.75" customHeight="1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</row>
    <row r="281" ht="12.75" customHeight="1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</row>
    <row r="282" ht="12.75" customHeight="1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</row>
    <row r="283" ht="12.75" customHeight="1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</row>
    <row r="284" ht="12.75" customHeight="1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</row>
    <row r="285" ht="12.75" customHeight="1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</row>
    <row r="286" ht="12.75" customHeight="1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</row>
    <row r="287" ht="12.75" customHeight="1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</row>
    <row r="288" ht="12.75" customHeight="1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</row>
    <row r="289" ht="12.75" customHeight="1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</row>
    <row r="290" ht="12.75" customHeight="1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</row>
    <row r="291" ht="12.75" customHeight="1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</row>
    <row r="292" ht="12.75" customHeight="1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</row>
    <row r="293" ht="12.75" customHeight="1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</row>
    <row r="294" ht="12.75" customHeight="1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</row>
    <row r="295" ht="12.75" customHeight="1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</row>
    <row r="296" ht="12.75" customHeight="1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</row>
    <row r="297" ht="12.75" customHeight="1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</row>
    <row r="298" ht="12.75" customHeight="1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</row>
    <row r="299" ht="12.75" customHeight="1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</row>
    <row r="300" ht="12.75" customHeight="1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</row>
    <row r="301" ht="12.75" customHeight="1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</row>
    <row r="302" ht="12.75" customHeight="1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</row>
    <row r="303" ht="12.75" customHeight="1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</row>
    <row r="304" ht="12.75" customHeight="1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</row>
    <row r="305" ht="12.75" customHeight="1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</row>
    <row r="306" ht="12.75" customHeight="1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</row>
    <row r="307" ht="12.75" customHeight="1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</row>
    <row r="308" ht="12.75" customHeight="1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</row>
    <row r="309" ht="12.75" customHeight="1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</row>
    <row r="310" ht="12.75" customHeight="1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</row>
    <row r="311" ht="12.75" customHeight="1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</row>
    <row r="312" ht="12.75" customHeight="1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</row>
    <row r="313" ht="12.75" customHeight="1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</row>
    <row r="314" ht="12.75" customHeight="1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</row>
    <row r="315" ht="12.75" customHeight="1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</row>
    <row r="316" ht="12.75" customHeight="1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</row>
    <row r="317" ht="12.75" customHeight="1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</row>
    <row r="318" ht="12.75" customHeight="1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</row>
    <row r="319" ht="12.75" customHeight="1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</row>
    <row r="320" ht="12.75" customHeight="1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</row>
    <row r="321" ht="12.75" customHeight="1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</row>
    <row r="322" ht="12.75" customHeight="1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</row>
    <row r="323" ht="12.75" customHeight="1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</row>
    <row r="324" ht="12.75" customHeight="1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</row>
    <row r="325" ht="12.75" customHeight="1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</row>
    <row r="326" ht="12.75" customHeight="1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</row>
    <row r="327" ht="12.75" customHeight="1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</row>
    <row r="328" ht="12.75" customHeight="1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</row>
    <row r="329" ht="12.75" customHeight="1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</row>
    <row r="330" ht="12.75" customHeight="1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</row>
    <row r="331" ht="12.75" customHeight="1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</row>
    <row r="332" ht="12.75" customHeight="1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</row>
    <row r="333" ht="12.75" customHeight="1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</row>
    <row r="334" ht="12.75" customHeight="1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</row>
    <row r="335" ht="12.75" customHeight="1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</row>
    <row r="336" ht="12.75" customHeight="1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</row>
    <row r="337" ht="12.75" customHeight="1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</row>
    <row r="338" ht="12.75" customHeight="1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</row>
    <row r="339" ht="12.75" customHeight="1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</row>
    <row r="340" ht="12.75" customHeight="1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</row>
    <row r="341" ht="12.75" customHeight="1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</row>
    <row r="342" ht="12.75" customHeight="1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</row>
    <row r="343" ht="12.75" customHeight="1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</row>
    <row r="344" ht="12.75" customHeight="1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</row>
    <row r="345" ht="12.75" customHeight="1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</row>
    <row r="346" ht="12.75" customHeight="1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</row>
    <row r="347" ht="12.75" customHeight="1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</row>
    <row r="348" ht="12.75" customHeight="1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</row>
    <row r="349" ht="12.75" customHeight="1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</row>
    <row r="350" ht="12.75" customHeight="1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</row>
    <row r="351" ht="12.75" customHeight="1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</row>
    <row r="352" ht="12.75" customHeight="1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</row>
    <row r="353" ht="12.75" customHeight="1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</row>
    <row r="354" ht="12.75" customHeight="1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</row>
    <row r="355" ht="12.75" customHeight="1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</row>
    <row r="356" ht="12.75" customHeight="1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</row>
    <row r="357" ht="12.75" customHeight="1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</row>
    <row r="358" ht="12.75" customHeight="1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</row>
    <row r="359" ht="12.75" customHeight="1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</row>
    <row r="360" ht="12.75" customHeight="1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</row>
    <row r="361" ht="12.75" customHeight="1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</row>
    <row r="362" ht="12.75" customHeight="1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</row>
    <row r="363" ht="12.75" customHeight="1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</row>
    <row r="364" ht="12.75" customHeight="1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</row>
    <row r="365" ht="12.75" customHeight="1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</row>
    <row r="366" ht="12.75" customHeight="1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</row>
    <row r="367" ht="12.75" customHeight="1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</row>
    <row r="368" ht="12.75" customHeight="1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</row>
    <row r="369" ht="12.75" customHeight="1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</row>
    <row r="370" ht="12.75" customHeight="1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</row>
    <row r="371" ht="12.75" customHeight="1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</row>
    <row r="372" ht="12.75" customHeight="1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</row>
    <row r="373" ht="12.75" customHeight="1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</row>
    <row r="374" ht="12.75" customHeight="1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</row>
    <row r="375" ht="12.75" customHeight="1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</row>
    <row r="376" ht="12.75" customHeight="1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</row>
    <row r="377" ht="12.75" customHeight="1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</row>
    <row r="378" ht="12.75" customHeight="1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</row>
    <row r="379" ht="12.75" customHeight="1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</row>
    <row r="380" ht="12.75" customHeight="1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</row>
    <row r="381" ht="12.75" customHeight="1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</row>
    <row r="382" ht="12.75" customHeight="1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</row>
    <row r="383" ht="12.75" customHeight="1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</row>
    <row r="384" ht="12.75" customHeight="1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</row>
    <row r="385" ht="12.75" customHeight="1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</row>
    <row r="386" ht="12.75" customHeight="1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</row>
    <row r="387" ht="12.75" customHeight="1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</row>
    <row r="388" ht="12.75" customHeight="1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</row>
    <row r="389" ht="12.75" customHeight="1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</row>
    <row r="390" ht="12.75" customHeight="1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</row>
    <row r="391" ht="12.75" customHeight="1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</row>
    <row r="392" ht="12.75" customHeight="1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</row>
    <row r="393" ht="12.75" customHeight="1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</row>
    <row r="394" ht="12.75" customHeight="1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</row>
    <row r="395" ht="12.75" customHeight="1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</row>
    <row r="396" ht="12.75" customHeight="1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</row>
    <row r="397" ht="12.75" customHeight="1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</row>
    <row r="398" ht="12.75" customHeight="1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</row>
    <row r="399" ht="12.75" customHeight="1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</row>
    <row r="400" ht="12.75" customHeight="1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</row>
    <row r="401" ht="12.75" customHeight="1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</row>
    <row r="402" ht="12.75" customHeight="1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</row>
    <row r="403" ht="12.75" customHeight="1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</row>
    <row r="404" ht="12.75" customHeight="1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</row>
    <row r="405" ht="12.75" customHeight="1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</row>
    <row r="406" ht="12.75" customHeight="1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</row>
    <row r="407" ht="12.75" customHeight="1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</row>
    <row r="408" ht="12.75" customHeight="1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</row>
    <row r="409" ht="12.75" customHeight="1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</row>
    <row r="410" ht="12.75" customHeight="1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</row>
    <row r="411" ht="12.75" customHeight="1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</row>
    <row r="412" ht="12.75" customHeight="1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</row>
    <row r="413" ht="12.75" customHeight="1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</row>
    <row r="414" ht="12.75" customHeight="1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</row>
    <row r="415" ht="12.75" customHeight="1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</row>
    <row r="416" ht="12.75" customHeight="1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</row>
    <row r="417" ht="12.75" customHeight="1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</row>
    <row r="418" ht="12.75" customHeight="1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</row>
    <row r="419" ht="12.75" customHeight="1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</row>
    <row r="420" ht="12.75" customHeight="1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</row>
    <row r="421" ht="12.75" customHeight="1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</row>
    <row r="422" ht="12.75" customHeight="1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</row>
    <row r="423" ht="12.75" customHeight="1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</row>
    <row r="424" ht="12.75" customHeight="1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</row>
    <row r="425" ht="12.75" customHeight="1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</row>
    <row r="426" ht="12.75" customHeight="1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</row>
    <row r="427" ht="12.75" customHeight="1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</row>
    <row r="428" ht="12.75" customHeight="1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</row>
    <row r="429" ht="12.75" customHeight="1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</row>
    <row r="430" ht="12.75" customHeight="1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</row>
    <row r="431" ht="12.75" customHeight="1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</row>
    <row r="432" ht="12.75" customHeight="1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</row>
    <row r="433" ht="12.75" customHeight="1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</row>
    <row r="434" ht="12.75" customHeight="1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</row>
    <row r="435" ht="12.75" customHeight="1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</row>
    <row r="436" ht="12.75" customHeight="1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</row>
    <row r="437" ht="12.75" customHeight="1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</row>
    <row r="438" ht="12.75" customHeight="1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</row>
    <row r="439" ht="12.75" customHeight="1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</row>
    <row r="440" ht="12.75" customHeight="1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</row>
    <row r="441" ht="12.75" customHeight="1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</row>
    <row r="442" ht="12.75" customHeight="1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</row>
    <row r="443" ht="12.75" customHeight="1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</row>
    <row r="444" ht="12.75" customHeight="1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</row>
    <row r="445" ht="12.75" customHeight="1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</row>
    <row r="446" ht="12.75" customHeight="1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</row>
    <row r="447" ht="12.75" customHeight="1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</row>
    <row r="448" ht="12.75" customHeight="1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</row>
    <row r="449" ht="12.75" customHeight="1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</row>
    <row r="450" ht="12.75" customHeight="1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</row>
    <row r="451" ht="12.75" customHeight="1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</row>
    <row r="452" ht="12.75" customHeight="1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</row>
    <row r="453" ht="12.75" customHeight="1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</row>
    <row r="454" ht="12.75" customHeight="1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</row>
    <row r="455" ht="12.75" customHeight="1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</row>
    <row r="456" ht="12.75" customHeight="1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</row>
    <row r="457" ht="12.75" customHeight="1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</row>
    <row r="458" ht="12.75" customHeight="1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</row>
    <row r="459" ht="12.75" customHeight="1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</row>
    <row r="460" ht="12.75" customHeight="1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</row>
    <row r="461" ht="12.75" customHeight="1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</row>
    <row r="462" ht="12.75" customHeight="1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</row>
    <row r="463" ht="12.75" customHeight="1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</row>
    <row r="464" ht="12.75" customHeight="1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</row>
    <row r="465" ht="12.75" customHeight="1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</row>
    <row r="466" ht="12.75" customHeight="1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</row>
    <row r="467" ht="12.75" customHeight="1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</row>
    <row r="468" ht="12.75" customHeight="1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</row>
    <row r="469" ht="12.75" customHeight="1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</row>
    <row r="470" ht="12.75" customHeight="1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</row>
    <row r="471" ht="12.75" customHeight="1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</row>
    <row r="472" ht="12.75" customHeight="1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</row>
    <row r="473" ht="12.75" customHeight="1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</row>
    <row r="474" ht="12.75" customHeight="1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</row>
    <row r="475" ht="12.75" customHeight="1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</row>
    <row r="476" ht="12.75" customHeight="1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</row>
    <row r="477" ht="12.75" customHeight="1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</row>
    <row r="478" ht="12.75" customHeight="1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</row>
    <row r="479" ht="12.75" customHeight="1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</row>
    <row r="480" ht="12.75" customHeight="1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</row>
    <row r="481" ht="12.75" customHeight="1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</row>
    <row r="482" ht="12.75" customHeight="1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</row>
    <row r="483" ht="12.75" customHeight="1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</row>
    <row r="484" ht="12.75" customHeight="1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</row>
    <row r="485" ht="12.75" customHeight="1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</row>
    <row r="486" ht="12.75" customHeight="1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</row>
    <row r="487" ht="12.75" customHeight="1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</row>
    <row r="488" ht="12.75" customHeight="1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</row>
    <row r="489" ht="12.75" customHeight="1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</row>
    <row r="490" ht="12.75" customHeight="1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</row>
    <row r="491" ht="12.75" customHeight="1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</row>
    <row r="492" ht="12.75" customHeight="1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</row>
    <row r="493" ht="12.75" customHeight="1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</row>
    <row r="494" ht="12.75" customHeight="1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</row>
    <row r="495" ht="12.75" customHeight="1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</row>
    <row r="496" ht="12.75" customHeight="1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</row>
    <row r="497" ht="12.75" customHeight="1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</row>
    <row r="498" ht="12.75" customHeight="1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</row>
    <row r="499" ht="12.75" customHeight="1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</row>
    <row r="500" ht="12.75" customHeight="1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</row>
    <row r="501" ht="12.75" customHeight="1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</row>
    <row r="502" ht="12.75" customHeight="1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</row>
    <row r="503" ht="12.75" customHeight="1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</row>
    <row r="504" ht="12.75" customHeight="1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</row>
    <row r="505" ht="12.75" customHeight="1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</row>
    <row r="506" ht="12.75" customHeight="1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</row>
    <row r="507" ht="12.75" customHeight="1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</row>
    <row r="508" ht="12.75" customHeight="1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</row>
    <row r="509" ht="12.75" customHeight="1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</row>
    <row r="510" ht="12.75" customHeight="1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</row>
    <row r="511" ht="12.75" customHeight="1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</row>
    <row r="512" ht="12.75" customHeight="1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</row>
    <row r="513" ht="12.75" customHeight="1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</row>
    <row r="514" ht="12.75" customHeight="1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</row>
    <row r="515" ht="12.75" customHeight="1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</row>
    <row r="516" ht="12.75" customHeight="1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</row>
    <row r="517" ht="12.75" customHeight="1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</row>
    <row r="518" ht="12.75" customHeight="1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</row>
    <row r="519" ht="12.75" customHeight="1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</row>
    <row r="520" ht="12.75" customHeight="1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</row>
    <row r="521" ht="12.75" customHeight="1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</row>
    <row r="522" ht="12.75" customHeight="1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</row>
    <row r="523" ht="12.75" customHeight="1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</row>
    <row r="524" ht="12.75" customHeight="1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</row>
    <row r="525" ht="12.75" customHeight="1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</row>
    <row r="526" ht="12.75" customHeight="1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</row>
    <row r="527" ht="12.75" customHeight="1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</row>
    <row r="528" ht="12.75" customHeight="1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</row>
    <row r="529" ht="12.75" customHeight="1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</row>
    <row r="530" ht="12.75" customHeight="1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</row>
    <row r="531" ht="12.75" customHeight="1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</row>
    <row r="532" ht="12.75" customHeight="1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</row>
    <row r="533" ht="12.75" customHeight="1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</row>
    <row r="534" ht="12.75" customHeight="1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</row>
    <row r="535" ht="12.75" customHeight="1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</row>
    <row r="536" ht="12.75" customHeight="1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</row>
    <row r="537" ht="12.75" customHeight="1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</row>
    <row r="538" ht="12.75" customHeight="1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</row>
    <row r="539" ht="12.75" customHeight="1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</row>
    <row r="540" ht="12.75" customHeight="1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</row>
    <row r="541" ht="12.75" customHeight="1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</row>
    <row r="542" ht="12.75" customHeight="1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</row>
    <row r="543" ht="12.75" customHeight="1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</row>
    <row r="544" ht="12.75" customHeight="1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</row>
    <row r="545" ht="12.75" customHeight="1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</row>
    <row r="546" ht="12.75" customHeight="1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</row>
    <row r="547" ht="12.75" customHeight="1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</row>
    <row r="548" ht="12.75" customHeight="1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</row>
    <row r="549" ht="12.75" customHeight="1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</row>
    <row r="550" ht="12.75" customHeight="1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</row>
    <row r="551" ht="12.75" customHeight="1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</row>
    <row r="552" ht="12.75" customHeight="1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</row>
    <row r="553" ht="12.75" customHeight="1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</row>
    <row r="554" ht="12.75" customHeight="1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</row>
    <row r="555" ht="12.75" customHeight="1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</row>
    <row r="556" ht="12.75" customHeight="1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</row>
    <row r="557" ht="12.75" customHeight="1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</row>
    <row r="558" ht="12.75" customHeight="1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</row>
    <row r="559" ht="12.75" customHeight="1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</row>
    <row r="560" ht="12.75" customHeight="1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</row>
    <row r="561" ht="12.75" customHeight="1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</row>
    <row r="562" ht="12.75" customHeight="1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</row>
    <row r="563" ht="12.75" customHeight="1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</row>
    <row r="564" ht="12.75" customHeight="1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</row>
    <row r="565" ht="12.75" customHeight="1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</row>
    <row r="566" ht="12.75" customHeight="1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</row>
    <row r="567" ht="12.75" customHeight="1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</row>
    <row r="568" ht="12.75" customHeight="1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</row>
    <row r="569" ht="12.75" customHeight="1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</row>
    <row r="570" ht="12.75" customHeight="1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</row>
    <row r="571" ht="12.75" customHeight="1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</row>
    <row r="572" ht="12.75" customHeight="1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</row>
    <row r="573" ht="12.75" customHeight="1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</row>
    <row r="574" ht="12.75" customHeight="1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</row>
    <row r="575" ht="12.75" customHeight="1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</row>
    <row r="576" ht="12.75" customHeight="1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</row>
    <row r="577" ht="12.75" customHeight="1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</row>
    <row r="578" ht="12.75" customHeight="1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</row>
    <row r="579" ht="12.75" customHeight="1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</row>
    <row r="580" ht="12.75" customHeight="1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</row>
    <row r="581" ht="12.75" customHeight="1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</row>
    <row r="582" ht="12.75" customHeight="1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</row>
    <row r="583" ht="12.75" customHeight="1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</row>
    <row r="584" ht="12.75" customHeight="1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</row>
    <row r="585" ht="12.75" customHeight="1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</row>
    <row r="586" ht="12.75" customHeight="1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</row>
    <row r="587" ht="12.75" customHeight="1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</row>
    <row r="588" ht="12.75" customHeight="1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</row>
    <row r="589" ht="12.75" customHeight="1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</row>
    <row r="590" ht="12.75" customHeight="1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</row>
    <row r="591" ht="12.75" customHeight="1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</row>
    <row r="592" ht="12.75" customHeight="1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</row>
    <row r="593" ht="12.75" customHeight="1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</row>
    <row r="594" ht="12.75" customHeight="1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</row>
    <row r="595" ht="12.75" customHeight="1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</row>
    <row r="596" ht="12.75" customHeight="1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</row>
    <row r="597" ht="12.75" customHeight="1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</row>
    <row r="598" ht="12.75" customHeight="1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</row>
    <row r="599" ht="12.75" customHeight="1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</row>
    <row r="600" ht="12.75" customHeight="1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</row>
    <row r="601" ht="12.75" customHeight="1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</row>
    <row r="602" ht="12.75" customHeight="1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</row>
    <row r="603" ht="12.75" customHeight="1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</row>
    <row r="604" ht="12.75" customHeight="1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</row>
    <row r="605" ht="12.75" customHeight="1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</row>
    <row r="606" ht="12.75" customHeight="1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</row>
    <row r="607" ht="12.75" customHeight="1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</row>
    <row r="608" ht="12.75" customHeight="1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</row>
    <row r="609" ht="12.75" customHeight="1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</row>
    <row r="610" ht="12.75" customHeight="1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</row>
    <row r="611" ht="12.75" customHeight="1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</row>
    <row r="612" ht="12.75" customHeight="1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</row>
    <row r="613" ht="12.75" customHeight="1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</row>
    <row r="614" ht="12.75" customHeight="1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</row>
    <row r="615" ht="12.75" customHeight="1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</row>
    <row r="616" ht="12.75" customHeight="1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</row>
    <row r="617" ht="12.75" customHeight="1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</row>
    <row r="618" ht="12.75" customHeight="1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</row>
    <row r="619" ht="12.75" customHeight="1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</row>
    <row r="620" ht="12.75" customHeight="1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</row>
    <row r="621" ht="12.75" customHeight="1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</row>
    <row r="622" ht="12.75" customHeight="1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</row>
    <row r="623" ht="12.75" customHeight="1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</row>
    <row r="624" ht="12.75" customHeight="1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</row>
    <row r="625" ht="12.75" customHeight="1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</row>
    <row r="626" ht="12.75" customHeight="1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</row>
    <row r="627" ht="12.75" customHeight="1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</row>
    <row r="628" ht="12.75" customHeight="1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</row>
    <row r="629" ht="12.75" customHeight="1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</row>
    <row r="630" ht="12.75" customHeight="1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</row>
    <row r="631" ht="12.75" customHeight="1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</row>
    <row r="632" ht="12.75" customHeight="1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</row>
    <row r="633" ht="12.75" customHeight="1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</row>
    <row r="634" ht="12.75" customHeight="1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</row>
    <row r="635" ht="12.75" customHeight="1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</row>
    <row r="636" ht="12.75" customHeight="1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</row>
    <row r="637" ht="12.75" customHeight="1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</row>
    <row r="638" ht="12.75" customHeight="1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</row>
    <row r="639" ht="12.75" customHeight="1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</row>
    <row r="640" ht="12.75" customHeight="1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</row>
    <row r="641" ht="12.75" customHeight="1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</row>
    <row r="642" ht="12.75" customHeight="1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</row>
    <row r="643" ht="12.75" customHeight="1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</row>
    <row r="644" ht="12.75" customHeight="1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</row>
    <row r="645" ht="12.75" customHeight="1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</row>
    <row r="646" ht="12.75" customHeight="1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</row>
    <row r="647" ht="12.75" customHeight="1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</row>
    <row r="648" ht="12.75" customHeight="1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</row>
    <row r="649" ht="12.75" customHeight="1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</row>
    <row r="650" ht="12.75" customHeight="1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</row>
    <row r="651" ht="12.75" customHeight="1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</row>
    <row r="652" ht="12.75" customHeight="1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</row>
    <row r="653" ht="12.75" customHeight="1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</row>
    <row r="654" ht="12.75" customHeight="1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</row>
    <row r="655" ht="12.75" customHeight="1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</row>
    <row r="656" ht="12.75" customHeight="1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</row>
    <row r="657" ht="12.75" customHeight="1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</row>
    <row r="658" ht="12.75" customHeight="1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</row>
    <row r="659" ht="12.75" customHeight="1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</row>
    <row r="660" ht="12.75" customHeight="1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</row>
    <row r="661" ht="12.75" customHeight="1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</row>
    <row r="662" ht="12.75" customHeight="1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</row>
    <row r="663" ht="12.75" customHeight="1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</row>
    <row r="664" ht="12.75" customHeight="1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</row>
    <row r="665" ht="12.75" customHeight="1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</row>
    <row r="666" ht="12.75" customHeight="1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</row>
    <row r="667" ht="12.75" customHeight="1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</row>
    <row r="668" ht="12.75" customHeight="1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</row>
    <row r="669" ht="12.75" customHeight="1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</row>
    <row r="670" ht="12.75" customHeight="1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</row>
    <row r="671" ht="12.75" customHeight="1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</row>
    <row r="672" ht="12.75" customHeight="1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</row>
    <row r="673" ht="12.75" customHeight="1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</row>
    <row r="674" ht="12.75" customHeight="1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</row>
    <row r="675" ht="12.75" customHeight="1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</row>
    <row r="676" ht="12.75" customHeight="1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</row>
    <row r="677" ht="12.75" customHeight="1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</row>
    <row r="678" ht="12.75" customHeight="1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</row>
    <row r="679" ht="12.75" customHeight="1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</row>
    <row r="680" ht="12.75" customHeight="1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</row>
    <row r="681" ht="12.75" customHeight="1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</row>
    <row r="682" ht="12.75" customHeight="1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</row>
    <row r="683" ht="12.75" customHeight="1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</row>
    <row r="684" ht="12.75" customHeight="1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</row>
    <row r="685" ht="12.75" customHeight="1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</row>
    <row r="686" ht="12.75" customHeight="1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</row>
    <row r="687" ht="12.75" customHeight="1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</row>
    <row r="688" ht="12.75" customHeight="1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</row>
    <row r="689" ht="12.75" customHeight="1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</row>
    <row r="690" ht="12.75" customHeight="1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</row>
    <row r="691" ht="12.75" customHeight="1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</row>
    <row r="692" ht="12.75" customHeight="1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</row>
    <row r="693" ht="12.75" customHeight="1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</row>
    <row r="694" ht="12.75" customHeight="1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</row>
    <row r="695" ht="12.75" customHeight="1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</row>
    <row r="696" ht="12.75" customHeight="1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</row>
    <row r="697" ht="12.75" customHeight="1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</row>
    <row r="698" ht="12.75" customHeight="1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</row>
    <row r="699" ht="12.75" customHeight="1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</row>
    <row r="700" ht="12.75" customHeight="1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</row>
    <row r="701" ht="12.75" customHeight="1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</row>
    <row r="702" ht="12.75" customHeight="1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</row>
    <row r="703" ht="12.75" customHeight="1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</row>
    <row r="704" ht="12.75" customHeight="1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</row>
    <row r="705" ht="12.75" customHeight="1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</row>
    <row r="706" ht="12.75" customHeight="1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</row>
    <row r="707" ht="12.75" customHeight="1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</row>
    <row r="708" ht="12.75" customHeight="1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</row>
    <row r="709" ht="12.75" customHeight="1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</row>
    <row r="710" ht="12.75" customHeight="1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</row>
    <row r="711" ht="12.75" customHeight="1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</row>
    <row r="712" ht="12.75" customHeight="1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</row>
    <row r="713" ht="12.75" customHeight="1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</row>
    <row r="714" ht="12.75" customHeight="1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</row>
    <row r="715" ht="12.75" customHeight="1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</row>
    <row r="716" ht="12.75" customHeight="1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</row>
    <row r="717" ht="12.75" customHeight="1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</row>
    <row r="718" ht="12.75" customHeight="1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</row>
    <row r="719" ht="12.75" customHeight="1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</row>
    <row r="720" ht="12.75" customHeight="1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</row>
    <row r="721" ht="12.75" customHeight="1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</row>
    <row r="722" ht="12.75" customHeight="1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</row>
    <row r="723" ht="12.75" customHeight="1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</row>
    <row r="724" ht="12.75" customHeight="1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</row>
    <row r="725" ht="12.75" customHeight="1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</row>
    <row r="726" ht="12.75" customHeight="1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</row>
    <row r="727" ht="12.75" customHeight="1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</row>
    <row r="728" ht="12.75" customHeight="1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</row>
    <row r="729" ht="12.75" customHeight="1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</row>
    <row r="730" ht="12.75" customHeight="1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</row>
    <row r="731" ht="12.75" customHeight="1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</row>
    <row r="732" ht="12.75" customHeight="1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</row>
    <row r="733" ht="12.75" customHeight="1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</row>
    <row r="734" ht="12.75" customHeight="1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</row>
    <row r="735" ht="12.75" customHeight="1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</row>
    <row r="736" ht="12.75" customHeight="1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</row>
    <row r="737" ht="12.75" customHeight="1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</row>
    <row r="738" ht="12.75" customHeight="1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</row>
    <row r="739" ht="12.75" customHeight="1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</row>
    <row r="740" ht="12.75" customHeight="1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</row>
    <row r="741" ht="12.75" customHeight="1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</row>
    <row r="742" ht="12.75" customHeight="1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</row>
    <row r="743" ht="12.75" customHeight="1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</row>
    <row r="744" ht="12.75" customHeight="1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</row>
    <row r="745" ht="12.75" customHeight="1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</row>
    <row r="746" ht="12.75" customHeight="1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</row>
    <row r="747" ht="12.75" customHeight="1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</row>
    <row r="748" ht="12.75" customHeight="1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</row>
    <row r="749" ht="12.75" customHeight="1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</row>
    <row r="750" ht="12.75" customHeight="1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</row>
    <row r="751" ht="12.75" customHeight="1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</row>
    <row r="752" ht="12.75" customHeight="1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</row>
    <row r="753" ht="12.75" customHeight="1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</row>
    <row r="754" ht="12.75" customHeight="1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</row>
    <row r="755" ht="12.75" customHeight="1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</row>
    <row r="756" ht="12.75" customHeight="1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</row>
    <row r="757" ht="12.75" customHeight="1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</row>
    <row r="758" ht="12.75" customHeight="1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</row>
    <row r="759" ht="12.75" customHeight="1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</row>
    <row r="760" ht="12.75" customHeight="1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</row>
    <row r="761" ht="12.75" customHeight="1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</row>
    <row r="762" ht="12.75" customHeight="1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</row>
    <row r="763" ht="12.75" customHeight="1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</row>
    <row r="764" ht="12.75" customHeight="1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</row>
    <row r="765" ht="12.75" customHeight="1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</row>
    <row r="766" ht="12.75" customHeight="1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</row>
    <row r="767" ht="12.75" customHeight="1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</row>
    <row r="768" ht="12.75" customHeight="1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</row>
    <row r="769" ht="12.75" customHeight="1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</row>
    <row r="770" ht="12.75" customHeight="1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</row>
    <row r="771" ht="12.75" customHeight="1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</row>
    <row r="772" ht="12.75" customHeight="1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</row>
    <row r="773" ht="12.75" customHeight="1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</row>
    <row r="774" ht="12.75" customHeight="1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</row>
    <row r="775" ht="12.75" customHeight="1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</row>
    <row r="776" ht="12.75" customHeight="1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</row>
    <row r="777" ht="12.75" customHeight="1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</row>
    <row r="778" ht="12.75" customHeight="1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</row>
    <row r="779" ht="12.75" customHeight="1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</row>
    <row r="780" ht="12.75" customHeight="1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</row>
    <row r="781" ht="12.75" customHeight="1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</row>
    <row r="782" ht="12.75" customHeight="1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</row>
    <row r="783" ht="12.75" customHeight="1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</row>
    <row r="784" ht="12.75" customHeight="1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</row>
    <row r="785" ht="12.75" customHeight="1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</row>
    <row r="786" ht="12.75" customHeight="1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</row>
    <row r="787" ht="12.75" customHeight="1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</row>
    <row r="788" ht="12.75" customHeight="1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</row>
    <row r="789" ht="12.75" customHeight="1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</row>
    <row r="790" ht="12.75" customHeight="1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</row>
    <row r="791" ht="12.75" customHeight="1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</row>
    <row r="792" ht="12.75" customHeight="1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</row>
    <row r="793" ht="12.75" customHeight="1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</row>
    <row r="794" ht="12.75" customHeight="1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</row>
    <row r="795" ht="12.75" customHeight="1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</row>
    <row r="796" ht="12.75" customHeight="1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</row>
    <row r="797" ht="12.75" customHeight="1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</row>
    <row r="798" ht="12.75" customHeight="1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</row>
    <row r="799" ht="12.75" customHeight="1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</row>
    <row r="800" ht="12.75" customHeight="1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</row>
    <row r="801" ht="12.75" customHeight="1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</row>
    <row r="802" ht="12.75" customHeight="1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</row>
    <row r="803" ht="12.75" customHeight="1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</row>
    <row r="804" ht="12.75" customHeight="1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</row>
    <row r="805" ht="12.75" customHeight="1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</row>
    <row r="806" ht="12.75" customHeight="1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</row>
    <row r="807" ht="12.75" customHeight="1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</row>
    <row r="808" ht="12.75" customHeight="1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</row>
    <row r="809" ht="12.75" customHeight="1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</row>
    <row r="810" ht="12.75" customHeight="1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</row>
    <row r="811" ht="12.75" customHeight="1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</row>
    <row r="812" ht="12.75" customHeight="1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</row>
    <row r="813" ht="12.75" customHeight="1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</row>
    <row r="814" ht="12.75" customHeight="1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</row>
    <row r="815" ht="12.75" customHeight="1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</row>
    <row r="816" ht="12.75" customHeight="1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</row>
    <row r="817" ht="12.75" customHeight="1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</row>
    <row r="818" ht="12.75" customHeight="1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</row>
    <row r="819" ht="12.75" customHeight="1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</row>
    <row r="820" ht="12.75" customHeight="1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</row>
    <row r="821" ht="12.75" customHeight="1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</row>
    <row r="822" ht="12.75" customHeight="1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</row>
    <row r="823" ht="12.75" customHeight="1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</row>
    <row r="824" ht="12.75" customHeight="1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</row>
    <row r="825" ht="12.75" customHeight="1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</row>
    <row r="826" ht="12.75" customHeight="1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</row>
    <row r="827" ht="12.75" customHeight="1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</row>
    <row r="828" ht="12.75" customHeight="1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</row>
    <row r="829" ht="12.75" customHeight="1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</row>
    <row r="830" ht="12.75" customHeight="1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</row>
    <row r="831" ht="12.75" customHeight="1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</row>
    <row r="832" ht="12.75" customHeight="1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</row>
    <row r="833" ht="12.75" customHeight="1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</row>
    <row r="834" ht="12.75" customHeight="1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</row>
    <row r="835" ht="12.75" customHeight="1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</row>
    <row r="836" ht="12.75" customHeight="1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</row>
    <row r="837" ht="12.75" customHeight="1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</row>
    <row r="838" ht="12.75" customHeight="1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</row>
    <row r="839" ht="12.75" customHeight="1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</row>
    <row r="840" ht="12.75" customHeight="1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</row>
    <row r="841" ht="12.75" customHeight="1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</row>
    <row r="842" ht="12.75" customHeight="1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</row>
    <row r="843" ht="12.75" customHeight="1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</row>
    <row r="844" ht="12.75" customHeight="1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</row>
    <row r="845" ht="12.75" customHeight="1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</row>
    <row r="846" ht="12.75" customHeight="1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</row>
    <row r="847" ht="12.75" customHeight="1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</row>
    <row r="848" ht="12.75" customHeight="1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</row>
    <row r="849" ht="12.75" customHeight="1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</row>
    <row r="850" ht="12.75" customHeight="1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</row>
    <row r="851" ht="12.75" customHeight="1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</row>
    <row r="852" ht="12.75" customHeight="1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</row>
    <row r="853" ht="12.75" customHeight="1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</row>
    <row r="854" ht="12.75" customHeight="1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</row>
    <row r="855" ht="12.75" customHeight="1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</row>
    <row r="856" ht="12.75" customHeight="1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</row>
    <row r="857" ht="12.75" customHeight="1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</row>
    <row r="858" ht="12.75" customHeight="1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</row>
    <row r="859" ht="12.75" customHeight="1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</row>
    <row r="860" ht="12.75" customHeight="1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</row>
    <row r="861" ht="12.75" customHeight="1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</row>
    <row r="862" ht="12.75" customHeight="1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</row>
    <row r="863" ht="12.75" customHeight="1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</row>
    <row r="864" ht="12.75" customHeight="1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</row>
    <row r="865" ht="12.75" customHeight="1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</row>
    <row r="866" ht="12.75" customHeight="1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</row>
    <row r="867" ht="12.75" customHeight="1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</row>
    <row r="868" ht="12.75" customHeight="1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</row>
    <row r="869" ht="12.75" customHeight="1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</row>
    <row r="870" ht="12.75" customHeight="1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</row>
    <row r="871" ht="12.75" customHeight="1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</row>
    <row r="872" ht="12.75" customHeight="1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</row>
    <row r="873" ht="12.75" customHeight="1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</row>
    <row r="874" ht="12.75" customHeight="1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</row>
    <row r="875" ht="12.75" customHeight="1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</row>
    <row r="876" ht="12.75" customHeight="1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</row>
    <row r="877" ht="12.75" customHeight="1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</row>
    <row r="878" ht="12.75" customHeight="1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</row>
    <row r="879" ht="12.75" customHeight="1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</row>
    <row r="880" ht="12.75" customHeight="1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</row>
    <row r="881" ht="12.75" customHeight="1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</row>
    <row r="882" ht="12.75" customHeight="1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</row>
    <row r="883" ht="12.75" customHeight="1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</row>
    <row r="884" ht="12.75" customHeight="1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</row>
    <row r="885" ht="12.75" customHeight="1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</row>
    <row r="886" ht="12.75" customHeight="1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</row>
    <row r="887" ht="12.75" customHeight="1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</row>
    <row r="888" ht="12.75" customHeight="1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</row>
    <row r="889" ht="12.75" customHeight="1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</row>
    <row r="890" ht="12.75" customHeight="1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</row>
    <row r="891" ht="12.75" customHeight="1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</row>
    <row r="892" ht="12.75" customHeight="1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</row>
    <row r="893" ht="12.75" customHeight="1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</row>
    <row r="894" ht="12.75" customHeight="1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</row>
    <row r="895" ht="12.75" customHeight="1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</row>
    <row r="896" ht="12.75" customHeight="1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</row>
    <row r="897" ht="12.75" customHeight="1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</row>
    <row r="898" ht="12.75" customHeight="1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</row>
    <row r="899" ht="12.75" customHeight="1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</row>
    <row r="900" ht="12.75" customHeight="1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</row>
    <row r="901" ht="12.75" customHeight="1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</row>
    <row r="902" ht="12.75" customHeight="1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</row>
    <row r="903" ht="12.75" customHeight="1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</row>
    <row r="904" ht="12.75" customHeight="1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</row>
    <row r="905" ht="12.75" customHeight="1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</row>
    <row r="906" ht="12.75" customHeight="1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</row>
    <row r="907" ht="12.75" customHeight="1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</row>
    <row r="908" ht="12.75" customHeight="1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</row>
    <row r="909" ht="12.75" customHeight="1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</row>
    <row r="910" ht="12.75" customHeight="1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</row>
    <row r="911" ht="12.75" customHeight="1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</row>
    <row r="912" ht="12.75" customHeight="1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</row>
    <row r="913" ht="12.75" customHeight="1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</row>
    <row r="914" ht="12.75" customHeight="1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</row>
    <row r="915" ht="12.75" customHeight="1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</row>
    <row r="916" ht="12.75" customHeight="1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</row>
    <row r="917" ht="12.75" customHeight="1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</row>
    <row r="918" ht="12.75" customHeight="1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</row>
    <row r="919" ht="12.75" customHeight="1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</row>
    <row r="920" ht="12.75" customHeight="1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</row>
    <row r="921" ht="12.75" customHeight="1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</row>
    <row r="922" ht="12.75" customHeight="1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</row>
    <row r="923" ht="12.75" customHeight="1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</row>
    <row r="924" ht="12.75" customHeight="1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</row>
    <row r="925" ht="12.75" customHeight="1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</row>
    <row r="926" ht="12.75" customHeight="1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</row>
    <row r="927" ht="12.75" customHeight="1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</row>
    <row r="928" ht="12.75" customHeight="1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</row>
    <row r="929" ht="12.75" customHeight="1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</row>
    <row r="930" ht="12.75" customHeight="1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</row>
    <row r="931" ht="12.75" customHeight="1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</row>
    <row r="932" ht="12.75" customHeight="1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</row>
    <row r="933" ht="12.75" customHeight="1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</row>
    <row r="934" ht="12.75" customHeight="1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</row>
    <row r="935" ht="12.75" customHeight="1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</row>
    <row r="936" ht="12.75" customHeight="1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</row>
    <row r="937" ht="12.75" customHeight="1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</row>
    <row r="938" ht="12.75" customHeight="1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</row>
    <row r="939" ht="12.75" customHeight="1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</row>
    <row r="940" ht="12.75" customHeight="1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</row>
    <row r="941" ht="12.75" customHeight="1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</row>
    <row r="942" ht="12.75" customHeight="1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</row>
    <row r="943" ht="12.75" customHeight="1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</row>
    <row r="944" ht="12.75" customHeight="1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</row>
    <row r="945" ht="12.75" customHeight="1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</row>
    <row r="946" ht="12.75" customHeight="1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</row>
    <row r="947" ht="12.75" customHeight="1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</row>
    <row r="948" ht="12.75" customHeight="1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</row>
    <row r="949" ht="12.75" customHeight="1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</row>
    <row r="950" ht="12.75" customHeight="1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</row>
    <row r="951" ht="12.75" customHeight="1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</row>
    <row r="952" ht="12.75" customHeight="1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</row>
    <row r="953" ht="12.75" customHeight="1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</row>
    <row r="954" ht="12.75" customHeight="1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</row>
    <row r="955" ht="12.75" customHeight="1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</row>
    <row r="956" ht="12.75" customHeight="1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</row>
    <row r="957" ht="12.75" customHeight="1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</row>
    <row r="958" ht="12.75" customHeight="1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</row>
    <row r="959" ht="12.75" customHeight="1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</row>
    <row r="960" ht="12.75" customHeight="1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</row>
    <row r="961" ht="12.75" customHeight="1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</row>
    <row r="962" ht="12.75" customHeight="1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</row>
    <row r="963" ht="12.75" customHeight="1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</row>
    <row r="964" ht="12.75" customHeight="1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</row>
    <row r="965" ht="12.75" customHeight="1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</row>
    <row r="966" ht="12.75" customHeight="1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</row>
    <row r="967" ht="12.75" customHeight="1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</row>
    <row r="968" ht="12.75" customHeight="1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</row>
    <row r="969" ht="12.75" customHeight="1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</row>
    <row r="970" ht="12.75" customHeight="1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</row>
    <row r="971" ht="12.75" customHeight="1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</row>
    <row r="972" ht="12.75" customHeight="1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</row>
    <row r="973" ht="12.75" customHeight="1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</row>
    <row r="974" ht="12.75" customHeight="1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</row>
    <row r="975" ht="12.75" customHeight="1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</row>
    <row r="976" ht="12.75" customHeight="1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</row>
    <row r="977" ht="12.75" customHeight="1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</row>
    <row r="978" ht="12.75" customHeight="1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</row>
    <row r="979" ht="12.75" customHeight="1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</row>
    <row r="980" ht="12.75" customHeight="1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</row>
    <row r="981" ht="12.75" customHeight="1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</row>
    <row r="982" ht="12.75" customHeight="1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</row>
    <row r="983" ht="12.75" customHeight="1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</row>
    <row r="984" ht="12.75" customHeight="1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</row>
    <row r="985" ht="12.75" customHeight="1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</row>
    <row r="986" ht="12.75" customHeight="1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</row>
    <row r="987" ht="12.75" customHeight="1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</row>
    <row r="988" ht="12.75" customHeight="1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</row>
    <row r="989" ht="12.75" customHeight="1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</row>
    <row r="990" ht="12.75" customHeight="1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</row>
    <row r="991" ht="12.75" customHeight="1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</row>
    <row r="992" ht="12.75" customHeight="1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  <c r="Z992" s="138"/>
    </row>
    <row r="993" ht="12.75" customHeight="1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  <c r="Z993" s="138"/>
    </row>
    <row r="994" ht="12.75" customHeight="1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  <c r="Z994" s="138"/>
    </row>
    <row r="995" ht="12.75" customHeight="1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</row>
    <row r="996" ht="12.75" customHeight="1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  <c r="Z996" s="138"/>
    </row>
    <row r="997" ht="12.75" customHeight="1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  <c r="Z997" s="138"/>
    </row>
    <row r="998" ht="12.75" customHeight="1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  <c r="Z998" s="138"/>
    </row>
    <row r="999" ht="12.75" customHeight="1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  <c r="Z999" s="138"/>
    </row>
    <row r="1000" ht="12.75" customHeight="1">
      <c r="A1000" s="138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</row>
  </sheetData>
  <conditionalFormatting sqref="A6:P105">
    <cfRule type="expression" dxfId="0" priority="1">
      <formula>MOD(ROW(),2)=0</formula>
    </cfRule>
  </conditionalFormatting>
  <printOptions/>
  <pageMargins bottom="0.57" footer="0.0" header="0.0" left="0.75" right="0.75" top="0.51"/>
  <pageSetup scale="68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F5496"/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2" max="8" width="8.63"/>
    <col customWidth="1" min="9" max="9" width="10.38"/>
    <col customWidth="1" min="10" max="11" width="8.63"/>
    <col customWidth="1" min="12" max="12" width="13.0"/>
    <col customWidth="1" min="13" max="26" width="8.63"/>
  </cols>
  <sheetData>
    <row r="1" ht="12.75" customHeight="1">
      <c r="B1" s="278" t="s">
        <v>118</v>
      </c>
      <c r="L1" s="231" t="s">
        <v>136</v>
      </c>
    </row>
    <row r="2" ht="12.75" customHeight="1">
      <c r="B2" s="279" t="s">
        <v>137</v>
      </c>
    </row>
    <row r="3" ht="12.75" customHeight="1">
      <c r="A3" s="296" t="s">
        <v>1</v>
      </c>
      <c r="B3" s="272" t="s">
        <v>65</v>
      </c>
      <c r="C3" s="272" t="s">
        <v>65</v>
      </c>
      <c r="D3" s="272" t="s">
        <v>65</v>
      </c>
      <c r="E3" s="272" t="s">
        <v>65</v>
      </c>
      <c r="F3" s="272" t="s">
        <v>65</v>
      </c>
      <c r="G3" s="272" t="s">
        <v>65</v>
      </c>
      <c r="H3" s="272" t="s">
        <v>65</v>
      </c>
      <c r="I3" s="272" t="s">
        <v>65</v>
      </c>
      <c r="J3" s="291" t="s">
        <v>66</v>
      </c>
      <c r="L3" s="296" t="s">
        <v>1</v>
      </c>
      <c r="M3" s="272" t="s">
        <v>65</v>
      </c>
      <c r="N3" s="272" t="s">
        <v>65</v>
      </c>
      <c r="O3" s="272" t="s">
        <v>65</v>
      </c>
      <c r="P3" s="272" t="s">
        <v>65</v>
      </c>
      <c r="Q3" s="272" t="s">
        <v>65</v>
      </c>
      <c r="R3" s="272" t="s">
        <v>65</v>
      </c>
      <c r="S3" s="272" t="s">
        <v>65</v>
      </c>
      <c r="T3" s="272" t="s">
        <v>65</v>
      </c>
      <c r="U3" s="291" t="s">
        <v>66</v>
      </c>
    </row>
    <row r="4" ht="12.75" customHeight="1">
      <c r="A4" s="273" t="s">
        <v>138</v>
      </c>
      <c r="B4" s="273">
        <v>1.0</v>
      </c>
      <c r="C4" s="273">
        <v>2.0</v>
      </c>
      <c r="D4" s="273">
        <v>3.0</v>
      </c>
      <c r="E4" s="273">
        <v>4.0</v>
      </c>
      <c r="F4" s="273">
        <v>5.0</v>
      </c>
      <c r="G4" s="273">
        <v>6.0</v>
      </c>
      <c r="H4" s="273">
        <v>7.0</v>
      </c>
      <c r="I4" s="273">
        <v>8.0</v>
      </c>
      <c r="J4" s="273">
        <v>9.0</v>
      </c>
      <c r="L4" s="273" t="s">
        <v>139</v>
      </c>
      <c r="M4" s="273">
        <v>1.0</v>
      </c>
      <c r="N4" s="273">
        <v>2.0</v>
      </c>
      <c r="O4" s="273">
        <v>3.0</v>
      </c>
      <c r="P4" s="273">
        <v>4.0</v>
      </c>
      <c r="Q4" s="273">
        <v>5.0</v>
      </c>
      <c r="R4" s="273">
        <v>6.0</v>
      </c>
      <c r="S4" s="273">
        <v>7.0</v>
      </c>
      <c r="T4" s="273">
        <v>8.0</v>
      </c>
      <c r="U4" s="273">
        <v>9.0</v>
      </c>
    </row>
    <row r="5" ht="12.75" customHeight="1">
      <c r="A5" s="297">
        <v>1.0</v>
      </c>
      <c r="B5" s="298">
        <f>ROUND('USPS Base'!N2*(1+PostalMarkup),2)</f>
        <v>4.5</v>
      </c>
      <c r="C5" s="298">
        <f>ROUND('USPS Base'!O2*(1+PostalMarkup),2)</f>
        <v>4.55</v>
      </c>
      <c r="D5" s="298">
        <f>ROUND('USPS Base'!P2*(1+PostalMarkup),2)</f>
        <v>4.58</v>
      </c>
      <c r="E5" s="298">
        <f>ROUND('USPS Base'!Q2*(1+PostalMarkup),2)</f>
        <v>4.69</v>
      </c>
      <c r="F5" s="298">
        <f>ROUND('USPS Base'!R2*(1+PostalMarkup),2)</f>
        <v>4.76</v>
      </c>
      <c r="G5" s="298">
        <f>ROUND('USPS Base'!S2*(1+PostalMarkup),2)</f>
        <v>4.89</v>
      </c>
      <c r="H5" s="298">
        <f>ROUND('USPS Base'!T2*(1+PostalMarkup),2)</f>
        <v>4.98</v>
      </c>
      <c r="I5" s="298">
        <f>ROUND('USPS Base'!U2*(1+PostalMarkup),2)</f>
        <v>5.19</v>
      </c>
      <c r="J5" s="298">
        <f>ROUND('USPS Base'!V2*(1+PostalMarkup),2)</f>
        <v>5.19</v>
      </c>
      <c r="L5" s="299">
        <v>0.1</v>
      </c>
      <c r="M5" s="298">
        <f>ROUND('USPS Base'!N92*(1+PostalMarkup),2)</f>
        <v>6.73</v>
      </c>
      <c r="N5" s="298">
        <f>ROUND('USPS Base'!O92*(1+PostalMarkup),2)</f>
        <v>6.73</v>
      </c>
      <c r="O5" s="298">
        <f>ROUND('USPS Base'!P92*(1+PostalMarkup),2)</f>
        <v>8.14</v>
      </c>
      <c r="P5" s="298">
        <f>ROUND('USPS Base'!Q92*(1+PostalMarkup),2)</f>
        <v>7.23</v>
      </c>
      <c r="Q5" s="298">
        <f>ROUND('USPS Base'!R92*(1+PostalMarkup),2)</f>
        <v>7.84</v>
      </c>
      <c r="R5" s="298">
        <f>ROUND('USPS Base'!S92*(1+PostalMarkup),2)</f>
        <v>9.58</v>
      </c>
      <c r="S5" s="298">
        <f>ROUND('USPS Base'!T92*(1+PostalMarkup),2)</f>
        <v>8.96</v>
      </c>
      <c r="T5" s="298">
        <f>ROUND('USPS Base'!U92*(1+PostalMarkup),2)</f>
        <v>9.48</v>
      </c>
      <c r="U5" s="298">
        <f>ROUND('USPS Base'!V92*(1+PostalMarkup),2)</f>
        <v>10.13</v>
      </c>
    </row>
    <row r="6" ht="12.75" customHeight="1">
      <c r="A6" s="297">
        <v>2.0</v>
      </c>
      <c r="B6" s="298">
        <f>ROUND('USPS Base'!N3*(1+PostalMarkup),2)</f>
        <v>4.5</v>
      </c>
      <c r="C6" s="298">
        <f>ROUND('USPS Base'!O3*(1+PostalMarkup),2)</f>
        <v>4.55</v>
      </c>
      <c r="D6" s="298">
        <f>ROUND('USPS Base'!P3*(1+PostalMarkup),2)</f>
        <v>4.58</v>
      </c>
      <c r="E6" s="298">
        <f>ROUND('USPS Base'!Q3*(1+PostalMarkup),2)</f>
        <v>4.69</v>
      </c>
      <c r="F6" s="298">
        <f>ROUND('USPS Base'!R3*(1+PostalMarkup),2)</f>
        <v>4.76</v>
      </c>
      <c r="G6" s="298">
        <f>ROUND('USPS Base'!S3*(1+PostalMarkup),2)</f>
        <v>4.89</v>
      </c>
      <c r="H6" s="298">
        <f>ROUND('USPS Base'!T3*(1+PostalMarkup),2)</f>
        <v>4.98</v>
      </c>
      <c r="I6" s="298">
        <f>ROUND('USPS Base'!U3*(1+PostalMarkup),2)</f>
        <v>5.19</v>
      </c>
      <c r="J6" s="298">
        <f>ROUND('USPS Base'!V3*(1+PostalMarkup),2)</f>
        <v>5.19</v>
      </c>
      <c r="L6" s="299">
        <v>0.2</v>
      </c>
      <c r="M6" s="298">
        <f>ROUND('USPS Base'!N93*(1+PostalMarkup),2)</f>
        <v>6.98</v>
      </c>
      <c r="N6" s="298">
        <f>ROUND('USPS Base'!O93*(1+PostalMarkup),2)</f>
        <v>6.98</v>
      </c>
      <c r="O6" s="298">
        <f>ROUND('USPS Base'!P93*(1+PostalMarkup),2)</f>
        <v>8.72</v>
      </c>
      <c r="P6" s="298">
        <f>ROUND('USPS Base'!Q93*(1+PostalMarkup),2)</f>
        <v>7.42</v>
      </c>
      <c r="Q6" s="298">
        <f>ROUND('USPS Base'!R93*(1+PostalMarkup),2)</f>
        <v>8.46</v>
      </c>
      <c r="R6" s="298">
        <f>ROUND('USPS Base'!S93*(1+PostalMarkup),2)</f>
        <v>10.89</v>
      </c>
      <c r="S6" s="298">
        <f>ROUND('USPS Base'!T93*(1+PostalMarkup),2)</f>
        <v>10.1</v>
      </c>
      <c r="T6" s="298">
        <f>ROUND('USPS Base'!U93*(1+PostalMarkup),2)</f>
        <v>10.8</v>
      </c>
      <c r="U6" s="298">
        <f>ROUND('USPS Base'!V93*(1+PostalMarkup),2)</f>
        <v>11.64</v>
      </c>
    </row>
    <row r="7" ht="12.75" customHeight="1">
      <c r="A7" s="297">
        <v>3.0</v>
      </c>
      <c r="B7" s="298">
        <f>ROUND('USPS Base'!N4*(1+PostalMarkup),2)</f>
        <v>4.5</v>
      </c>
      <c r="C7" s="298">
        <f>ROUND('USPS Base'!O4*(1+PostalMarkup),2)</f>
        <v>4.55</v>
      </c>
      <c r="D7" s="298">
        <f>ROUND('USPS Base'!P4*(1+PostalMarkup),2)</f>
        <v>4.58</v>
      </c>
      <c r="E7" s="298">
        <f>ROUND('USPS Base'!Q4*(1+PostalMarkup),2)</f>
        <v>4.69</v>
      </c>
      <c r="F7" s="298">
        <f>ROUND('USPS Base'!R4*(1+PostalMarkup),2)</f>
        <v>4.76</v>
      </c>
      <c r="G7" s="298">
        <f>ROUND('USPS Base'!S4*(1+PostalMarkup),2)</f>
        <v>4.89</v>
      </c>
      <c r="H7" s="298">
        <f>ROUND('USPS Base'!T4*(1+PostalMarkup),2)</f>
        <v>4.98</v>
      </c>
      <c r="I7" s="298">
        <f>ROUND('USPS Base'!U4*(1+PostalMarkup),2)</f>
        <v>5.19</v>
      </c>
      <c r="J7" s="298">
        <f>ROUND('USPS Base'!V4*(1+PostalMarkup),2)</f>
        <v>5.19</v>
      </c>
      <c r="L7" s="299">
        <v>0.3</v>
      </c>
      <c r="M7" s="298">
        <f>ROUND('USPS Base'!N94*(1+PostalMarkup),2)</f>
        <v>7.36</v>
      </c>
      <c r="N7" s="298">
        <f>ROUND('USPS Base'!O94*(1+PostalMarkup),2)</f>
        <v>7.36</v>
      </c>
      <c r="O7" s="298">
        <f>ROUND('USPS Base'!P94*(1+PostalMarkup),2)</f>
        <v>9.45</v>
      </c>
      <c r="P7" s="298">
        <f>ROUND('USPS Base'!Q94*(1+PostalMarkup),2)</f>
        <v>7.97</v>
      </c>
      <c r="Q7" s="298">
        <f>ROUND('USPS Base'!R94*(1+PostalMarkup),2)</f>
        <v>9.48</v>
      </c>
      <c r="R7" s="298">
        <f>ROUND('USPS Base'!S94*(1+PostalMarkup),2)</f>
        <v>12.26</v>
      </c>
      <c r="S7" s="298">
        <f>ROUND('USPS Base'!T94*(1+PostalMarkup),2)</f>
        <v>11.68</v>
      </c>
      <c r="T7" s="298">
        <f>ROUND('USPS Base'!U94*(1+PostalMarkup),2)</f>
        <v>12.73</v>
      </c>
      <c r="U7" s="298">
        <f>ROUND('USPS Base'!V94*(1+PostalMarkup),2)</f>
        <v>13.67</v>
      </c>
    </row>
    <row r="8" ht="12.75" customHeight="1">
      <c r="A8" s="297">
        <v>4.0</v>
      </c>
      <c r="B8" s="298">
        <f>ROUND('USPS Base'!N5*(1+PostalMarkup),2)</f>
        <v>4.5</v>
      </c>
      <c r="C8" s="298">
        <f>ROUND('USPS Base'!O5*(1+PostalMarkup),2)</f>
        <v>4.55</v>
      </c>
      <c r="D8" s="298">
        <f>ROUND('USPS Base'!P5*(1+PostalMarkup),2)</f>
        <v>4.58</v>
      </c>
      <c r="E8" s="298">
        <f>ROUND('USPS Base'!Q5*(1+PostalMarkup),2)</f>
        <v>4.69</v>
      </c>
      <c r="F8" s="298">
        <f>ROUND('USPS Base'!R5*(1+PostalMarkup),2)</f>
        <v>4.76</v>
      </c>
      <c r="G8" s="298">
        <f>ROUND('USPS Base'!S5*(1+PostalMarkup),2)</f>
        <v>4.89</v>
      </c>
      <c r="H8" s="298">
        <f>ROUND('USPS Base'!T5*(1+PostalMarkup),2)</f>
        <v>4.98</v>
      </c>
      <c r="I8" s="298">
        <f>ROUND('USPS Base'!U5*(1+PostalMarkup),2)</f>
        <v>5.19</v>
      </c>
      <c r="J8" s="298">
        <f>ROUND('USPS Base'!V5*(1+PostalMarkup),2)</f>
        <v>5.19</v>
      </c>
      <c r="L8" s="299">
        <v>0.4</v>
      </c>
      <c r="M8" s="298">
        <f>ROUND('USPS Base'!N95*(1+PostalMarkup),2)</f>
        <v>8.06</v>
      </c>
      <c r="N8" s="298">
        <f>ROUND('USPS Base'!O95*(1+PostalMarkup),2)</f>
        <v>8.06</v>
      </c>
      <c r="O8" s="298">
        <f>ROUND('USPS Base'!P95*(1+PostalMarkup),2)</f>
        <v>10.07</v>
      </c>
      <c r="P8" s="298">
        <f>ROUND('USPS Base'!Q95*(1+PostalMarkup),2)</f>
        <v>8.89</v>
      </c>
      <c r="Q8" s="298">
        <f>ROUND('USPS Base'!R95*(1+PostalMarkup),2)</f>
        <v>10.41</v>
      </c>
      <c r="R8" s="298">
        <f>ROUND('USPS Base'!S95*(1+PostalMarkup),2)</f>
        <v>13.17</v>
      </c>
      <c r="S8" s="298">
        <f>ROUND('USPS Base'!T95*(1+PostalMarkup),2)</f>
        <v>13.08</v>
      </c>
      <c r="T8" s="298">
        <f>ROUND('USPS Base'!U95*(1+PostalMarkup),2)</f>
        <v>14.7</v>
      </c>
      <c r="U8" s="298">
        <f>ROUND('USPS Base'!V95*(1+PostalMarkup),2)</f>
        <v>15.31</v>
      </c>
    </row>
    <row r="9" ht="12.75" customHeight="1">
      <c r="A9" s="297">
        <v>5.0</v>
      </c>
      <c r="B9" s="298">
        <f>ROUND('USPS Base'!N6*(1+PostalMarkup),2)</f>
        <v>4.98</v>
      </c>
      <c r="C9" s="298">
        <f>ROUND('USPS Base'!O6*(1+PostalMarkup),2)</f>
        <v>5.07</v>
      </c>
      <c r="D9" s="298">
        <f>ROUND('USPS Base'!P6*(1+PostalMarkup),2)</f>
        <v>5.11</v>
      </c>
      <c r="E9" s="298">
        <f>ROUND('USPS Base'!Q6*(1+PostalMarkup),2)</f>
        <v>5.2</v>
      </c>
      <c r="F9" s="298">
        <f>ROUND('USPS Base'!R6*(1+PostalMarkup),2)</f>
        <v>5.26</v>
      </c>
      <c r="G9" s="298">
        <f>ROUND('USPS Base'!S6*(1+PostalMarkup),2)</f>
        <v>5.31</v>
      </c>
      <c r="H9" s="298">
        <f>ROUND('USPS Base'!T6*(1+PostalMarkup),2)</f>
        <v>5.42</v>
      </c>
      <c r="I9" s="298">
        <f>ROUND('USPS Base'!U6*(1+PostalMarkup),2)</f>
        <v>5.57</v>
      </c>
      <c r="J9" s="298">
        <f>ROUND('USPS Base'!V6*(1+PostalMarkup),2)</f>
        <v>5.57</v>
      </c>
      <c r="L9" s="299">
        <v>0.5</v>
      </c>
      <c r="M9" s="298">
        <f>ROUND('USPS Base'!N96*(1+PostalMarkup),2)</f>
        <v>8.5</v>
      </c>
      <c r="N9" s="298">
        <f>ROUND('USPS Base'!O96*(1+PostalMarkup),2)</f>
        <v>8.5</v>
      </c>
      <c r="O9" s="298">
        <f>ROUND('USPS Base'!P96*(1+PostalMarkup),2)</f>
        <v>10.48</v>
      </c>
      <c r="P9" s="298">
        <f>ROUND('USPS Base'!Q96*(1+PostalMarkup),2)</f>
        <v>9.37</v>
      </c>
      <c r="Q9" s="298">
        <f>ROUND('USPS Base'!R96*(1+PostalMarkup),2)</f>
        <v>11.05</v>
      </c>
      <c r="R9" s="298">
        <f>ROUND('USPS Base'!S96*(1+PostalMarkup),2)</f>
        <v>13.89</v>
      </c>
      <c r="S9" s="298">
        <f>ROUND('USPS Base'!T96*(1+PostalMarkup),2)</f>
        <v>14.03</v>
      </c>
      <c r="T9" s="298">
        <f>ROUND('USPS Base'!U96*(1+PostalMarkup),2)</f>
        <v>15.82</v>
      </c>
      <c r="U9" s="298">
        <f>ROUND('USPS Base'!V96*(1+PostalMarkup),2)</f>
        <v>16.58</v>
      </c>
    </row>
    <row r="10" ht="12.75" customHeight="1">
      <c r="A10" s="297">
        <v>6.0</v>
      </c>
      <c r="B10" s="298">
        <f>ROUND('USPS Base'!N7*(1+PostalMarkup),2)</f>
        <v>4.98</v>
      </c>
      <c r="C10" s="298">
        <f>ROUND('USPS Base'!O7*(1+PostalMarkup),2)</f>
        <v>5.07</v>
      </c>
      <c r="D10" s="298">
        <f>ROUND('USPS Base'!P7*(1+PostalMarkup),2)</f>
        <v>5.11</v>
      </c>
      <c r="E10" s="298">
        <f>ROUND('USPS Base'!Q7*(1+PostalMarkup),2)</f>
        <v>5.2</v>
      </c>
      <c r="F10" s="298">
        <f>ROUND('USPS Base'!R7*(1+PostalMarkup),2)</f>
        <v>5.26</v>
      </c>
      <c r="G10" s="298">
        <f>ROUND('USPS Base'!S7*(1+PostalMarkup),2)</f>
        <v>5.31</v>
      </c>
      <c r="H10" s="298">
        <f>ROUND('USPS Base'!T7*(1+PostalMarkup),2)</f>
        <v>5.42</v>
      </c>
      <c r="I10" s="298">
        <f>ROUND('USPS Base'!U7*(1+PostalMarkup),2)</f>
        <v>5.57</v>
      </c>
      <c r="J10" s="298">
        <f>ROUND('USPS Base'!V7*(1+PostalMarkup),2)</f>
        <v>5.57</v>
      </c>
      <c r="L10" s="299">
        <v>0.6</v>
      </c>
      <c r="M10" s="298">
        <f>ROUND('USPS Base'!N97*(1+PostalMarkup),2)</f>
        <v>8.75</v>
      </c>
      <c r="N10" s="298">
        <f>ROUND('USPS Base'!O97*(1+PostalMarkup),2)</f>
        <v>8.75</v>
      </c>
      <c r="O10" s="298">
        <f>ROUND('USPS Base'!P97*(1+PostalMarkup),2)</f>
        <v>10.82</v>
      </c>
      <c r="P10" s="298">
        <f>ROUND('USPS Base'!Q97*(1+PostalMarkup),2)</f>
        <v>9.74</v>
      </c>
      <c r="Q10" s="298">
        <f>ROUND('USPS Base'!R97*(1+PostalMarkup),2)</f>
        <v>11.7</v>
      </c>
      <c r="R10" s="298">
        <f>ROUND('USPS Base'!S97*(1+PostalMarkup),2)</f>
        <v>14.58</v>
      </c>
      <c r="S10" s="298">
        <f>ROUND('USPS Base'!T97*(1+PostalMarkup),2)</f>
        <v>14.98</v>
      </c>
      <c r="T10" s="298">
        <f>ROUND('USPS Base'!U97*(1+PostalMarkup),2)</f>
        <v>17</v>
      </c>
      <c r="U10" s="298">
        <f>ROUND('USPS Base'!V97*(1+PostalMarkup),2)</f>
        <v>17.77</v>
      </c>
    </row>
    <row r="11" ht="12.75" customHeight="1">
      <c r="A11" s="297">
        <v>7.0</v>
      </c>
      <c r="B11" s="298">
        <f>ROUND('USPS Base'!N8*(1+PostalMarkup),2)</f>
        <v>4.98</v>
      </c>
      <c r="C11" s="298">
        <f>ROUND('USPS Base'!O8*(1+PostalMarkup),2)</f>
        <v>5.07</v>
      </c>
      <c r="D11" s="298">
        <f>ROUND('USPS Base'!P8*(1+PostalMarkup),2)</f>
        <v>5.11</v>
      </c>
      <c r="E11" s="298">
        <f>ROUND('USPS Base'!Q8*(1+PostalMarkup),2)</f>
        <v>5.2</v>
      </c>
      <c r="F11" s="298">
        <f>ROUND('USPS Base'!R8*(1+PostalMarkup),2)</f>
        <v>5.26</v>
      </c>
      <c r="G11" s="298">
        <f>ROUND('USPS Base'!S8*(1+PostalMarkup),2)</f>
        <v>5.31</v>
      </c>
      <c r="H11" s="298">
        <f>ROUND('USPS Base'!T8*(1+PostalMarkup),2)</f>
        <v>5.42</v>
      </c>
      <c r="I11" s="298">
        <f>ROUND('USPS Base'!U8*(1+PostalMarkup),2)</f>
        <v>5.57</v>
      </c>
      <c r="J11" s="298">
        <f>ROUND('USPS Base'!V8*(1+PostalMarkup),2)</f>
        <v>5.57</v>
      </c>
      <c r="L11" s="299">
        <v>0.7</v>
      </c>
      <c r="M11" s="298">
        <f>ROUND('USPS Base'!N98*(1+PostalMarkup),2)</f>
        <v>8.91</v>
      </c>
      <c r="N11" s="298">
        <f>ROUND('USPS Base'!O98*(1+PostalMarkup),2)</f>
        <v>8.91</v>
      </c>
      <c r="O11" s="298">
        <f>ROUND('USPS Base'!P98*(1+PostalMarkup),2)</f>
        <v>11.26</v>
      </c>
      <c r="P11" s="298">
        <f>ROUND('USPS Base'!Q98*(1+PostalMarkup),2)</f>
        <v>10.27</v>
      </c>
      <c r="Q11" s="298">
        <f>ROUND('USPS Base'!R98*(1+PostalMarkup),2)</f>
        <v>12.35</v>
      </c>
      <c r="R11" s="298">
        <f>ROUND('USPS Base'!S98*(1+PostalMarkup),2)</f>
        <v>15.35</v>
      </c>
      <c r="S11" s="298">
        <f>ROUND('USPS Base'!T98*(1+PostalMarkup),2)</f>
        <v>16.02</v>
      </c>
      <c r="T11" s="298">
        <f>ROUND('USPS Base'!U98*(1+PostalMarkup),2)</f>
        <v>17.95</v>
      </c>
      <c r="U11" s="298">
        <f>ROUND('USPS Base'!V98*(1+PostalMarkup),2)</f>
        <v>19.03</v>
      </c>
    </row>
    <row r="12" ht="12.75" customHeight="1">
      <c r="A12" s="297">
        <v>8.0</v>
      </c>
      <c r="B12" s="298">
        <f>ROUND('USPS Base'!N9*(1+PostalMarkup),2)</f>
        <v>4.98</v>
      </c>
      <c r="C12" s="298">
        <f>ROUND('USPS Base'!O9*(1+PostalMarkup),2)</f>
        <v>5.07</v>
      </c>
      <c r="D12" s="298">
        <f>ROUND('USPS Base'!P9*(1+PostalMarkup),2)</f>
        <v>5.11</v>
      </c>
      <c r="E12" s="298">
        <f>ROUND('USPS Base'!Q9*(1+PostalMarkup),2)</f>
        <v>5.2</v>
      </c>
      <c r="F12" s="298">
        <f>ROUND('USPS Base'!R9*(1+PostalMarkup),2)</f>
        <v>5.26</v>
      </c>
      <c r="G12" s="298">
        <f>ROUND('USPS Base'!S9*(1+PostalMarkup),2)</f>
        <v>5.31</v>
      </c>
      <c r="H12" s="298">
        <f>ROUND('USPS Base'!T9*(1+PostalMarkup),2)</f>
        <v>5.42</v>
      </c>
      <c r="I12" s="298">
        <f>ROUND('USPS Base'!U9*(1+PostalMarkup),2)</f>
        <v>5.57</v>
      </c>
      <c r="J12" s="298">
        <f>ROUND('USPS Base'!V9*(1+PostalMarkup),2)</f>
        <v>5.57</v>
      </c>
      <c r="L12" s="299">
        <v>0.8</v>
      </c>
      <c r="M12" s="298">
        <f>ROUND('USPS Base'!N99*(1+PostalMarkup),2)</f>
        <v>9.33</v>
      </c>
      <c r="N12" s="298">
        <f>ROUND('USPS Base'!O99*(1+PostalMarkup),2)</f>
        <v>9.33</v>
      </c>
      <c r="O12" s="298">
        <f>ROUND('USPS Base'!P99*(1+PostalMarkup),2)</f>
        <v>11.8</v>
      </c>
      <c r="P12" s="298">
        <f>ROUND('USPS Base'!Q99*(1+PostalMarkup),2)</f>
        <v>11.32</v>
      </c>
      <c r="Q12" s="298">
        <f>ROUND('USPS Base'!R99*(1+PostalMarkup),2)</f>
        <v>13.11</v>
      </c>
      <c r="R12" s="298">
        <f>ROUND('USPS Base'!S99*(1+PostalMarkup),2)</f>
        <v>16.2</v>
      </c>
      <c r="S12" s="298">
        <f>ROUND('USPS Base'!T99*(1+PostalMarkup),2)</f>
        <v>17.16</v>
      </c>
      <c r="T12" s="298">
        <f>ROUND('USPS Base'!U99*(1+PostalMarkup),2)</f>
        <v>19.25</v>
      </c>
      <c r="U12" s="298">
        <f>ROUND('USPS Base'!V99*(1+PostalMarkup),2)</f>
        <v>20.42</v>
      </c>
    </row>
    <row r="13" ht="12.75" customHeight="1">
      <c r="A13" s="297">
        <v>9.0</v>
      </c>
      <c r="B13" s="298">
        <f>ROUND('USPS Base'!N10*(1+PostalMarkup),2)</f>
        <v>5.75</v>
      </c>
      <c r="C13" s="298">
        <f>ROUND('USPS Base'!O10*(1+PostalMarkup),2)</f>
        <v>5.85</v>
      </c>
      <c r="D13" s="298">
        <f>ROUND('USPS Base'!P10*(1+PostalMarkup),2)</f>
        <v>5.91</v>
      </c>
      <c r="E13" s="298">
        <f>ROUND('USPS Base'!Q10*(1+PostalMarkup),2)</f>
        <v>5.99</v>
      </c>
      <c r="F13" s="298">
        <f>ROUND('USPS Base'!R10*(1+PostalMarkup),2)</f>
        <v>6.11</v>
      </c>
      <c r="G13" s="298">
        <f>ROUND('USPS Base'!S10*(1+PostalMarkup),2)</f>
        <v>6.31</v>
      </c>
      <c r="H13" s="298">
        <f>ROUND('USPS Base'!T10*(1+PostalMarkup),2)</f>
        <v>6.46</v>
      </c>
      <c r="I13" s="298">
        <f>ROUND('USPS Base'!U10*(1+PostalMarkup),2)</f>
        <v>6.67</v>
      </c>
      <c r="J13" s="298">
        <f>ROUND('USPS Base'!V10*(1+PostalMarkup),2)</f>
        <v>6.67</v>
      </c>
      <c r="L13" s="299">
        <v>0.9</v>
      </c>
      <c r="M13" s="298">
        <f>ROUND('USPS Base'!N100*(1+PostalMarkup),2)</f>
        <v>10.07</v>
      </c>
      <c r="N13" s="298">
        <f>ROUND('USPS Base'!O100*(1+PostalMarkup),2)</f>
        <v>10.07</v>
      </c>
      <c r="O13" s="298">
        <f>ROUND('USPS Base'!P100*(1+PostalMarkup),2)</f>
        <v>12.37</v>
      </c>
      <c r="P13" s="298">
        <f>ROUND('USPS Base'!Q100*(1+PostalMarkup),2)</f>
        <v>12.44</v>
      </c>
      <c r="Q13" s="298">
        <f>ROUND('USPS Base'!R100*(1+PostalMarkup),2)</f>
        <v>13.85</v>
      </c>
      <c r="R13" s="298">
        <f>ROUND('USPS Base'!S100*(1+PostalMarkup),2)</f>
        <v>17.03</v>
      </c>
      <c r="S13" s="298">
        <f>ROUND('USPS Base'!T100*(1+PostalMarkup),2)</f>
        <v>18.2</v>
      </c>
      <c r="T13" s="298">
        <f>ROUND('USPS Base'!U100*(1+PostalMarkup),2)</f>
        <v>20.87</v>
      </c>
      <c r="U13" s="298">
        <f>ROUND('USPS Base'!V100*(1+PostalMarkup),2)</f>
        <v>21.75</v>
      </c>
    </row>
    <row r="14" ht="12.75" customHeight="1">
      <c r="A14" s="297">
        <v>10.0</v>
      </c>
      <c r="B14" s="298">
        <f>ROUND('USPS Base'!N11*(1+PostalMarkup),2)</f>
        <v>5.75</v>
      </c>
      <c r="C14" s="298">
        <f>ROUND('USPS Base'!O11*(1+PostalMarkup),2)</f>
        <v>5.85</v>
      </c>
      <c r="D14" s="298">
        <f>ROUND('USPS Base'!P11*(1+PostalMarkup),2)</f>
        <v>5.91</v>
      </c>
      <c r="E14" s="298">
        <f>ROUND('USPS Base'!Q11*(1+PostalMarkup),2)</f>
        <v>5.99</v>
      </c>
      <c r="F14" s="298">
        <f>ROUND('USPS Base'!R11*(1+PostalMarkup),2)</f>
        <v>6.11</v>
      </c>
      <c r="G14" s="298">
        <f>ROUND('USPS Base'!S11*(1+PostalMarkup),2)</f>
        <v>6.31</v>
      </c>
      <c r="H14" s="298">
        <f>ROUND('USPS Base'!T11*(1+PostalMarkup),2)</f>
        <v>6.46</v>
      </c>
      <c r="I14" s="298">
        <f>ROUND('USPS Base'!U11*(1+PostalMarkup),2)</f>
        <v>6.67</v>
      </c>
      <c r="J14" s="298">
        <f>ROUND('USPS Base'!V11*(1+PostalMarkup),2)</f>
        <v>6.67</v>
      </c>
    </row>
    <row r="15" ht="12.75" customHeight="1">
      <c r="A15" s="297">
        <v>11.0</v>
      </c>
      <c r="B15" s="298">
        <f>ROUND('USPS Base'!N12*(1+PostalMarkup),2)</f>
        <v>5.75</v>
      </c>
      <c r="C15" s="298">
        <f>ROUND('USPS Base'!O12*(1+PostalMarkup),2)</f>
        <v>5.85</v>
      </c>
      <c r="D15" s="298">
        <f>ROUND('USPS Base'!P12*(1+PostalMarkup),2)</f>
        <v>5.91</v>
      </c>
      <c r="E15" s="298">
        <f>ROUND('USPS Base'!Q12*(1+PostalMarkup),2)</f>
        <v>5.99</v>
      </c>
      <c r="F15" s="298">
        <f>ROUND('USPS Base'!R12*(1+PostalMarkup),2)</f>
        <v>6.11</v>
      </c>
      <c r="G15" s="298">
        <f>ROUND('USPS Base'!S12*(1+PostalMarkup),2)</f>
        <v>6.31</v>
      </c>
      <c r="H15" s="298">
        <f>ROUND('USPS Base'!T12*(1+PostalMarkup),2)</f>
        <v>6.46</v>
      </c>
      <c r="I15" s="298">
        <f>ROUND('USPS Base'!U12*(1+PostalMarkup),2)</f>
        <v>6.67</v>
      </c>
      <c r="J15" s="298">
        <f>ROUND('USPS Base'!V12*(1+PostalMarkup),2)</f>
        <v>6.67</v>
      </c>
    </row>
    <row r="16" ht="12.75" customHeight="1">
      <c r="A16" s="297">
        <v>12.0</v>
      </c>
      <c r="B16" s="298">
        <f>ROUND('USPS Base'!N13*(1+PostalMarkup),2)</f>
        <v>5.75</v>
      </c>
      <c r="C16" s="298">
        <f>ROUND('USPS Base'!O13*(1+PostalMarkup),2)</f>
        <v>5.85</v>
      </c>
      <c r="D16" s="298">
        <f>ROUND('USPS Base'!P13*(1+PostalMarkup),2)</f>
        <v>5.91</v>
      </c>
      <c r="E16" s="298">
        <f>ROUND('USPS Base'!Q13*(1+PostalMarkup),2)</f>
        <v>5.99</v>
      </c>
      <c r="F16" s="298">
        <f>ROUND('USPS Base'!R13*(1+PostalMarkup),2)</f>
        <v>6.11</v>
      </c>
      <c r="G16" s="298">
        <f>ROUND('USPS Base'!S13*(1+PostalMarkup),2)</f>
        <v>6.31</v>
      </c>
      <c r="H16" s="298">
        <f>ROUND('USPS Base'!T13*(1+PostalMarkup),2)</f>
        <v>6.46</v>
      </c>
      <c r="I16" s="298">
        <f>ROUND('USPS Base'!U13*(1+PostalMarkup),2)</f>
        <v>6.67</v>
      </c>
      <c r="J16" s="298">
        <f>ROUND('USPS Base'!V13*(1+PostalMarkup),2)</f>
        <v>6.67</v>
      </c>
      <c r="L16" s="300" t="s">
        <v>140</v>
      </c>
      <c r="M16" s="301" t="s">
        <v>141</v>
      </c>
      <c r="N16" s="301"/>
      <c r="O16" s="301"/>
      <c r="P16" s="301"/>
      <c r="Q16" s="301"/>
      <c r="R16" s="301"/>
      <c r="S16" s="301"/>
      <c r="T16" s="301"/>
      <c r="U16" s="302"/>
    </row>
    <row r="17" ht="12.75" customHeight="1">
      <c r="A17" s="297">
        <v>13.0</v>
      </c>
      <c r="B17" s="298">
        <f>ROUND('USPS Base'!N14*(1+PostalMarkup),2)</f>
        <v>7.28</v>
      </c>
      <c r="C17" s="298">
        <f>ROUND('USPS Base'!O14*(1+PostalMarkup),2)</f>
        <v>7.38</v>
      </c>
      <c r="D17" s="298">
        <f>ROUND('USPS Base'!P14*(1+PostalMarkup),2)</f>
        <v>7.46</v>
      </c>
      <c r="E17" s="298">
        <f>ROUND('USPS Base'!Q14*(1+PostalMarkup),2)</f>
        <v>7.56</v>
      </c>
      <c r="F17" s="298">
        <f>ROUND('USPS Base'!R14*(1+PostalMarkup),2)</f>
        <v>7.75</v>
      </c>
      <c r="G17" s="298">
        <f>ROUND('USPS Base'!S14*(1+PostalMarkup),2)</f>
        <v>8.04</v>
      </c>
      <c r="H17" s="298">
        <f>ROUND('USPS Base'!T14*(1+PostalMarkup),2)</f>
        <v>8.23</v>
      </c>
      <c r="I17" s="298">
        <f>ROUND('USPS Base'!U14*(1+PostalMarkup),2)</f>
        <v>8.46</v>
      </c>
      <c r="J17" s="298">
        <f>ROUND('USPS Base'!V14*(1+PostalMarkup),2)</f>
        <v>8.46</v>
      </c>
      <c r="L17" s="300" t="s">
        <v>142</v>
      </c>
      <c r="M17" s="303">
        <v>12.0</v>
      </c>
    </row>
    <row r="18" ht="12.75" customHeight="1">
      <c r="A18" s="297">
        <v>14.0</v>
      </c>
      <c r="B18" s="298">
        <f>ROUND('USPS Base'!N15*(1+PostalMarkup),2)</f>
        <v>7.28</v>
      </c>
      <c r="C18" s="298">
        <f>ROUND('USPS Base'!O15*(1+PostalMarkup),2)</f>
        <v>7.38</v>
      </c>
      <c r="D18" s="298">
        <f>ROUND('USPS Base'!P15*(1+PostalMarkup),2)</f>
        <v>7.46</v>
      </c>
      <c r="E18" s="298">
        <f>ROUND('USPS Base'!Q15*(1+PostalMarkup),2)</f>
        <v>7.56</v>
      </c>
      <c r="F18" s="298">
        <f>ROUND('USPS Base'!R15*(1+PostalMarkup),2)</f>
        <v>7.75</v>
      </c>
      <c r="G18" s="298">
        <f>ROUND('USPS Base'!S15*(1+PostalMarkup),2)</f>
        <v>8.04</v>
      </c>
      <c r="H18" s="298">
        <f>ROUND('USPS Base'!T15*(1+PostalMarkup),2)</f>
        <v>8.23</v>
      </c>
      <c r="I18" s="298">
        <f>ROUND('USPS Base'!U15*(1+PostalMarkup),2)</f>
        <v>8.46</v>
      </c>
      <c r="J18" s="298">
        <f>ROUND('USPS Base'!V15*(1+PostalMarkup),2)</f>
        <v>8.46</v>
      </c>
      <c r="L18" s="300" t="s">
        <v>143</v>
      </c>
      <c r="M18" s="303">
        <v>12.0</v>
      </c>
    </row>
    <row r="19" ht="12.75" customHeight="1">
      <c r="A19" s="297">
        <v>15.0</v>
      </c>
      <c r="B19" s="298">
        <f>ROUND('USPS Base'!N16*(1+PostalMarkup),2)</f>
        <v>7.28</v>
      </c>
      <c r="C19" s="298">
        <f>ROUND('USPS Base'!O16*(1+PostalMarkup),2)</f>
        <v>7.38</v>
      </c>
      <c r="D19" s="298">
        <f>ROUND('USPS Base'!P16*(1+PostalMarkup),2)</f>
        <v>7.46</v>
      </c>
      <c r="E19" s="298">
        <f>ROUND('USPS Base'!Q16*(1+PostalMarkup),2)</f>
        <v>7.56</v>
      </c>
      <c r="F19" s="298">
        <f>ROUND('USPS Base'!R16*(1+PostalMarkup),2)</f>
        <v>7.75</v>
      </c>
      <c r="G19" s="298">
        <f>ROUND('USPS Base'!S16*(1+PostalMarkup),2)</f>
        <v>8.04</v>
      </c>
      <c r="H19" s="298">
        <f>ROUND('USPS Base'!T16*(1+PostalMarkup),2)</f>
        <v>8.23</v>
      </c>
      <c r="I19" s="298">
        <f>ROUND('USPS Base'!U16*(1+PostalMarkup),2)</f>
        <v>8.46</v>
      </c>
      <c r="J19" s="298">
        <f>ROUND('USPS Base'!V16*(1+PostalMarkup),2)</f>
        <v>8.46</v>
      </c>
      <c r="L19" s="304" t="s">
        <v>144</v>
      </c>
      <c r="M19" s="305">
        <v>6.0</v>
      </c>
    </row>
    <row r="20" ht="12.75" customHeight="1">
      <c r="A20" s="306">
        <v>15.999</v>
      </c>
      <c r="B20" s="298">
        <f>ROUND('USPS Base'!N17*(1+PostalMarkup),2)</f>
        <v>7.28</v>
      </c>
      <c r="C20" s="298">
        <f>ROUND('USPS Base'!O17*(1+PostalMarkup),2)</f>
        <v>7.38</v>
      </c>
      <c r="D20" s="298">
        <f>ROUND('USPS Base'!P17*(1+PostalMarkup),2)</f>
        <v>7.46</v>
      </c>
      <c r="E20" s="298">
        <f>ROUND('USPS Base'!Q17*(1+PostalMarkup),2)</f>
        <v>7.56</v>
      </c>
      <c r="F20" s="298">
        <f>ROUND('USPS Base'!R17*(1+PostalMarkup),2)</f>
        <v>7.75</v>
      </c>
      <c r="G20" s="298">
        <f>ROUND('USPS Base'!S17*(1+PostalMarkup),2)</f>
        <v>8.04</v>
      </c>
      <c r="H20" s="298">
        <f>ROUND('USPS Base'!T17*(1+PostalMarkup),2)</f>
        <v>8.23</v>
      </c>
      <c r="I20" s="298">
        <f>ROUND('USPS Base'!U17*(1+PostalMarkup),2)</f>
        <v>8.46</v>
      </c>
      <c r="J20" s="298">
        <f>ROUND('USPS Base'!V17*(1+PostalMarkup),2)</f>
        <v>8.46</v>
      </c>
      <c r="L20" s="307" t="s">
        <v>145</v>
      </c>
      <c r="M20" s="308">
        <f>ROUNDUP((ROUND(M17,0)*ROUND(M18,0)*ROUND(M19,0))/1728,1)</f>
        <v>0.5</v>
      </c>
    </row>
    <row r="21" ht="12.75" customHeight="1">
      <c r="A21" s="297" t="s">
        <v>117</v>
      </c>
      <c r="B21" s="298">
        <f>ROUND('USPS Base'!N18*(1+PostalMarkup),2)</f>
        <v>7.14</v>
      </c>
      <c r="C21" s="298">
        <f>ROUND('USPS Base'!O18*(1+PostalMarkup),2)</f>
        <v>7.14</v>
      </c>
      <c r="D21" s="298">
        <f>ROUND('USPS Base'!P18*(1+PostalMarkup),2)</f>
        <v>9.02</v>
      </c>
      <c r="E21" s="298">
        <f>ROUND('USPS Base'!Q18*(1+PostalMarkup),2)</f>
        <v>7.51</v>
      </c>
      <c r="F21" s="298">
        <f>ROUND('USPS Base'!R18*(1+PostalMarkup),2)</f>
        <v>8.82</v>
      </c>
      <c r="G21" s="298">
        <f>ROUND('USPS Base'!S18*(1+PostalMarkup),2)</f>
        <v>11.6</v>
      </c>
      <c r="H21" s="298">
        <f>ROUND('USPS Base'!T18*(1+PostalMarkup),2)</f>
        <v>10.71</v>
      </c>
      <c r="I21" s="298">
        <f>ROUND('USPS Base'!U18*(1+PostalMarkup),2)</f>
        <v>11.5</v>
      </c>
      <c r="J21" s="298">
        <f>ROUND('USPS Base'!V18*(1+PostalMarkup),2)</f>
        <v>10.68</v>
      </c>
      <c r="L21" s="307" t="s">
        <v>146</v>
      </c>
      <c r="M21" s="309"/>
      <c r="N21" s="309"/>
      <c r="O21" s="309"/>
      <c r="P21" s="309"/>
      <c r="Q21" s="309"/>
      <c r="R21" s="309"/>
      <c r="S21" s="309"/>
      <c r="T21" s="309"/>
      <c r="U21" s="308"/>
    </row>
    <row r="22" ht="12.75" customHeight="1">
      <c r="A22" s="297">
        <v>2.0</v>
      </c>
      <c r="B22" s="298">
        <f>ROUND('USPS Base'!N19*(1+PostalMarkup),2)</f>
        <v>7.49</v>
      </c>
      <c r="C22" s="298">
        <f>ROUND('USPS Base'!O19*(1+PostalMarkup),2)</f>
        <v>7.49</v>
      </c>
      <c r="D22" s="298">
        <f>ROUND('USPS Base'!P19*(1+PostalMarkup),2)</f>
        <v>9.72</v>
      </c>
      <c r="E22" s="298">
        <f>ROUND('USPS Base'!Q19*(1+PostalMarkup),2)</f>
        <v>8.23</v>
      </c>
      <c r="F22" s="298">
        <f>ROUND('USPS Base'!R19*(1+PostalMarkup),2)</f>
        <v>9.87</v>
      </c>
      <c r="G22" s="298">
        <f>ROUND('USPS Base'!S19*(1+PostalMarkup),2)</f>
        <v>12.65</v>
      </c>
      <c r="H22" s="298">
        <f>ROUND('USPS Base'!T19*(1+PostalMarkup),2)</f>
        <v>12.27</v>
      </c>
      <c r="I22" s="298">
        <f>ROUND('USPS Base'!U19*(1+PostalMarkup),2)</f>
        <v>13.47</v>
      </c>
      <c r="J22" s="298">
        <f>ROUND('USPS Base'!V19*(1+PostalMarkup),2)</f>
        <v>12.48</v>
      </c>
      <c r="L22" s="304" t="s">
        <v>147</v>
      </c>
      <c r="M22" s="310"/>
      <c r="N22" s="310"/>
      <c r="O22" s="310"/>
      <c r="P22" s="310"/>
      <c r="Q22" s="310"/>
      <c r="R22" s="310"/>
      <c r="S22" s="310"/>
      <c r="T22" s="310"/>
      <c r="U22" s="311"/>
    </row>
    <row r="23" ht="12.75" customHeight="1">
      <c r="A23" s="297">
        <v>3.0</v>
      </c>
      <c r="B23" s="298">
        <f>ROUND('USPS Base'!N20*(1+PostalMarkup),2)</f>
        <v>8.37</v>
      </c>
      <c r="C23" s="298">
        <f>ROUND('USPS Base'!O20*(1+PostalMarkup),2)</f>
        <v>8.37</v>
      </c>
      <c r="D23" s="298">
        <f>ROUND('USPS Base'!P20*(1+PostalMarkup),2)</f>
        <v>10.24</v>
      </c>
      <c r="E23" s="298">
        <f>ROUND('USPS Base'!Q20*(1+PostalMarkup),2)</f>
        <v>9.2</v>
      </c>
      <c r="F23" s="298">
        <f>ROUND('USPS Base'!R20*(1+PostalMarkup),2)</f>
        <v>10.66</v>
      </c>
      <c r="G23" s="298">
        <f>ROUND('USPS Base'!S20*(1+PostalMarkup),2)</f>
        <v>13.42</v>
      </c>
      <c r="H23" s="298">
        <f>ROUND('USPS Base'!T20*(1+PostalMarkup),2)</f>
        <v>13.46</v>
      </c>
      <c r="I23" s="298">
        <f>ROUND('USPS Base'!U20*(1+PostalMarkup),2)</f>
        <v>15.27</v>
      </c>
      <c r="J23" s="298">
        <f>ROUND('USPS Base'!V20*(1+PostalMarkup),2)</f>
        <v>14.4</v>
      </c>
    </row>
    <row r="24" ht="12.75" customHeight="1">
      <c r="A24" s="297">
        <v>4.0</v>
      </c>
      <c r="B24" s="298">
        <f>ROUND('USPS Base'!N21*(1+PostalMarkup),2)</f>
        <v>8.53</v>
      </c>
      <c r="C24" s="298">
        <f>ROUND('USPS Base'!O21*(1+PostalMarkup),2)</f>
        <v>8.53</v>
      </c>
      <c r="D24" s="298">
        <f>ROUND('USPS Base'!P21*(1+PostalMarkup),2)</f>
        <v>10.56</v>
      </c>
      <c r="E24" s="298">
        <f>ROUND('USPS Base'!Q21*(1+PostalMarkup),2)</f>
        <v>9.43</v>
      </c>
      <c r="F24" s="298">
        <f>ROUND('USPS Base'!R21*(1+PostalMarkup),2)</f>
        <v>11.18</v>
      </c>
      <c r="G24" s="298">
        <f>ROUND('USPS Base'!S21*(1+PostalMarkup),2)</f>
        <v>14.05</v>
      </c>
      <c r="H24" s="298">
        <f>ROUND('USPS Base'!T21*(1+PostalMarkup),2)</f>
        <v>14.21</v>
      </c>
      <c r="I24" s="298">
        <f>ROUND('USPS Base'!U21*(1+PostalMarkup),2)</f>
        <v>16.01</v>
      </c>
      <c r="J24" s="298">
        <f>ROUND('USPS Base'!V21*(1+PostalMarkup),2)</f>
        <v>15.73</v>
      </c>
    </row>
    <row r="25" ht="12.75" customHeight="1">
      <c r="A25" s="297">
        <v>5.0</v>
      </c>
      <c r="B25" s="298">
        <f>ROUND('USPS Base'!N22*(1+PostalMarkup),2)</f>
        <v>8.82</v>
      </c>
      <c r="C25" s="298">
        <f>ROUND('USPS Base'!O22*(1+PostalMarkup),2)</f>
        <v>8.82</v>
      </c>
      <c r="D25" s="298">
        <f>ROUND('USPS Base'!P22*(1+PostalMarkup),2)</f>
        <v>10.89</v>
      </c>
      <c r="E25" s="298">
        <f>ROUND('USPS Base'!Q22*(1+PostalMarkup),2)</f>
        <v>9.83</v>
      </c>
      <c r="F25" s="298">
        <f>ROUND('USPS Base'!R22*(1+PostalMarkup),2)</f>
        <v>11.85</v>
      </c>
      <c r="G25" s="298">
        <f>ROUND('USPS Base'!S22*(1+PostalMarkup),2)</f>
        <v>14.73</v>
      </c>
      <c r="H25" s="298">
        <f>ROUND('USPS Base'!T22*(1+PostalMarkup),2)</f>
        <v>15.2</v>
      </c>
      <c r="I25" s="298">
        <f>ROUND('USPS Base'!U22*(1+PostalMarkup),2)</f>
        <v>17.27</v>
      </c>
      <c r="J25" s="298">
        <f>ROUND('USPS Base'!V22*(1+PostalMarkup),2)</f>
        <v>16.86</v>
      </c>
    </row>
    <row r="26" ht="12.75" customHeight="1">
      <c r="A26" s="297">
        <v>6.0</v>
      </c>
      <c r="B26" s="298">
        <f>ROUND('USPS Base'!N23*(1+PostalMarkup),2)</f>
        <v>8.94</v>
      </c>
      <c r="C26" s="298">
        <f>ROUND('USPS Base'!O23*(1+PostalMarkup),2)</f>
        <v>8.94</v>
      </c>
      <c r="D26" s="298">
        <f>ROUND('USPS Base'!P23*(1+PostalMarkup),2)</f>
        <v>11.37</v>
      </c>
      <c r="E26" s="298">
        <f>ROUND('USPS Base'!Q23*(1+PostalMarkup),2)</f>
        <v>10.4</v>
      </c>
      <c r="F26" s="298">
        <f>ROUND('USPS Base'!R23*(1+PostalMarkup),2)</f>
        <v>12.51</v>
      </c>
      <c r="G26" s="298">
        <f>ROUND('USPS Base'!S23*(1+PostalMarkup),2)</f>
        <v>15.54</v>
      </c>
      <c r="H26" s="298">
        <f>ROUND('USPS Base'!T23*(1+PostalMarkup),2)</f>
        <v>16.26</v>
      </c>
      <c r="I26" s="298">
        <f>ROUND('USPS Base'!U23*(1+PostalMarkup),2)</f>
        <v>18.16</v>
      </c>
      <c r="J26" s="298">
        <f>ROUND('USPS Base'!V23*(1+PostalMarkup),2)</f>
        <v>18.02</v>
      </c>
    </row>
    <row r="27" ht="12.75" customHeight="1">
      <c r="A27" s="297">
        <v>7.0</v>
      </c>
      <c r="B27" s="298">
        <f>ROUND('USPS Base'!N24*(1+PostalMarkup),2)</f>
        <v>9.41</v>
      </c>
      <c r="C27" s="298">
        <f>ROUND('USPS Base'!O24*(1+PostalMarkup),2)</f>
        <v>9.41</v>
      </c>
      <c r="D27" s="298">
        <f>ROUND('USPS Base'!P24*(1+PostalMarkup),2)</f>
        <v>11.89</v>
      </c>
      <c r="E27" s="298">
        <f>ROUND('USPS Base'!Q24*(1+PostalMarkup),2)</f>
        <v>11.51</v>
      </c>
      <c r="F27" s="298">
        <f>ROUND('USPS Base'!R24*(1+PostalMarkup),2)</f>
        <v>13.24</v>
      </c>
      <c r="G27" s="298">
        <f>ROUND('USPS Base'!S24*(1+PostalMarkup),2)</f>
        <v>16.34</v>
      </c>
      <c r="H27" s="298">
        <f>ROUND('USPS Base'!T24*(1+PostalMarkup),2)</f>
        <v>17.34</v>
      </c>
      <c r="I27" s="298">
        <f>ROUND('USPS Base'!U24*(1+PostalMarkup),2)</f>
        <v>19.46</v>
      </c>
      <c r="J27" s="298">
        <f>ROUND('USPS Base'!V24*(1+PostalMarkup),2)</f>
        <v>19.33</v>
      </c>
    </row>
    <row r="28" ht="12.75" customHeight="1">
      <c r="A28" s="297">
        <v>8.0</v>
      </c>
      <c r="B28" s="298">
        <f>ROUND('USPS Base'!N25*(1+PostalMarkup),2)</f>
        <v>10.22</v>
      </c>
      <c r="C28" s="298">
        <f>ROUND('USPS Base'!O25*(1+PostalMarkup),2)</f>
        <v>10.22</v>
      </c>
      <c r="D28" s="298">
        <f>ROUND('USPS Base'!P25*(1+PostalMarkup),2)</f>
        <v>12.48</v>
      </c>
      <c r="E28" s="298">
        <f>ROUND('USPS Base'!Q25*(1+PostalMarkup),2)</f>
        <v>12.64</v>
      </c>
      <c r="F28" s="298">
        <f>ROUND('USPS Base'!R25*(1+PostalMarkup),2)</f>
        <v>13.97</v>
      </c>
      <c r="G28" s="298">
        <f>ROUND('USPS Base'!S25*(1+PostalMarkup),2)</f>
        <v>17.18</v>
      </c>
      <c r="H28" s="298">
        <f>ROUND('USPS Base'!T25*(1+PostalMarkup),2)</f>
        <v>18.39</v>
      </c>
      <c r="I28" s="298">
        <f>ROUND('USPS Base'!U25*(1+PostalMarkup),2)</f>
        <v>20.8</v>
      </c>
      <c r="J28" s="298">
        <f>ROUND('USPS Base'!V25*(1+PostalMarkup),2)</f>
        <v>20.64</v>
      </c>
    </row>
    <row r="29" ht="12.75" customHeight="1">
      <c r="A29" s="297">
        <v>9.0</v>
      </c>
      <c r="B29" s="298">
        <f>ROUND('USPS Base'!N26*(1+PostalMarkup),2)</f>
        <v>11.05</v>
      </c>
      <c r="C29" s="298">
        <f>ROUND('USPS Base'!O26*(1+PostalMarkup),2)</f>
        <v>11.05</v>
      </c>
      <c r="D29" s="298">
        <f>ROUND('USPS Base'!P26*(1+PostalMarkup),2)</f>
        <v>13.09</v>
      </c>
      <c r="E29" s="298">
        <f>ROUND('USPS Base'!Q26*(1+PostalMarkup),2)</f>
        <v>13.37</v>
      </c>
      <c r="F29" s="298">
        <f>ROUND('USPS Base'!R26*(1+PostalMarkup),2)</f>
        <v>14.74</v>
      </c>
      <c r="G29" s="298">
        <f>ROUND('USPS Base'!S26*(1+PostalMarkup),2)</f>
        <v>18.01</v>
      </c>
      <c r="H29" s="298">
        <f>ROUND('USPS Base'!T26*(1+PostalMarkup),2)</f>
        <v>19.38</v>
      </c>
      <c r="I29" s="298">
        <f>ROUND('USPS Base'!U26*(1+PostalMarkup),2)</f>
        <v>22.41</v>
      </c>
      <c r="J29" s="298">
        <f>ROUND('USPS Base'!V26*(1+PostalMarkup),2)</f>
        <v>21.98</v>
      </c>
    </row>
    <row r="30" ht="12.75" customHeight="1">
      <c r="A30" s="297">
        <v>10.0</v>
      </c>
      <c r="B30" s="298">
        <f>ROUND('USPS Base'!N27*(1+PostalMarkup),2)</f>
        <v>11.17</v>
      </c>
      <c r="C30" s="298">
        <f>ROUND('USPS Base'!O27*(1+PostalMarkup),2)</f>
        <v>11.17</v>
      </c>
      <c r="D30" s="298">
        <f>ROUND('USPS Base'!P27*(1+PostalMarkup),2)</f>
        <v>13.17</v>
      </c>
      <c r="E30" s="298">
        <f>ROUND('USPS Base'!Q27*(1+PostalMarkup),2)</f>
        <v>13.47</v>
      </c>
      <c r="F30" s="298">
        <f>ROUND('USPS Base'!R27*(1+PostalMarkup),2)</f>
        <v>14.84</v>
      </c>
      <c r="G30" s="298">
        <f>ROUND('USPS Base'!S27*(1+PostalMarkup),2)</f>
        <v>18.12</v>
      </c>
      <c r="H30" s="298">
        <f>ROUND('USPS Base'!T27*(1+PostalMarkup),2)</f>
        <v>19.52</v>
      </c>
      <c r="I30" s="298">
        <f>ROUND('USPS Base'!U27*(1+PostalMarkup),2)</f>
        <v>23.08</v>
      </c>
      <c r="J30" s="298">
        <f>ROUND('USPS Base'!V27*(1+PostalMarkup),2)</f>
        <v>23.32</v>
      </c>
    </row>
    <row r="31" ht="12.75" customHeight="1">
      <c r="A31" s="297">
        <v>11.0</v>
      </c>
      <c r="B31" s="298">
        <f>ROUND('USPS Base'!N28*(1+PostalMarkup),2)</f>
        <v>11.17</v>
      </c>
      <c r="C31" s="298">
        <f>ROUND('USPS Base'!O28*(1+PostalMarkup),2)</f>
        <v>11.17</v>
      </c>
      <c r="D31" s="298">
        <f>ROUND('USPS Base'!P28*(1+PostalMarkup),2)</f>
        <v>13.17</v>
      </c>
      <c r="E31" s="298">
        <f>ROUND('USPS Base'!Q28*(1+PostalMarkup),2)</f>
        <v>13.47</v>
      </c>
      <c r="F31" s="298">
        <f>ROUND('USPS Base'!R28*(1+PostalMarkup),2)</f>
        <v>14.84</v>
      </c>
      <c r="G31" s="298">
        <f>ROUND('USPS Base'!S28*(1+PostalMarkup),2)</f>
        <v>18.12</v>
      </c>
      <c r="H31" s="298">
        <f>ROUND('USPS Base'!T28*(1+PostalMarkup),2)</f>
        <v>19.52</v>
      </c>
      <c r="I31" s="298">
        <f>ROUND('USPS Base'!U28*(1+PostalMarkup),2)</f>
        <v>23.08</v>
      </c>
      <c r="J31" s="298">
        <f>ROUND('USPS Base'!V28*(1+PostalMarkup),2)</f>
        <v>24.67</v>
      </c>
    </row>
    <row r="32" ht="12.75" customHeight="1">
      <c r="A32" s="297">
        <v>12.0</v>
      </c>
      <c r="B32" s="298">
        <f>ROUND('USPS Base'!N29*(1+PostalMarkup),2)</f>
        <v>11.17</v>
      </c>
      <c r="C32" s="298">
        <f>ROUND('USPS Base'!O29*(1+PostalMarkup),2)</f>
        <v>11.17</v>
      </c>
      <c r="D32" s="298">
        <f>ROUND('USPS Base'!P29*(1+PostalMarkup),2)</f>
        <v>13.17</v>
      </c>
      <c r="E32" s="298">
        <f>ROUND('USPS Base'!Q29*(1+PostalMarkup),2)</f>
        <v>13.47</v>
      </c>
      <c r="F32" s="298">
        <f>ROUND('USPS Base'!R29*(1+PostalMarkup),2)</f>
        <v>14.84</v>
      </c>
      <c r="G32" s="298">
        <f>ROUND('USPS Base'!S29*(1+PostalMarkup),2)</f>
        <v>18.12</v>
      </c>
      <c r="H32" s="298">
        <f>ROUND('USPS Base'!T29*(1+PostalMarkup),2)</f>
        <v>19.52</v>
      </c>
      <c r="I32" s="298">
        <f>ROUND('USPS Base'!U29*(1+PostalMarkup),2)</f>
        <v>23.08</v>
      </c>
      <c r="J32" s="298">
        <f>ROUND('USPS Base'!V29*(1+PostalMarkup),2)</f>
        <v>26.01</v>
      </c>
    </row>
    <row r="33" ht="12.75" customHeight="1">
      <c r="A33" s="297">
        <v>13.0</v>
      </c>
      <c r="B33" s="298">
        <f>ROUND('USPS Base'!N30*(1+PostalMarkup),2)</f>
        <v>11.17</v>
      </c>
      <c r="C33" s="298">
        <f>ROUND('USPS Base'!O30*(1+PostalMarkup),2)</f>
        <v>11.17</v>
      </c>
      <c r="D33" s="298">
        <f>ROUND('USPS Base'!P30*(1+PostalMarkup),2)</f>
        <v>13.17</v>
      </c>
      <c r="E33" s="298">
        <f>ROUND('USPS Base'!Q30*(1+PostalMarkup),2)</f>
        <v>13.47</v>
      </c>
      <c r="F33" s="298">
        <f>ROUND('USPS Base'!R30*(1+PostalMarkup),2)</f>
        <v>14.84</v>
      </c>
      <c r="G33" s="298">
        <f>ROUND('USPS Base'!S30*(1+PostalMarkup),2)</f>
        <v>18.12</v>
      </c>
      <c r="H33" s="298">
        <f>ROUND('USPS Base'!T30*(1+PostalMarkup),2)</f>
        <v>19.52</v>
      </c>
      <c r="I33" s="298">
        <f>ROUND('USPS Base'!U30*(1+PostalMarkup),2)</f>
        <v>23.08</v>
      </c>
      <c r="J33" s="298">
        <f>ROUND('USPS Base'!V30*(1+PostalMarkup),2)</f>
        <v>27.36</v>
      </c>
    </row>
    <row r="34" ht="12.75" customHeight="1">
      <c r="A34" s="297">
        <v>14.0</v>
      </c>
      <c r="B34" s="298">
        <f>ROUND('USPS Base'!N31*(1+PostalMarkup),2)</f>
        <v>11.17</v>
      </c>
      <c r="C34" s="298">
        <f>ROUND('USPS Base'!O31*(1+PostalMarkup),2)</f>
        <v>11.17</v>
      </c>
      <c r="D34" s="298">
        <f>ROUND('USPS Base'!P31*(1+PostalMarkup),2)</f>
        <v>13.17</v>
      </c>
      <c r="E34" s="298">
        <f>ROUND('USPS Base'!Q31*(1+PostalMarkup),2)</f>
        <v>13.47</v>
      </c>
      <c r="F34" s="298">
        <f>ROUND('USPS Base'!R31*(1+PostalMarkup),2)</f>
        <v>14.84</v>
      </c>
      <c r="G34" s="298">
        <f>ROUND('USPS Base'!S31*(1+PostalMarkup),2)</f>
        <v>18.12</v>
      </c>
      <c r="H34" s="298">
        <f>ROUND('USPS Base'!T31*(1+PostalMarkup),2)</f>
        <v>19.52</v>
      </c>
      <c r="I34" s="298">
        <f>ROUND('USPS Base'!U31*(1+PostalMarkup),2)</f>
        <v>23.08</v>
      </c>
      <c r="J34" s="298">
        <f>ROUND('USPS Base'!V31*(1+PostalMarkup),2)</f>
        <v>28.73</v>
      </c>
    </row>
    <row r="35" ht="12.75" customHeight="1">
      <c r="A35" s="297">
        <v>15.0</v>
      </c>
      <c r="B35" s="298">
        <f>ROUND('USPS Base'!N32*(1+PostalMarkup),2)</f>
        <v>11.17</v>
      </c>
      <c r="C35" s="298">
        <f>ROUND('USPS Base'!O32*(1+PostalMarkup),2)</f>
        <v>11.17</v>
      </c>
      <c r="D35" s="298">
        <f>ROUND('USPS Base'!P32*(1+PostalMarkup),2)</f>
        <v>13.17</v>
      </c>
      <c r="E35" s="298">
        <f>ROUND('USPS Base'!Q32*(1+PostalMarkup),2)</f>
        <v>13.47</v>
      </c>
      <c r="F35" s="298">
        <f>ROUND('USPS Base'!R32*(1+PostalMarkup),2)</f>
        <v>14.84</v>
      </c>
      <c r="G35" s="298">
        <f>ROUND('USPS Base'!S32*(1+PostalMarkup),2)</f>
        <v>18.12</v>
      </c>
      <c r="H35" s="298">
        <f>ROUND('USPS Base'!T32*(1+PostalMarkup),2)</f>
        <v>19.52</v>
      </c>
      <c r="I35" s="298">
        <f>ROUND('USPS Base'!U32*(1+PostalMarkup),2)</f>
        <v>23.08</v>
      </c>
      <c r="J35" s="298">
        <f>ROUND('USPS Base'!V32*(1+PostalMarkup),2)</f>
        <v>30.06</v>
      </c>
    </row>
    <row r="36" ht="12.75" customHeight="1">
      <c r="A36" s="297">
        <v>16.0</v>
      </c>
      <c r="B36" s="298">
        <f>ROUND('USPS Base'!N33*(1+PostalMarkup),2)</f>
        <v>11.17</v>
      </c>
      <c r="C36" s="298">
        <f>ROUND('USPS Base'!O33*(1+PostalMarkup),2)</f>
        <v>11.17</v>
      </c>
      <c r="D36" s="298">
        <f>ROUND('USPS Base'!P33*(1+PostalMarkup),2)</f>
        <v>13.17</v>
      </c>
      <c r="E36" s="298">
        <f>ROUND('USPS Base'!Q33*(1+PostalMarkup),2)</f>
        <v>13.47</v>
      </c>
      <c r="F36" s="298">
        <f>ROUND('USPS Base'!R33*(1+PostalMarkup),2)</f>
        <v>14.84</v>
      </c>
      <c r="G36" s="298">
        <f>ROUND('USPS Base'!S33*(1+PostalMarkup),2)</f>
        <v>18.12</v>
      </c>
      <c r="H36" s="298">
        <f>ROUND('USPS Base'!T33*(1+PostalMarkup),2)</f>
        <v>19.52</v>
      </c>
      <c r="I36" s="298">
        <f>ROUND('USPS Base'!U33*(1+PostalMarkup),2)</f>
        <v>23.08</v>
      </c>
      <c r="J36" s="298">
        <f>ROUND('USPS Base'!V33*(1+PostalMarkup),2)</f>
        <v>31.36</v>
      </c>
    </row>
    <row r="37" ht="12.75" customHeight="1">
      <c r="A37" s="297">
        <v>17.0</v>
      </c>
      <c r="B37" s="298">
        <f>ROUND('USPS Base'!N34*(1+PostalMarkup),2)</f>
        <v>11.17</v>
      </c>
      <c r="C37" s="298">
        <f>ROUND('USPS Base'!O34*(1+PostalMarkup),2)</f>
        <v>11.17</v>
      </c>
      <c r="D37" s="298">
        <f>ROUND('USPS Base'!P34*(1+PostalMarkup),2)</f>
        <v>13.17</v>
      </c>
      <c r="E37" s="298">
        <f>ROUND('USPS Base'!Q34*(1+PostalMarkup),2)</f>
        <v>13.47</v>
      </c>
      <c r="F37" s="298">
        <f>ROUND('USPS Base'!R34*(1+PostalMarkup),2)</f>
        <v>14.84</v>
      </c>
      <c r="G37" s="298">
        <f>ROUND('USPS Base'!S34*(1+PostalMarkup),2)</f>
        <v>18.12</v>
      </c>
      <c r="H37" s="298">
        <f>ROUND('USPS Base'!T34*(1+PostalMarkup),2)</f>
        <v>19.52</v>
      </c>
      <c r="I37" s="298">
        <f>ROUND('USPS Base'!U34*(1+PostalMarkup),2)</f>
        <v>23.08</v>
      </c>
      <c r="J37" s="298">
        <f>ROUND('USPS Base'!V34*(1+PostalMarkup),2)</f>
        <v>32.35</v>
      </c>
    </row>
    <row r="38" ht="12.75" customHeight="1">
      <c r="A38" s="297">
        <v>18.0</v>
      </c>
      <c r="B38" s="298">
        <f>ROUND('USPS Base'!N35*(1+PostalMarkup),2)</f>
        <v>11.17</v>
      </c>
      <c r="C38" s="298">
        <f>ROUND('USPS Base'!O35*(1+PostalMarkup),2)</f>
        <v>11.17</v>
      </c>
      <c r="D38" s="298">
        <f>ROUND('USPS Base'!P35*(1+PostalMarkup),2)</f>
        <v>13.17</v>
      </c>
      <c r="E38" s="298">
        <f>ROUND('USPS Base'!Q35*(1+PostalMarkup),2)</f>
        <v>13.47</v>
      </c>
      <c r="F38" s="298">
        <f>ROUND('USPS Base'!R35*(1+PostalMarkup),2)</f>
        <v>14.84</v>
      </c>
      <c r="G38" s="298">
        <f>ROUND('USPS Base'!S35*(1+PostalMarkup),2)</f>
        <v>18.12</v>
      </c>
      <c r="H38" s="298">
        <f>ROUND('USPS Base'!T35*(1+PostalMarkup),2)</f>
        <v>19.52</v>
      </c>
      <c r="I38" s="298">
        <f>ROUND('USPS Base'!U35*(1+PostalMarkup),2)</f>
        <v>23.08</v>
      </c>
      <c r="J38" s="298">
        <f>ROUND('USPS Base'!V35*(1+PostalMarkup),2)</f>
        <v>33.44</v>
      </c>
    </row>
    <row r="39" ht="12.75" customHeight="1">
      <c r="A39" s="297">
        <v>19.0</v>
      </c>
      <c r="B39" s="298">
        <f>ROUND('USPS Base'!N36*(1+PostalMarkup),2)</f>
        <v>11.17</v>
      </c>
      <c r="C39" s="298">
        <f>ROUND('USPS Base'!O36*(1+PostalMarkup),2)</f>
        <v>11.17</v>
      </c>
      <c r="D39" s="298">
        <f>ROUND('USPS Base'!P36*(1+PostalMarkup),2)</f>
        <v>13.17</v>
      </c>
      <c r="E39" s="298">
        <f>ROUND('USPS Base'!Q36*(1+PostalMarkup),2)</f>
        <v>13.47</v>
      </c>
      <c r="F39" s="298">
        <f>ROUND('USPS Base'!R36*(1+PostalMarkup),2)</f>
        <v>14.84</v>
      </c>
      <c r="G39" s="298">
        <f>ROUND('USPS Base'!S36*(1+PostalMarkup),2)</f>
        <v>18.12</v>
      </c>
      <c r="H39" s="298">
        <f>ROUND('USPS Base'!T36*(1+PostalMarkup),2)</f>
        <v>19.52</v>
      </c>
      <c r="I39" s="298">
        <f>ROUND('USPS Base'!U36*(1+PostalMarkup),2)</f>
        <v>23.08</v>
      </c>
      <c r="J39" s="298">
        <f>ROUND('USPS Base'!V36*(1+PostalMarkup),2)</f>
        <v>34.52</v>
      </c>
    </row>
    <row r="40" ht="12.75" customHeight="1">
      <c r="A40" s="297">
        <v>20.0</v>
      </c>
      <c r="B40" s="298">
        <f>ROUND('USPS Base'!N37*(1+PostalMarkup),2)</f>
        <v>14.77</v>
      </c>
      <c r="C40" s="298">
        <f>ROUND('USPS Base'!O37*(1+PostalMarkup),2)</f>
        <v>15.31</v>
      </c>
      <c r="D40" s="298">
        <f>ROUND('USPS Base'!P37*(1+PostalMarkup),2)</f>
        <v>16.17</v>
      </c>
      <c r="E40" s="298">
        <f>ROUND('USPS Base'!Q37*(1+PostalMarkup),2)</f>
        <v>17.64</v>
      </c>
      <c r="F40" s="298">
        <f>ROUND('USPS Base'!R37*(1+PostalMarkup),2)</f>
        <v>20.47</v>
      </c>
      <c r="G40" s="298">
        <f>ROUND('USPS Base'!S37*(1+PostalMarkup),2)</f>
        <v>24.21</v>
      </c>
      <c r="H40" s="298">
        <f>ROUND('USPS Base'!T37*(1+PostalMarkup),2)</f>
        <v>27.86</v>
      </c>
      <c r="I40" s="298">
        <f>ROUND('USPS Base'!U37*(1+PostalMarkup),2)</f>
        <v>32.91</v>
      </c>
      <c r="J40" s="298">
        <f>ROUND('USPS Base'!V37*(1+PostalMarkup),2)</f>
        <v>37.35</v>
      </c>
    </row>
    <row r="41" ht="12.75" customHeight="1">
      <c r="A41" s="297">
        <v>21.0</v>
      </c>
      <c r="B41" s="298">
        <f>ROUND('USPS Base'!N38*(1+PostalMarkup),2)</f>
        <v>18.1</v>
      </c>
      <c r="C41" s="298">
        <f>ROUND('USPS Base'!O38*(1+PostalMarkup),2)</f>
        <v>19.12</v>
      </c>
      <c r="D41" s="298">
        <f>ROUND('USPS Base'!P38*(1+PostalMarkup),2)</f>
        <v>20.23</v>
      </c>
      <c r="E41" s="298">
        <f>ROUND('USPS Base'!Q38*(1+PostalMarkup),2)</f>
        <v>21.34</v>
      </c>
      <c r="F41" s="298">
        <f>ROUND('USPS Base'!R38*(1+PostalMarkup),2)</f>
        <v>25.58</v>
      </c>
      <c r="G41" s="298">
        <f>ROUND('USPS Base'!S38*(1+PostalMarkup),2)</f>
        <v>31.03</v>
      </c>
      <c r="H41" s="298">
        <f>ROUND('USPS Base'!T38*(1+PostalMarkup),2)</f>
        <v>37.17</v>
      </c>
      <c r="I41" s="298">
        <f>ROUND('USPS Base'!U38*(1+PostalMarkup),2)</f>
        <v>42.11</v>
      </c>
      <c r="J41" s="298">
        <f>ROUND('USPS Base'!V38*(1+PostalMarkup),2)</f>
        <v>42.11</v>
      </c>
    </row>
    <row r="42" ht="12.75" customHeight="1">
      <c r="A42" s="297">
        <v>22.0</v>
      </c>
      <c r="B42" s="298">
        <f>ROUND('USPS Base'!N39*(1+PostalMarkup),2)</f>
        <v>19.45</v>
      </c>
      <c r="C42" s="298">
        <f>ROUND('USPS Base'!O39*(1+PostalMarkup),2)</f>
        <v>20.78</v>
      </c>
      <c r="D42" s="298">
        <f>ROUND('USPS Base'!P39*(1+PostalMarkup),2)</f>
        <v>22.13</v>
      </c>
      <c r="E42" s="298">
        <f>ROUND('USPS Base'!Q39*(1+PostalMarkup),2)</f>
        <v>23.56</v>
      </c>
      <c r="F42" s="298">
        <f>ROUND('USPS Base'!R39*(1+PostalMarkup),2)</f>
        <v>28.83</v>
      </c>
      <c r="G42" s="298">
        <f>ROUND('USPS Base'!S39*(1+PostalMarkup),2)</f>
        <v>35.97</v>
      </c>
      <c r="H42" s="298">
        <f>ROUND('USPS Base'!T39*(1+PostalMarkup),2)</f>
        <v>43.41</v>
      </c>
      <c r="I42" s="298">
        <f>ROUND('USPS Base'!U39*(1+PostalMarkup),2)</f>
        <v>48.71</v>
      </c>
      <c r="J42" s="298">
        <f>ROUND('USPS Base'!V39*(1+PostalMarkup),2)</f>
        <v>48.71</v>
      </c>
    </row>
    <row r="43" ht="12.75" customHeight="1">
      <c r="A43" s="297">
        <v>23.0</v>
      </c>
      <c r="B43" s="298">
        <f>ROUND('USPS Base'!N40*(1+PostalMarkup),2)</f>
        <v>21.06</v>
      </c>
      <c r="C43" s="298">
        <f>ROUND('USPS Base'!O40*(1+PostalMarkup),2)</f>
        <v>22.67</v>
      </c>
      <c r="D43" s="298">
        <f>ROUND('USPS Base'!P40*(1+PostalMarkup),2)</f>
        <v>24.39</v>
      </c>
      <c r="E43" s="298">
        <f>ROUND('USPS Base'!Q40*(1+PostalMarkup),2)</f>
        <v>26.76</v>
      </c>
      <c r="F43" s="298">
        <f>ROUND('USPS Base'!R40*(1+PostalMarkup),2)</f>
        <v>33.34</v>
      </c>
      <c r="G43" s="298">
        <f>ROUND('USPS Base'!S40*(1+PostalMarkup),2)</f>
        <v>42.38</v>
      </c>
      <c r="H43" s="298">
        <f>ROUND('USPS Base'!T40*(1+PostalMarkup),2)</f>
        <v>51.06</v>
      </c>
      <c r="I43" s="298">
        <f>ROUND('USPS Base'!U40*(1+PostalMarkup),2)</f>
        <v>57.19</v>
      </c>
      <c r="J43" s="298">
        <f>ROUND('USPS Base'!V40*(1+PostalMarkup),2)</f>
        <v>57.19</v>
      </c>
    </row>
    <row r="44" ht="12.75" customHeight="1">
      <c r="A44" s="297">
        <v>24.0</v>
      </c>
      <c r="B44" s="298">
        <f>ROUND('USPS Base'!N41*(1+PostalMarkup),2)</f>
        <v>22.95</v>
      </c>
      <c r="C44" s="298">
        <f>ROUND('USPS Base'!O41*(1+PostalMarkup),2)</f>
        <v>24.74</v>
      </c>
      <c r="D44" s="298">
        <f>ROUND('USPS Base'!P41*(1+PostalMarkup),2)</f>
        <v>27.06</v>
      </c>
      <c r="E44" s="298">
        <f>ROUND('USPS Base'!Q41*(1+PostalMarkup),2)</f>
        <v>30.96</v>
      </c>
      <c r="F44" s="298">
        <f>ROUND('USPS Base'!R41*(1+PostalMarkup),2)</f>
        <v>39.1</v>
      </c>
      <c r="G44" s="298">
        <f>ROUND('USPS Base'!S41*(1+PostalMarkup),2)</f>
        <v>50.21</v>
      </c>
      <c r="H44" s="298">
        <f>ROUND('USPS Base'!T41*(1+PostalMarkup),2)</f>
        <v>60.12</v>
      </c>
      <c r="I44" s="298">
        <f>ROUND('USPS Base'!U41*(1+PostalMarkup),2)</f>
        <v>67.53</v>
      </c>
      <c r="J44" s="298">
        <f>ROUND('USPS Base'!V41*(1+PostalMarkup),2)</f>
        <v>67.53</v>
      </c>
    </row>
    <row r="45" ht="12.75" customHeight="1">
      <c r="A45" s="297">
        <v>25.0</v>
      </c>
      <c r="B45" s="298">
        <f>ROUND('USPS Base'!N42*(1+PostalMarkup),2)</f>
        <v>24.78</v>
      </c>
      <c r="C45" s="298">
        <f>ROUND('USPS Base'!O42*(1+PostalMarkup),2)</f>
        <v>26.97</v>
      </c>
      <c r="D45" s="298">
        <f>ROUND('USPS Base'!P42*(1+PostalMarkup),2)</f>
        <v>30.07</v>
      </c>
      <c r="E45" s="298">
        <f>ROUND('USPS Base'!Q42*(1+PostalMarkup),2)</f>
        <v>35.83</v>
      </c>
      <c r="F45" s="298">
        <f>ROUND('USPS Base'!R42*(1+PostalMarkup),2)</f>
        <v>45.95</v>
      </c>
      <c r="G45" s="298">
        <f>ROUND('USPS Base'!S42*(1+PostalMarkup),2)</f>
        <v>57.03</v>
      </c>
      <c r="H45" s="298">
        <f>ROUND('USPS Base'!T42*(1+PostalMarkup),2)</f>
        <v>67.42</v>
      </c>
      <c r="I45" s="298">
        <f>ROUND('USPS Base'!U42*(1+PostalMarkup),2)</f>
        <v>76.56</v>
      </c>
      <c r="J45" s="298">
        <f>ROUND('USPS Base'!V42*(1+PostalMarkup),2)</f>
        <v>76.56</v>
      </c>
    </row>
    <row r="46" ht="12.75" customHeight="1">
      <c r="A46" s="297">
        <v>26.0</v>
      </c>
      <c r="B46" s="298">
        <f>ROUND('USPS Base'!N43*(1+PostalMarkup),2)</f>
        <v>25.71</v>
      </c>
      <c r="C46" s="298">
        <f>ROUND('USPS Base'!O43*(1+PostalMarkup),2)</f>
        <v>28.08</v>
      </c>
      <c r="D46" s="298">
        <f>ROUND('USPS Base'!P43*(1+PostalMarkup),2)</f>
        <v>31.59</v>
      </c>
      <c r="E46" s="298">
        <f>ROUND('USPS Base'!Q43*(1+PostalMarkup),2)</f>
        <v>38.26</v>
      </c>
      <c r="F46" s="298">
        <f>ROUND('USPS Base'!R43*(1+PostalMarkup),2)</f>
        <v>49.4</v>
      </c>
      <c r="G46" s="298">
        <f>ROUND('USPS Base'!S43*(1+PostalMarkup),2)</f>
        <v>60.44</v>
      </c>
      <c r="H46" s="298">
        <f>ROUND('USPS Base'!T43*(1+PostalMarkup),2)</f>
        <v>71.09</v>
      </c>
      <c r="I46" s="298">
        <f>ROUND('USPS Base'!U43*(1+PostalMarkup),2)</f>
        <v>81.08</v>
      </c>
      <c r="J46" s="298">
        <f>ROUND('USPS Base'!V43*(1+PostalMarkup),2)</f>
        <v>81.08</v>
      </c>
    </row>
    <row r="47" ht="12.75" customHeight="1">
      <c r="A47" s="297">
        <v>27.0</v>
      </c>
      <c r="B47" s="298">
        <f>ROUND('USPS Base'!N44*(1+PostalMarkup),2)</f>
        <v>26.65</v>
      </c>
      <c r="C47" s="298">
        <f>ROUND('USPS Base'!O44*(1+PostalMarkup),2)</f>
        <v>29.21</v>
      </c>
      <c r="D47" s="298">
        <f>ROUND('USPS Base'!P44*(1+PostalMarkup),2)</f>
        <v>33.11</v>
      </c>
      <c r="E47" s="298">
        <f>ROUND('USPS Base'!Q44*(1+PostalMarkup),2)</f>
        <v>40.71</v>
      </c>
      <c r="F47" s="298">
        <f>ROUND('USPS Base'!R44*(1+PostalMarkup),2)</f>
        <v>52.83</v>
      </c>
      <c r="G47" s="298">
        <f>ROUND('USPS Base'!S44*(1+PostalMarkup),2)</f>
        <v>63.88</v>
      </c>
      <c r="H47" s="298">
        <f>ROUND('USPS Base'!T44*(1+PostalMarkup),2)</f>
        <v>74.76</v>
      </c>
      <c r="I47" s="298">
        <f>ROUND('USPS Base'!U44*(1+PostalMarkup),2)</f>
        <v>85.63</v>
      </c>
      <c r="J47" s="298">
        <f>ROUND('USPS Base'!V44*(1+PostalMarkup),2)</f>
        <v>85.63</v>
      </c>
    </row>
    <row r="48" ht="12.75" customHeight="1">
      <c r="A48" s="297">
        <v>28.0</v>
      </c>
      <c r="B48" s="298">
        <f>ROUND('USPS Base'!N45*(1+PostalMarkup),2)</f>
        <v>27.39</v>
      </c>
      <c r="C48" s="298">
        <f>ROUND('USPS Base'!O45*(1+PostalMarkup),2)</f>
        <v>30.06</v>
      </c>
      <c r="D48" s="298">
        <f>ROUND('USPS Base'!P45*(1+PostalMarkup),2)</f>
        <v>34.12</v>
      </c>
      <c r="E48" s="298">
        <f>ROUND('USPS Base'!Q45*(1+PostalMarkup),2)</f>
        <v>41.96</v>
      </c>
      <c r="F48" s="298">
        <f>ROUND('USPS Base'!R45*(1+PostalMarkup),2)</f>
        <v>54.59</v>
      </c>
      <c r="G48" s="298">
        <f>ROUND('USPS Base'!S45*(1+PostalMarkup),2)</f>
        <v>66.08</v>
      </c>
      <c r="H48" s="298">
        <f>ROUND('USPS Base'!T45*(1+PostalMarkup),2)</f>
        <v>77.37</v>
      </c>
      <c r="I48" s="298">
        <f>ROUND('USPS Base'!U45*(1+PostalMarkup),2)</f>
        <v>88.64</v>
      </c>
      <c r="J48" s="298">
        <f>ROUND('USPS Base'!V45*(1+PostalMarkup),2)</f>
        <v>88.64</v>
      </c>
    </row>
    <row r="49" ht="12.75" customHeight="1">
      <c r="A49" s="297">
        <v>29.0</v>
      </c>
      <c r="B49" s="298">
        <f>ROUND('USPS Base'!N46*(1+PostalMarkup),2)</f>
        <v>28.12</v>
      </c>
      <c r="C49" s="298">
        <f>ROUND('USPS Base'!O46*(1+PostalMarkup),2)</f>
        <v>30.89</v>
      </c>
      <c r="D49" s="298">
        <f>ROUND('USPS Base'!P46*(1+PostalMarkup),2)</f>
        <v>35.12</v>
      </c>
      <c r="E49" s="298">
        <f>ROUND('USPS Base'!Q46*(1+PostalMarkup),2)</f>
        <v>43.18</v>
      </c>
      <c r="F49" s="298">
        <f>ROUND('USPS Base'!R46*(1+PostalMarkup),2)</f>
        <v>56.34</v>
      </c>
      <c r="G49" s="298">
        <f>ROUND('USPS Base'!S46*(1+PostalMarkup),2)</f>
        <v>68.24</v>
      </c>
      <c r="H49" s="298">
        <f>ROUND('USPS Base'!T46*(1+PostalMarkup),2)</f>
        <v>79.95</v>
      </c>
      <c r="I49" s="298">
        <f>ROUND('USPS Base'!U46*(1+PostalMarkup),2)</f>
        <v>91.63</v>
      </c>
      <c r="J49" s="298">
        <f>ROUND('USPS Base'!V46*(1+PostalMarkup),2)</f>
        <v>91.63</v>
      </c>
    </row>
    <row r="50" ht="12.75" customHeight="1">
      <c r="A50" s="297">
        <v>30.0</v>
      </c>
      <c r="B50" s="298">
        <f>ROUND('USPS Base'!N47*(1+PostalMarkup),2)</f>
        <v>28.84</v>
      </c>
      <c r="C50" s="298">
        <f>ROUND('USPS Base'!O47*(1+PostalMarkup),2)</f>
        <v>31.71</v>
      </c>
      <c r="D50" s="298">
        <f>ROUND('USPS Base'!P47*(1+PostalMarkup),2)</f>
        <v>36.1</v>
      </c>
      <c r="E50" s="298">
        <f>ROUND('USPS Base'!Q47*(1+PostalMarkup),2)</f>
        <v>44.39</v>
      </c>
      <c r="F50" s="298">
        <f>ROUND('USPS Base'!R47*(1+PostalMarkup),2)</f>
        <v>58.05</v>
      </c>
      <c r="G50" s="298">
        <f>ROUND('USPS Base'!S47*(1+PostalMarkup),2)</f>
        <v>70.38</v>
      </c>
      <c r="H50" s="298">
        <f>ROUND('USPS Base'!T47*(1+PostalMarkup),2)</f>
        <v>82.49</v>
      </c>
      <c r="I50" s="298">
        <f>ROUND('USPS Base'!U47*(1+PostalMarkup),2)</f>
        <v>94.58</v>
      </c>
      <c r="J50" s="298">
        <f>ROUND('USPS Base'!V47*(1+PostalMarkup),2)</f>
        <v>94.58</v>
      </c>
    </row>
    <row r="51" ht="12.75" customHeight="1">
      <c r="A51" s="297">
        <v>31.0</v>
      </c>
      <c r="B51" s="298">
        <f>ROUND('USPS Base'!N48*(1+PostalMarkup),2)</f>
        <v>29.56</v>
      </c>
      <c r="C51" s="298">
        <f>ROUND('USPS Base'!O48*(1+PostalMarkup),2)</f>
        <v>32.52</v>
      </c>
      <c r="D51" s="298">
        <f>ROUND('USPS Base'!P48*(1+PostalMarkup),2)</f>
        <v>37.05</v>
      </c>
      <c r="E51" s="298">
        <f>ROUND('USPS Base'!Q48*(1+PostalMarkup),2)</f>
        <v>45.57</v>
      </c>
      <c r="F51" s="298">
        <f>ROUND('USPS Base'!R48*(1+PostalMarkup),2)</f>
        <v>59.73</v>
      </c>
      <c r="G51" s="298">
        <f>ROUND('USPS Base'!S48*(1+PostalMarkup),2)</f>
        <v>72.47</v>
      </c>
      <c r="H51" s="298">
        <f>ROUND('USPS Base'!T48*(1+PostalMarkup),2)</f>
        <v>85</v>
      </c>
      <c r="I51" s="298">
        <f>ROUND('USPS Base'!U48*(1+PostalMarkup),2)</f>
        <v>97.49</v>
      </c>
      <c r="J51" s="298">
        <f>ROUND('USPS Base'!V48*(1+PostalMarkup),2)</f>
        <v>97.49</v>
      </c>
    </row>
    <row r="52" ht="12.75" customHeight="1">
      <c r="A52" s="297">
        <v>32.0</v>
      </c>
      <c r="B52" s="298">
        <f>ROUND('USPS Base'!N49*(1+PostalMarkup),2)</f>
        <v>30.26</v>
      </c>
      <c r="C52" s="298">
        <f>ROUND('USPS Base'!O49*(1+PostalMarkup),2)</f>
        <v>33.33</v>
      </c>
      <c r="D52" s="298">
        <f>ROUND('USPS Base'!P49*(1+PostalMarkup),2)</f>
        <v>38</v>
      </c>
      <c r="E52" s="298">
        <f>ROUND('USPS Base'!Q49*(1+PostalMarkup),2)</f>
        <v>46.72</v>
      </c>
      <c r="F52" s="298">
        <f>ROUND('USPS Base'!R49*(1+PostalMarkup),2)</f>
        <v>61.39</v>
      </c>
      <c r="G52" s="298">
        <f>ROUND('USPS Base'!S49*(1+PostalMarkup),2)</f>
        <v>74.54</v>
      </c>
      <c r="H52" s="298">
        <f>ROUND('USPS Base'!T49*(1+PostalMarkup),2)</f>
        <v>87.47</v>
      </c>
      <c r="I52" s="298">
        <f>ROUND('USPS Base'!U49*(1+PostalMarkup),2)</f>
        <v>100.37</v>
      </c>
      <c r="J52" s="298">
        <f>ROUND('USPS Base'!V49*(1+PostalMarkup),2)</f>
        <v>100.37</v>
      </c>
    </row>
    <row r="53" ht="12.75" customHeight="1">
      <c r="A53" s="297">
        <v>33.0</v>
      </c>
      <c r="B53" s="298">
        <f>ROUND('USPS Base'!N50*(1+PostalMarkup),2)</f>
        <v>30.96</v>
      </c>
      <c r="C53" s="298">
        <f>ROUND('USPS Base'!O50*(1+PostalMarkup),2)</f>
        <v>34.11</v>
      </c>
      <c r="D53" s="298">
        <f>ROUND('USPS Base'!P50*(1+PostalMarkup),2)</f>
        <v>38.93</v>
      </c>
      <c r="E53" s="298">
        <f>ROUND('USPS Base'!Q50*(1+PostalMarkup),2)</f>
        <v>47.86</v>
      </c>
      <c r="F53" s="298">
        <f>ROUND('USPS Base'!R50*(1+PostalMarkup),2)</f>
        <v>63.04</v>
      </c>
      <c r="G53" s="298">
        <f>ROUND('USPS Base'!S50*(1+PostalMarkup),2)</f>
        <v>76.6</v>
      </c>
      <c r="H53" s="298">
        <f>ROUND('USPS Base'!T50*(1+PostalMarkup),2)</f>
        <v>89.92</v>
      </c>
      <c r="I53" s="298">
        <f>ROUND('USPS Base'!U50*(1+PostalMarkup),2)</f>
        <v>103.22</v>
      </c>
      <c r="J53" s="298">
        <f>ROUND('USPS Base'!V50*(1+PostalMarkup),2)</f>
        <v>103.22</v>
      </c>
    </row>
    <row r="54" ht="12.75" customHeight="1">
      <c r="A54" s="297">
        <v>34.0</v>
      </c>
      <c r="B54" s="298">
        <f>ROUND('USPS Base'!N51*(1+PostalMarkup),2)</f>
        <v>31.65</v>
      </c>
      <c r="C54" s="298">
        <f>ROUND('USPS Base'!O51*(1+PostalMarkup),2)</f>
        <v>34.9</v>
      </c>
      <c r="D54" s="298">
        <f>ROUND('USPS Base'!P51*(1+PostalMarkup),2)</f>
        <v>39.84</v>
      </c>
      <c r="E54" s="298">
        <f>ROUND('USPS Base'!Q51*(1+PostalMarkup),2)</f>
        <v>48.99</v>
      </c>
      <c r="F54" s="298">
        <f>ROUND('USPS Base'!R51*(1+PostalMarkup),2)</f>
        <v>64.66</v>
      </c>
      <c r="G54" s="298">
        <f>ROUND('USPS Base'!S51*(1+PostalMarkup),2)</f>
        <v>78.63</v>
      </c>
      <c r="H54" s="298">
        <f>ROUND('USPS Base'!T51*(1+PostalMarkup),2)</f>
        <v>92.33</v>
      </c>
      <c r="I54" s="298">
        <f>ROUND('USPS Base'!U51*(1+PostalMarkup),2)</f>
        <v>106.03</v>
      </c>
      <c r="J54" s="298">
        <f>ROUND('USPS Base'!V51*(1+PostalMarkup),2)</f>
        <v>106.03</v>
      </c>
    </row>
    <row r="55" ht="12.75" customHeight="1">
      <c r="A55" s="297">
        <v>35.0</v>
      </c>
      <c r="B55" s="298">
        <f>ROUND('USPS Base'!N52*(1+PostalMarkup),2)</f>
        <v>32.35</v>
      </c>
      <c r="C55" s="298">
        <f>ROUND('USPS Base'!O52*(1+PostalMarkup),2)</f>
        <v>35.67</v>
      </c>
      <c r="D55" s="298">
        <f>ROUND('USPS Base'!P52*(1+PostalMarkup),2)</f>
        <v>40.74</v>
      </c>
      <c r="E55" s="298">
        <f>ROUND('USPS Base'!Q52*(1+PostalMarkup),2)</f>
        <v>50.12</v>
      </c>
      <c r="F55" s="298">
        <f>ROUND('USPS Base'!R52*(1+PostalMarkup),2)</f>
        <v>66.29</v>
      </c>
      <c r="G55" s="298">
        <f>ROUND('USPS Base'!S52*(1+PostalMarkup),2)</f>
        <v>80.65</v>
      </c>
      <c r="H55" s="298">
        <f>ROUND('USPS Base'!T52*(1+PostalMarkup),2)</f>
        <v>94.75</v>
      </c>
      <c r="I55" s="298">
        <f>ROUND('USPS Base'!U52*(1+PostalMarkup),2)</f>
        <v>108.85</v>
      </c>
      <c r="J55" s="298">
        <f>ROUND('USPS Base'!V52*(1+PostalMarkup),2)</f>
        <v>108.85</v>
      </c>
    </row>
    <row r="56" ht="12.75" customHeight="1">
      <c r="A56" s="297">
        <v>36.0</v>
      </c>
      <c r="B56" s="298">
        <f>ROUND('USPS Base'!N53*(1+PostalMarkup),2)</f>
        <v>33.01</v>
      </c>
      <c r="C56" s="298">
        <f>ROUND('USPS Base'!O53*(1+PostalMarkup),2)</f>
        <v>36.43</v>
      </c>
      <c r="D56" s="298">
        <f>ROUND('USPS Base'!P53*(1+PostalMarkup),2)</f>
        <v>41.62</v>
      </c>
      <c r="E56" s="298">
        <f>ROUND('USPS Base'!Q53*(1+PostalMarkup),2)</f>
        <v>51.16</v>
      </c>
      <c r="F56" s="298">
        <f>ROUND('USPS Base'!R53*(1+PostalMarkup),2)</f>
        <v>67.82</v>
      </c>
      <c r="G56" s="298">
        <f>ROUND('USPS Base'!S53*(1+PostalMarkup),2)</f>
        <v>82.57</v>
      </c>
      <c r="H56" s="298">
        <f>ROUND('USPS Base'!T53*(1+PostalMarkup),2)</f>
        <v>97.07</v>
      </c>
      <c r="I56" s="298">
        <f>ROUND('USPS Base'!U53*(1+PostalMarkup),2)</f>
        <v>111.57</v>
      </c>
      <c r="J56" s="298">
        <f>ROUND('USPS Base'!V53*(1+PostalMarkup),2)</f>
        <v>111.57</v>
      </c>
    </row>
    <row r="57" ht="12.75" customHeight="1">
      <c r="A57" s="297">
        <v>37.0</v>
      </c>
      <c r="B57" s="298">
        <f>ROUND('USPS Base'!N54*(1+PostalMarkup),2)</f>
        <v>33.68</v>
      </c>
      <c r="C57" s="298">
        <f>ROUND('USPS Base'!O54*(1+PostalMarkup),2)</f>
        <v>37.2</v>
      </c>
      <c r="D57" s="298">
        <f>ROUND('USPS Base'!P54*(1+PostalMarkup),2)</f>
        <v>42.5</v>
      </c>
      <c r="E57" s="298">
        <f>ROUND('USPS Base'!Q54*(1+PostalMarkup),2)</f>
        <v>52.24</v>
      </c>
      <c r="F57" s="298">
        <f>ROUND('USPS Base'!R54*(1+PostalMarkup),2)</f>
        <v>69.38</v>
      </c>
      <c r="G57" s="298">
        <f>ROUND('USPS Base'!S54*(1+PostalMarkup),2)</f>
        <v>84.53</v>
      </c>
      <c r="H57" s="298">
        <f>ROUND('USPS Base'!T54*(1+PostalMarkup),2)</f>
        <v>99.42</v>
      </c>
      <c r="I57" s="298">
        <f>ROUND('USPS Base'!U54*(1+PostalMarkup),2)</f>
        <v>114.31</v>
      </c>
      <c r="J57" s="298">
        <f>ROUND('USPS Base'!V54*(1+PostalMarkup),2)</f>
        <v>114.31</v>
      </c>
    </row>
    <row r="58" ht="12.75" customHeight="1">
      <c r="A58" s="297">
        <v>38.0</v>
      </c>
      <c r="B58" s="298">
        <f>ROUND('USPS Base'!N55*(1+PostalMarkup),2)</f>
        <v>34.35</v>
      </c>
      <c r="C58" s="298">
        <f>ROUND('USPS Base'!O55*(1+PostalMarkup),2)</f>
        <v>37.94</v>
      </c>
      <c r="D58" s="298">
        <f>ROUND('USPS Base'!P55*(1+PostalMarkup),2)</f>
        <v>43.36</v>
      </c>
      <c r="E58" s="298">
        <f>ROUND('USPS Base'!Q55*(1+PostalMarkup),2)</f>
        <v>53.3</v>
      </c>
      <c r="F58" s="298">
        <f>ROUND('USPS Base'!R55*(1+PostalMarkup),2)</f>
        <v>70.92</v>
      </c>
      <c r="G58" s="298">
        <f>ROUND('USPS Base'!S55*(1+PostalMarkup),2)</f>
        <v>86.47</v>
      </c>
      <c r="H58" s="298">
        <f>ROUND('USPS Base'!T55*(1+PostalMarkup),2)</f>
        <v>101.73</v>
      </c>
      <c r="I58" s="298">
        <f>ROUND('USPS Base'!U55*(1+PostalMarkup),2)</f>
        <v>117.02</v>
      </c>
      <c r="J58" s="298">
        <f>ROUND('USPS Base'!V55*(1+PostalMarkup),2)</f>
        <v>117.02</v>
      </c>
    </row>
    <row r="59" ht="12.75" customHeight="1">
      <c r="A59" s="297">
        <v>39.0</v>
      </c>
      <c r="B59" s="298">
        <f>ROUND('USPS Base'!N56*(1+PostalMarkup),2)</f>
        <v>35.02</v>
      </c>
      <c r="C59" s="298">
        <f>ROUND('USPS Base'!O56*(1+PostalMarkup),2)</f>
        <v>38.67</v>
      </c>
      <c r="D59" s="298">
        <f>ROUND('USPS Base'!P56*(1+PostalMarkup),2)</f>
        <v>44.19</v>
      </c>
      <c r="E59" s="298">
        <f>ROUND('USPS Base'!Q56*(1+PostalMarkup),2)</f>
        <v>54.34</v>
      </c>
      <c r="F59" s="298">
        <f>ROUND('USPS Base'!R56*(1+PostalMarkup),2)</f>
        <v>72.45</v>
      </c>
      <c r="G59" s="298">
        <f>ROUND('USPS Base'!S56*(1+PostalMarkup),2)</f>
        <v>88.38</v>
      </c>
      <c r="H59" s="298">
        <f>ROUND('USPS Base'!T56*(1+PostalMarkup),2)</f>
        <v>104.01</v>
      </c>
      <c r="I59" s="298">
        <f>ROUND('USPS Base'!U56*(1+PostalMarkup),2)</f>
        <v>119.7</v>
      </c>
      <c r="J59" s="298">
        <f>ROUND('USPS Base'!V56*(1+PostalMarkup),2)</f>
        <v>119.7</v>
      </c>
    </row>
    <row r="60" ht="12.75" customHeight="1">
      <c r="A60" s="297">
        <v>40.0</v>
      </c>
      <c r="B60" s="298">
        <f>ROUND('USPS Base'!N57*(1+PostalMarkup),2)</f>
        <v>35.68</v>
      </c>
      <c r="C60" s="298">
        <f>ROUND('USPS Base'!O57*(1+PostalMarkup),2)</f>
        <v>39.4</v>
      </c>
      <c r="D60" s="298">
        <f>ROUND('USPS Base'!P57*(1+PostalMarkup),2)</f>
        <v>45.02</v>
      </c>
      <c r="E60" s="298">
        <f>ROUND('USPS Base'!Q57*(1+PostalMarkup),2)</f>
        <v>55.36</v>
      </c>
      <c r="F60" s="298">
        <f>ROUND('USPS Base'!R57*(1+PostalMarkup),2)</f>
        <v>73.95</v>
      </c>
      <c r="G60" s="298">
        <f>ROUND('USPS Base'!S57*(1+PostalMarkup),2)</f>
        <v>90.25</v>
      </c>
      <c r="H60" s="298">
        <f>ROUND('USPS Base'!T57*(1+PostalMarkup),2)</f>
        <v>106.26</v>
      </c>
      <c r="I60" s="298">
        <f>ROUND('USPS Base'!U57*(1+PostalMarkup),2)</f>
        <v>122.35</v>
      </c>
      <c r="J60" s="298">
        <f>ROUND('USPS Base'!V57*(1+PostalMarkup),2)</f>
        <v>122.35</v>
      </c>
    </row>
    <row r="61" ht="12.75" customHeight="1">
      <c r="A61" s="297">
        <v>41.0</v>
      </c>
      <c r="B61" s="298">
        <f>ROUND('USPS Base'!N58*(1+PostalMarkup),2)</f>
        <v>36.32</v>
      </c>
      <c r="C61" s="298">
        <f>ROUND('USPS Base'!O58*(1+PostalMarkup),2)</f>
        <v>40.12</v>
      </c>
      <c r="D61" s="298">
        <f>ROUND('USPS Base'!P58*(1+PostalMarkup),2)</f>
        <v>45.84</v>
      </c>
      <c r="E61" s="298">
        <f>ROUND('USPS Base'!Q58*(1+PostalMarkup),2)</f>
        <v>56.38</v>
      </c>
      <c r="F61" s="298">
        <f>ROUND('USPS Base'!R58*(1+PostalMarkup),2)</f>
        <v>75.43</v>
      </c>
      <c r="G61" s="298">
        <f>ROUND('USPS Base'!S58*(1+PostalMarkup),2)</f>
        <v>92.12</v>
      </c>
      <c r="H61" s="298">
        <f>ROUND('USPS Base'!T58*(1+PostalMarkup),2)</f>
        <v>108.49</v>
      </c>
      <c r="I61" s="298">
        <f>ROUND('USPS Base'!U58*(1+PostalMarkup),2)</f>
        <v>124.97</v>
      </c>
      <c r="J61" s="298">
        <f>ROUND('USPS Base'!V58*(1+PostalMarkup),2)</f>
        <v>124.97</v>
      </c>
    </row>
    <row r="62" ht="12.75" customHeight="1">
      <c r="A62" s="297">
        <v>42.0</v>
      </c>
      <c r="B62" s="298">
        <f>ROUND('USPS Base'!N59*(1+PostalMarkup),2)</f>
        <v>36.96</v>
      </c>
      <c r="C62" s="298">
        <f>ROUND('USPS Base'!O59*(1+PostalMarkup),2)</f>
        <v>40.81</v>
      </c>
      <c r="D62" s="298">
        <f>ROUND('USPS Base'!P59*(1+PostalMarkup),2)</f>
        <v>46.63</v>
      </c>
      <c r="E62" s="298">
        <f>ROUND('USPS Base'!Q59*(1+PostalMarkup),2)</f>
        <v>57.36</v>
      </c>
      <c r="F62" s="298">
        <f>ROUND('USPS Base'!R59*(1+PostalMarkup),2)</f>
        <v>76.89</v>
      </c>
      <c r="G62" s="298">
        <f>ROUND('USPS Base'!S59*(1+PostalMarkup),2)</f>
        <v>93.94</v>
      </c>
      <c r="H62" s="298">
        <f>ROUND('USPS Base'!T59*(1+PostalMarkup),2)</f>
        <v>110.7</v>
      </c>
      <c r="I62" s="298">
        <f>ROUND('USPS Base'!U59*(1+PostalMarkup),2)</f>
        <v>127.56</v>
      </c>
      <c r="J62" s="298">
        <f>ROUND('USPS Base'!V59*(1+PostalMarkup),2)</f>
        <v>127.56</v>
      </c>
    </row>
    <row r="63" ht="12.75" customHeight="1">
      <c r="A63" s="297">
        <v>43.0</v>
      </c>
      <c r="B63" s="298">
        <f>ROUND('USPS Base'!N60*(1+PostalMarkup),2)</f>
        <v>37.61</v>
      </c>
      <c r="C63" s="298">
        <f>ROUND('USPS Base'!O60*(1+PostalMarkup),2)</f>
        <v>41.52</v>
      </c>
      <c r="D63" s="298">
        <f>ROUND('USPS Base'!P60*(1+PostalMarkup),2)</f>
        <v>47.43</v>
      </c>
      <c r="E63" s="298">
        <f>ROUND('USPS Base'!Q60*(1+PostalMarkup),2)</f>
        <v>58.33</v>
      </c>
      <c r="F63" s="298">
        <f>ROUND('USPS Base'!R60*(1+PostalMarkup),2)</f>
        <v>78.32</v>
      </c>
      <c r="G63" s="298">
        <f>ROUND('USPS Base'!S60*(1+PostalMarkup),2)</f>
        <v>95.75</v>
      </c>
      <c r="H63" s="298">
        <f>ROUND('USPS Base'!T60*(1+PostalMarkup),2)</f>
        <v>112.86</v>
      </c>
      <c r="I63" s="298">
        <f>ROUND('USPS Base'!U60*(1+PostalMarkup),2)</f>
        <v>130.11</v>
      </c>
      <c r="J63" s="298">
        <f>ROUND('USPS Base'!V60*(1+PostalMarkup),2)</f>
        <v>130.11</v>
      </c>
    </row>
    <row r="64" ht="12.75" customHeight="1">
      <c r="A64" s="297">
        <v>44.0</v>
      </c>
      <c r="B64" s="298">
        <f>ROUND('USPS Base'!N61*(1+PostalMarkup),2)</f>
        <v>38.24</v>
      </c>
      <c r="C64" s="298">
        <f>ROUND('USPS Base'!O61*(1+PostalMarkup),2)</f>
        <v>42.19</v>
      </c>
      <c r="D64" s="298">
        <f>ROUND('USPS Base'!P61*(1+PostalMarkup),2)</f>
        <v>48.19</v>
      </c>
      <c r="E64" s="298">
        <f>ROUND('USPS Base'!Q61*(1+PostalMarkup),2)</f>
        <v>59.28</v>
      </c>
      <c r="F64" s="298">
        <f>ROUND('USPS Base'!R61*(1+PostalMarkup),2)</f>
        <v>79.72</v>
      </c>
      <c r="G64" s="298">
        <f>ROUND('USPS Base'!S61*(1+PostalMarkup),2)</f>
        <v>97.52</v>
      </c>
      <c r="H64" s="298">
        <f>ROUND('USPS Base'!T61*(1+PostalMarkup),2)</f>
        <v>115</v>
      </c>
      <c r="I64" s="298">
        <f>ROUND('USPS Base'!U61*(1+PostalMarkup),2)</f>
        <v>132.63</v>
      </c>
      <c r="J64" s="298">
        <f>ROUND('USPS Base'!V61*(1+PostalMarkup),2)</f>
        <v>132.63</v>
      </c>
    </row>
    <row r="65" ht="12.75" customHeight="1">
      <c r="A65" s="297">
        <v>45.0</v>
      </c>
      <c r="B65" s="298">
        <f>ROUND('USPS Base'!N62*(1+PostalMarkup),2)</f>
        <v>38.86</v>
      </c>
      <c r="C65" s="298">
        <f>ROUND('USPS Base'!O62*(1+PostalMarkup),2)</f>
        <v>42.87</v>
      </c>
      <c r="D65" s="298">
        <f>ROUND('USPS Base'!P62*(1+PostalMarkup),2)</f>
        <v>48.96</v>
      </c>
      <c r="E65" s="298">
        <f>ROUND('USPS Base'!Q62*(1+PostalMarkup),2)</f>
        <v>60.21</v>
      </c>
      <c r="F65" s="298">
        <f>ROUND('USPS Base'!R62*(1+PostalMarkup),2)</f>
        <v>81.12</v>
      </c>
      <c r="G65" s="298">
        <f>ROUND('USPS Base'!S62*(1+PostalMarkup),2)</f>
        <v>99.28</v>
      </c>
      <c r="H65" s="298">
        <f>ROUND('USPS Base'!T62*(1+PostalMarkup),2)</f>
        <v>117.12</v>
      </c>
      <c r="I65" s="298">
        <f>ROUND('USPS Base'!U62*(1+PostalMarkup),2)</f>
        <v>135.14</v>
      </c>
      <c r="J65" s="298">
        <f>ROUND('USPS Base'!V62*(1+PostalMarkup),2)</f>
        <v>135.14</v>
      </c>
    </row>
    <row r="66" ht="12.75" customHeight="1">
      <c r="A66" s="297">
        <v>46.0</v>
      </c>
      <c r="B66" s="298">
        <f>ROUND('USPS Base'!N63*(1+PostalMarkup),2)</f>
        <v>39.48</v>
      </c>
      <c r="C66" s="298">
        <f>ROUND('USPS Base'!O63*(1+PostalMarkup),2)</f>
        <v>43.53</v>
      </c>
      <c r="D66" s="298">
        <f>ROUND('USPS Base'!P63*(1+PostalMarkup),2)</f>
        <v>49.69</v>
      </c>
      <c r="E66" s="298">
        <f>ROUND('USPS Base'!Q63*(1+PostalMarkup),2)</f>
        <v>61.12</v>
      </c>
      <c r="F66" s="298">
        <f>ROUND('USPS Base'!R63*(1+PostalMarkup),2)</f>
        <v>82.48</v>
      </c>
      <c r="G66" s="298">
        <f>ROUND('USPS Base'!S63*(1+PostalMarkup),2)</f>
        <v>101.02</v>
      </c>
      <c r="H66" s="298">
        <f>ROUND('USPS Base'!T63*(1+PostalMarkup),2)</f>
        <v>119.21</v>
      </c>
      <c r="I66" s="298">
        <f>ROUND('USPS Base'!U63*(1+PostalMarkup),2)</f>
        <v>137.6</v>
      </c>
      <c r="J66" s="298">
        <f>ROUND('USPS Base'!V63*(1+PostalMarkup),2)</f>
        <v>137.6</v>
      </c>
    </row>
    <row r="67" ht="12.75" customHeight="1">
      <c r="A67" s="297">
        <v>47.0</v>
      </c>
      <c r="B67" s="298">
        <f>ROUND('USPS Base'!N64*(1+PostalMarkup),2)</f>
        <v>40.09</v>
      </c>
      <c r="C67" s="298">
        <f>ROUND('USPS Base'!O64*(1+PostalMarkup),2)</f>
        <v>44.18</v>
      </c>
      <c r="D67" s="298">
        <f>ROUND('USPS Base'!P64*(1+PostalMarkup),2)</f>
        <v>50.42</v>
      </c>
      <c r="E67" s="298">
        <f>ROUND('USPS Base'!Q64*(1+PostalMarkup),2)</f>
        <v>62.01</v>
      </c>
      <c r="F67" s="298">
        <f>ROUND('USPS Base'!R64*(1+PostalMarkup),2)</f>
        <v>83.82</v>
      </c>
      <c r="G67" s="298">
        <f>ROUND('USPS Base'!S64*(1+PostalMarkup),2)</f>
        <v>102.71</v>
      </c>
      <c r="H67" s="298">
        <f>ROUND('USPS Base'!T64*(1+PostalMarkup),2)</f>
        <v>121.24</v>
      </c>
      <c r="I67" s="298">
        <f>ROUND('USPS Base'!U64*(1+PostalMarkup),2)</f>
        <v>140.02</v>
      </c>
      <c r="J67" s="298">
        <f>ROUND('USPS Base'!V64*(1+PostalMarkup),2)</f>
        <v>140.02</v>
      </c>
    </row>
    <row r="68" ht="12.75" customHeight="1">
      <c r="A68" s="297">
        <v>48.0</v>
      </c>
      <c r="B68" s="298">
        <f>ROUND('USPS Base'!N65*(1+PostalMarkup),2)</f>
        <v>40.69</v>
      </c>
      <c r="C68" s="298">
        <f>ROUND('USPS Base'!O65*(1+PostalMarkup),2)</f>
        <v>44.83</v>
      </c>
      <c r="D68" s="298">
        <f>ROUND('USPS Base'!P65*(1+PostalMarkup),2)</f>
        <v>51.13</v>
      </c>
      <c r="E68" s="298">
        <f>ROUND('USPS Base'!Q65*(1+PostalMarkup),2)</f>
        <v>62.88</v>
      </c>
      <c r="F68" s="298">
        <f>ROUND('USPS Base'!R65*(1+PostalMarkup),2)</f>
        <v>85.16</v>
      </c>
      <c r="G68" s="298">
        <f>ROUND('USPS Base'!S65*(1+PostalMarkup),2)</f>
        <v>104.39</v>
      </c>
      <c r="H68" s="298">
        <f>ROUND('USPS Base'!T65*(1+PostalMarkup),2)</f>
        <v>123.27</v>
      </c>
      <c r="I68" s="298">
        <f>ROUND('USPS Base'!U65*(1+PostalMarkup),2)</f>
        <v>142.43</v>
      </c>
      <c r="J68" s="298">
        <f>ROUND('USPS Base'!V65*(1+PostalMarkup),2)</f>
        <v>142.43</v>
      </c>
    </row>
    <row r="69" ht="12.75" customHeight="1">
      <c r="A69" s="297">
        <v>49.0</v>
      </c>
      <c r="B69" s="298">
        <f>ROUND('USPS Base'!N66*(1+PostalMarkup),2)</f>
        <v>41.3</v>
      </c>
      <c r="C69" s="298">
        <f>ROUND('USPS Base'!O66*(1+PostalMarkup),2)</f>
        <v>45.46</v>
      </c>
      <c r="D69" s="298">
        <f>ROUND('USPS Base'!P66*(1+PostalMarkup),2)</f>
        <v>51.82</v>
      </c>
      <c r="E69" s="298">
        <f>ROUND('USPS Base'!Q66*(1+PostalMarkup),2)</f>
        <v>63.74</v>
      </c>
      <c r="F69" s="298">
        <f>ROUND('USPS Base'!R66*(1+PostalMarkup),2)</f>
        <v>86.46</v>
      </c>
      <c r="G69" s="298">
        <f>ROUND('USPS Base'!S66*(1+PostalMarkup),2)</f>
        <v>106.03</v>
      </c>
      <c r="H69" s="298">
        <f>ROUND('USPS Base'!T66*(1+PostalMarkup),2)</f>
        <v>125.27</v>
      </c>
      <c r="I69" s="298">
        <f>ROUND('USPS Base'!U66*(1+PostalMarkup),2)</f>
        <v>144.8</v>
      </c>
      <c r="J69" s="298">
        <f>ROUND('USPS Base'!V66*(1+PostalMarkup),2)</f>
        <v>144.8</v>
      </c>
    </row>
    <row r="70" ht="12.75" customHeight="1">
      <c r="A70" s="297">
        <v>50.0</v>
      </c>
      <c r="B70" s="298">
        <f>ROUND('USPS Base'!N67*(1+PostalMarkup),2)</f>
        <v>41.87</v>
      </c>
      <c r="C70" s="298">
        <f>ROUND('USPS Base'!O67*(1+PostalMarkup),2)</f>
        <v>46.08</v>
      </c>
      <c r="D70" s="298">
        <f>ROUND('USPS Base'!P67*(1+PostalMarkup),2)</f>
        <v>52.51</v>
      </c>
      <c r="E70" s="298">
        <f>ROUND('USPS Base'!Q67*(1+PostalMarkup),2)</f>
        <v>64.58</v>
      </c>
      <c r="F70" s="298">
        <f>ROUND('USPS Base'!R67*(1+PostalMarkup),2)</f>
        <v>87.73</v>
      </c>
      <c r="G70" s="298">
        <f>ROUND('USPS Base'!S67*(1+PostalMarkup),2)</f>
        <v>107.65</v>
      </c>
      <c r="H70" s="298">
        <f>ROUND('USPS Base'!T67*(1+PostalMarkup),2)</f>
        <v>127.24</v>
      </c>
      <c r="I70" s="298">
        <f>ROUND('USPS Base'!U67*(1+PostalMarkup),2)</f>
        <v>147.13</v>
      </c>
      <c r="J70" s="298">
        <f>ROUND('USPS Base'!V67*(1+PostalMarkup),2)</f>
        <v>147.13</v>
      </c>
    </row>
    <row r="71" ht="12.75" customHeight="1">
      <c r="A71" s="297">
        <v>51.0</v>
      </c>
      <c r="B71" s="298">
        <f>ROUND('USPS Base'!N68*(1+PostalMarkup),2)</f>
        <v>42.45</v>
      </c>
      <c r="C71" s="298">
        <f>ROUND('USPS Base'!O68*(1+PostalMarkup),2)</f>
        <v>46.71</v>
      </c>
      <c r="D71" s="298">
        <f>ROUND('USPS Base'!P68*(1+PostalMarkup),2)</f>
        <v>53.16</v>
      </c>
      <c r="E71" s="298">
        <f>ROUND('USPS Base'!Q68*(1+PostalMarkup),2)</f>
        <v>65.4</v>
      </c>
      <c r="F71" s="298">
        <f>ROUND('USPS Base'!R68*(1+PostalMarkup),2)</f>
        <v>88.99</v>
      </c>
      <c r="G71" s="298">
        <f>ROUND('USPS Base'!S68*(1+PostalMarkup),2)</f>
        <v>109.25</v>
      </c>
      <c r="H71" s="298">
        <f>ROUND('USPS Base'!T68*(1+PostalMarkup),2)</f>
        <v>129.17</v>
      </c>
      <c r="I71" s="298">
        <f>ROUND('USPS Base'!U68*(1+PostalMarkup),2)</f>
        <v>149.44</v>
      </c>
      <c r="J71" s="298">
        <f>ROUND('USPS Base'!V68*(1+PostalMarkup),2)</f>
        <v>149.44</v>
      </c>
    </row>
    <row r="72" ht="12.75" customHeight="1">
      <c r="A72" s="297">
        <v>52.0</v>
      </c>
      <c r="B72" s="298">
        <f>ROUND('USPS Base'!N69*(1+PostalMarkup),2)</f>
        <v>43.03</v>
      </c>
      <c r="C72" s="298">
        <f>ROUND('USPS Base'!O69*(1+PostalMarkup),2)</f>
        <v>47.3</v>
      </c>
      <c r="D72" s="298">
        <f>ROUND('USPS Base'!P69*(1+PostalMarkup),2)</f>
        <v>53.81</v>
      </c>
      <c r="E72" s="298">
        <f>ROUND('USPS Base'!Q69*(1+PostalMarkup),2)</f>
        <v>66.21</v>
      </c>
      <c r="F72" s="298">
        <f>ROUND('USPS Base'!R69*(1+PostalMarkup),2)</f>
        <v>90.23</v>
      </c>
      <c r="G72" s="298">
        <f>ROUND('USPS Base'!S69*(1+PostalMarkup),2)</f>
        <v>110.83</v>
      </c>
      <c r="H72" s="298">
        <f>ROUND('USPS Base'!T69*(1+PostalMarkup),2)</f>
        <v>131.07</v>
      </c>
      <c r="I72" s="298">
        <f>ROUND('USPS Base'!U69*(1+PostalMarkup),2)</f>
        <v>151.72</v>
      </c>
      <c r="J72" s="298">
        <f>ROUND('USPS Base'!V69*(1+PostalMarkup),2)</f>
        <v>151.72</v>
      </c>
    </row>
    <row r="73" ht="12.75" customHeight="1">
      <c r="A73" s="297">
        <v>53.0</v>
      </c>
      <c r="B73" s="298">
        <f>ROUND('USPS Base'!N70*(1+PostalMarkup),2)</f>
        <v>43.6</v>
      </c>
      <c r="C73" s="298">
        <f>ROUND('USPS Base'!O70*(1+PostalMarkup),2)</f>
        <v>47.91</v>
      </c>
      <c r="D73" s="298">
        <f>ROUND('USPS Base'!P70*(1+PostalMarkup),2)</f>
        <v>54.45</v>
      </c>
      <c r="E73" s="298">
        <f>ROUND('USPS Base'!Q70*(1+PostalMarkup),2)</f>
        <v>66.98</v>
      </c>
      <c r="F73" s="298">
        <f>ROUND('USPS Base'!R70*(1+PostalMarkup),2)</f>
        <v>91.44</v>
      </c>
      <c r="G73" s="298">
        <f>ROUND('USPS Base'!S70*(1+PostalMarkup),2)</f>
        <v>112.37</v>
      </c>
      <c r="H73" s="298">
        <f>ROUND('USPS Base'!T70*(1+PostalMarkup),2)</f>
        <v>132.95</v>
      </c>
      <c r="I73" s="298">
        <f>ROUND('USPS Base'!U70*(1+PostalMarkup),2)</f>
        <v>153.97</v>
      </c>
      <c r="J73" s="298">
        <f>ROUND('USPS Base'!V70*(1+PostalMarkup),2)</f>
        <v>153.97</v>
      </c>
    </row>
    <row r="74" ht="12.75" customHeight="1">
      <c r="A74" s="297">
        <v>54.0</v>
      </c>
      <c r="B74" s="298">
        <f>ROUND('USPS Base'!N71*(1+PostalMarkup),2)</f>
        <v>44.16</v>
      </c>
      <c r="C74" s="298">
        <f>ROUND('USPS Base'!O71*(1+PostalMarkup),2)</f>
        <v>48.47</v>
      </c>
      <c r="D74" s="298">
        <f>ROUND('USPS Base'!P71*(1+PostalMarkup),2)</f>
        <v>55.07</v>
      </c>
      <c r="E74" s="298">
        <f>ROUND('USPS Base'!Q71*(1+PostalMarkup),2)</f>
        <v>67.75</v>
      </c>
      <c r="F74" s="298">
        <f>ROUND('USPS Base'!R71*(1+PostalMarkup),2)</f>
        <v>92.63</v>
      </c>
      <c r="G74" s="298">
        <f>ROUND('USPS Base'!S71*(1+PostalMarkup),2)</f>
        <v>113.88</v>
      </c>
      <c r="H74" s="298">
        <f>ROUND('USPS Base'!T71*(1+PostalMarkup),2)</f>
        <v>134.8</v>
      </c>
      <c r="I74" s="298">
        <f>ROUND('USPS Base'!U71*(1+PostalMarkup),2)</f>
        <v>156.17</v>
      </c>
      <c r="J74" s="298">
        <f>ROUND('USPS Base'!V71*(1+PostalMarkup),2)</f>
        <v>156.17</v>
      </c>
    </row>
    <row r="75" ht="12.75" customHeight="1">
      <c r="A75" s="297">
        <v>55.0</v>
      </c>
      <c r="B75" s="298">
        <f>ROUND('USPS Base'!N72*(1+PostalMarkup),2)</f>
        <v>44.71</v>
      </c>
      <c r="C75" s="298">
        <f>ROUND('USPS Base'!O72*(1+PostalMarkup),2)</f>
        <v>49.06</v>
      </c>
      <c r="D75" s="298">
        <f>ROUND('USPS Base'!P72*(1+PostalMarkup),2)</f>
        <v>55.67</v>
      </c>
      <c r="E75" s="298">
        <f>ROUND('USPS Base'!Q72*(1+PostalMarkup),2)</f>
        <v>68.49</v>
      </c>
      <c r="F75" s="298">
        <f>ROUND('USPS Base'!R72*(1+PostalMarkup),2)</f>
        <v>93.79</v>
      </c>
      <c r="G75" s="298">
        <f>ROUND('USPS Base'!S72*(1+PostalMarkup),2)</f>
        <v>115.38</v>
      </c>
      <c r="H75" s="298">
        <f>ROUND('USPS Base'!T72*(1+PostalMarkup),2)</f>
        <v>136.62</v>
      </c>
      <c r="I75" s="298">
        <f>ROUND('USPS Base'!U72*(1+PostalMarkup),2)</f>
        <v>158.37</v>
      </c>
      <c r="J75" s="298">
        <f>ROUND('USPS Base'!V72*(1+PostalMarkup),2)</f>
        <v>158.37</v>
      </c>
    </row>
    <row r="76" ht="12.75" customHeight="1">
      <c r="A76" s="297">
        <v>56.0</v>
      </c>
      <c r="B76" s="298">
        <f>ROUND('USPS Base'!N73*(1+PostalMarkup),2)</f>
        <v>45.26</v>
      </c>
      <c r="C76" s="298">
        <f>ROUND('USPS Base'!O73*(1+PostalMarkup),2)</f>
        <v>49.61</v>
      </c>
      <c r="D76" s="298">
        <f>ROUND('USPS Base'!P73*(1+PostalMarkup),2)</f>
        <v>56.27</v>
      </c>
      <c r="E76" s="298">
        <f>ROUND('USPS Base'!Q73*(1+PostalMarkup),2)</f>
        <v>69.22</v>
      </c>
      <c r="F76" s="298">
        <f>ROUND('USPS Base'!R73*(1+PostalMarkup),2)</f>
        <v>94.96</v>
      </c>
      <c r="G76" s="298">
        <f>ROUND('USPS Base'!S73*(1+PostalMarkup),2)</f>
        <v>116.84</v>
      </c>
      <c r="H76" s="298">
        <f>ROUND('USPS Base'!T73*(1+PostalMarkup),2)</f>
        <v>138.4</v>
      </c>
      <c r="I76" s="298">
        <f>ROUND('USPS Base'!U73*(1+PostalMarkup),2)</f>
        <v>160.52</v>
      </c>
      <c r="J76" s="298">
        <f>ROUND('USPS Base'!V73*(1+PostalMarkup),2)</f>
        <v>160.52</v>
      </c>
    </row>
    <row r="77" ht="12.75" customHeight="1">
      <c r="A77" s="297">
        <v>57.0</v>
      </c>
      <c r="B77" s="298">
        <f>ROUND('USPS Base'!N74*(1+PostalMarkup),2)</f>
        <v>45.82</v>
      </c>
      <c r="C77" s="298">
        <f>ROUND('USPS Base'!O74*(1+PostalMarkup),2)</f>
        <v>50.16</v>
      </c>
      <c r="D77" s="298">
        <f>ROUND('USPS Base'!P74*(1+PostalMarkup),2)</f>
        <v>56.84</v>
      </c>
      <c r="E77" s="298">
        <f>ROUND('USPS Base'!Q74*(1+PostalMarkup),2)</f>
        <v>69.93</v>
      </c>
      <c r="F77" s="298">
        <f>ROUND('USPS Base'!R74*(1+PostalMarkup),2)</f>
        <v>96.07</v>
      </c>
      <c r="G77" s="298">
        <f>ROUND('USPS Base'!S74*(1+PostalMarkup),2)</f>
        <v>118.29</v>
      </c>
      <c r="H77" s="298">
        <f>ROUND('USPS Base'!T74*(1+PostalMarkup),2)</f>
        <v>140.16</v>
      </c>
      <c r="I77" s="298">
        <f>ROUND('USPS Base'!U74*(1+PostalMarkup),2)</f>
        <v>162.63</v>
      </c>
      <c r="J77" s="298">
        <f>ROUND('USPS Base'!V74*(1+PostalMarkup),2)</f>
        <v>162.63</v>
      </c>
    </row>
    <row r="78" ht="12.75" customHeight="1">
      <c r="A78" s="297">
        <v>58.0</v>
      </c>
      <c r="B78" s="298">
        <f>ROUND('USPS Base'!N75*(1+PostalMarkup),2)</f>
        <v>46.33</v>
      </c>
      <c r="C78" s="298">
        <f>ROUND('USPS Base'!O75*(1+PostalMarkup),2)</f>
        <v>50.7</v>
      </c>
      <c r="D78" s="298">
        <f>ROUND('USPS Base'!P75*(1+PostalMarkup),2)</f>
        <v>57.4</v>
      </c>
      <c r="E78" s="298">
        <f>ROUND('USPS Base'!Q75*(1+PostalMarkup),2)</f>
        <v>70.61</v>
      </c>
      <c r="F78" s="298">
        <f>ROUND('USPS Base'!R75*(1+PostalMarkup),2)</f>
        <v>97.18</v>
      </c>
      <c r="G78" s="298">
        <f>ROUND('USPS Base'!S75*(1+PostalMarkup),2)</f>
        <v>119.69</v>
      </c>
      <c r="H78" s="298">
        <f>ROUND('USPS Base'!T75*(1+PostalMarkup),2)</f>
        <v>141.89</v>
      </c>
      <c r="I78" s="298">
        <f>ROUND('USPS Base'!U75*(1+PostalMarkup),2)</f>
        <v>164.73</v>
      </c>
      <c r="J78" s="298">
        <f>ROUND('USPS Base'!V75*(1+PostalMarkup),2)</f>
        <v>164.73</v>
      </c>
    </row>
    <row r="79" ht="12.75" customHeight="1">
      <c r="A79" s="297">
        <v>59.0</v>
      </c>
      <c r="B79" s="298">
        <f>ROUND('USPS Base'!N76*(1+PostalMarkup),2)</f>
        <v>46.87</v>
      </c>
      <c r="C79" s="298">
        <f>ROUND('USPS Base'!O76*(1+PostalMarkup),2)</f>
        <v>51.24</v>
      </c>
      <c r="D79" s="298">
        <f>ROUND('USPS Base'!P76*(1+PostalMarkup),2)</f>
        <v>57.95</v>
      </c>
      <c r="E79" s="298">
        <f>ROUND('USPS Base'!Q76*(1+PostalMarkup),2)</f>
        <v>71.29</v>
      </c>
      <c r="F79" s="298">
        <f>ROUND('USPS Base'!R76*(1+PostalMarkup),2)</f>
        <v>98.26</v>
      </c>
      <c r="G79" s="298">
        <f>ROUND('USPS Base'!S76*(1+PostalMarkup),2)</f>
        <v>121.1</v>
      </c>
      <c r="H79" s="298">
        <f>ROUND('USPS Base'!T76*(1+PostalMarkup),2)</f>
        <v>143.59</v>
      </c>
      <c r="I79" s="298">
        <f>ROUND('USPS Base'!U76*(1+PostalMarkup),2)</f>
        <v>166.77</v>
      </c>
      <c r="J79" s="298">
        <f>ROUND('USPS Base'!V76*(1+PostalMarkup),2)</f>
        <v>166.77</v>
      </c>
    </row>
    <row r="80" ht="12.75" customHeight="1">
      <c r="A80" s="297">
        <v>60.0</v>
      </c>
      <c r="B80" s="298">
        <f>ROUND('USPS Base'!N77*(1+PostalMarkup),2)</f>
        <v>47.39</v>
      </c>
      <c r="C80" s="298">
        <f>ROUND('USPS Base'!O77*(1+PostalMarkup),2)</f>
        <v>51.76</v>
      </c>
      <c r="D80" s="298">
        <f>ROUND('USPS Base'!P77*(1+PostalMarkup),2)</f>
        <v>58.48</v>
      </c>
      <c r="E80" s="298">
        <f>ROUND('USPS Base'!Q77*(1+PostalMarkup),2)</f>
        <v>71.93</v>
      </c>
      <c r="F80" s="298">
        <f>ROUND('USPS Base'!R77*(1+PostalMarkup),2)</f>
        <v>99.31</v>
      </c>
      <c r="G80" s="298">
        <f>ROUND('USPS Base'!S77*(1+PostalMarkup),2)</f>
        <v>122.44</v>
      </c>
      <c r="H80" s="298">
        <f>ROUND('USPS Base'!T77*(1+PostalMarkup),2)</f>
        <v>145.26</v>
      </c>
      <c r="I80" s="298">
        <f>ROUND('USPS Base'!U77*(1+PostalMarkup),2)</f>
        <v>168.8</v>
      </c>
      <c r="J80" s="298">
        <f>ROUND('USPS Base'!V77*(1+PostalMarkup),2)</f>
        <v>168.8</v>
      </c>
    </row>
    <row r="81" ht="12.75" customHeight="1">
      <c r="A81" s="297">
        <v>61.0</v>
      </c>
      <c r="B81" s="298">
        <f>ROUND('USPS Base'!N78*(1+PostalMarkup),2)</f>
        <v>47.91</v>
      </c>
      <c r="C81" s="298">
        <f>ROUND('USPS Base'!O78*(1+PostalMarkup),2)</f>
        <v>52.28</v>
      </c>
      <c r="D81" s="298">
        <f>ROUND('USPS Base'!P78*(1+PostalMarkup),2)</f>
        <v>58.98</v>
      </c>
      <c r="E81" s="298">
        <f>ROUND('USPS Base'!Q78*(1+PostalMarkup),2)</f>
        <v>72.58</v>
      </c>
      <c r="F81" s="298">
        <f>ROUND('USPS Base'!R78*(1+PostalMarkup),2)</f>
        <v>100.35</v>
      </c>
      <c r="G81" s="298">
        <f>ROUND('USPS Base'!S78*(1+PostalMarkup),2)</f>
        <v>123.79</v>
      </c>
      <c r="H81" s="298">
        <f>ROUND('USPS Base'!T78*(1+PostalMarkup),2)</f>
        <v>146.9</v>
      </c>
      <c r="I81" s="298">
        <f>ROUND('USPS Base'!U78*(1+PostalMarkup),2)</f>
        <v>170.8</v>
      </c>
      <c r="J81" s="298">
        <f>ROUND('USPS Base'!V78*(1+PostalMarkup),2)</f>
        <v>170.8</v>
      </c>
    </row>
    <row r="82" ht="12.75" customHeight="1">
      <c r="A82" s="297">
        <v>62.0</v>
      </c>
      <c r="B82" s="298">
        <f>ROUND('USPS Base'!N79*(1+PostalMarkup),2)</f>
        <v>48.42</v>
      </c>
      <c r="C82" s="298">
        <f>ROUND('USPS Base'!O79*(1+PostalMarkup),2)</f>
        <v>52.77</v>
      </c>
      <c r="D82" s="298">
        <f>ROUND('USPS Base'!P79*(1+PostalMarkup),2)</f>
        <v>59.49</v>
      </c>
      <c r="E82" s="298">
        <f>ROUND('USPS Base'!Q79*(1+PostalMarkup),2)</f>
        <v>73.19</v>
      </c>
      <c r="F82" s="298">
        <f>ROUND('USPS Base'!R79*(1+PostalMarkup),2)</f>
        <v>101.35</v>
      </c>
      <c r="G82" s="298">
        <f>ROUND('USPS Base'!S79*(1+PostalMarkup),2)</f>
        <v>125.1</v>
      </c>
      <c r="H82" s="298">
        <f>ROUND('USPS Base'!T79*(1+PostalMarkup),2)</f>
        <v>148.5</v>
      </c>
      <c r="I82" s="298">
        <f>ROUND('USPS Base'!U79*(1+PostalMarkup),2)</f>
        <v>172.76</v>
      </c>
      <c r="J82" s="298">
        <f>ROUND('USPS Base'!V79*(1+PostalMarkup),2)</f>
        <v>172.76</v>
      </c>
    </row>
    <row r="83" ht="12.75" customHeight="1">
      <c r="A83" s="297">
        <v>63.0</v>
      </c>
      <c r="B83" s="298">
        <f>ROUND('USPS Base'!N80*(1+PostalMarkup),2)</f>
        <v>48.91</v>
      </c>
      <c r="C83" s="298">
        <f>ROUND('USPS Base'!O80*(1+PostalMarkup),2)</f>
        <v>53.27</v>
      </c>
      <c r="D83" s="298">
        <f>ROUND('USPS Base'!P80*(1+PostalMarkup),2)</f>
        <v>59.97</v>
      </c>
      <c r="E83" s="298">
        <f>ROUND('USPS Base'!Q80*(1+PostalMarkup),2)</f>
        <v>73.77</v>
      </c>
      <c r="F83" s="298">
        <f>ROUND('USPS Base'!R80*(1+PostalMarkup),2)</f>
        <v>102.35</v>
      </c>
      <c r="G83" s="298">
        <f>ROUND('USPS Base'!S80*(1+PostalMarkup),2)</f>
        <v>126.37</v>
      </c>
      <c r="H83" s="298">
        <f>ROUND('USPS Base'!T80*(1+PostalMarkup),2)</f>
        <v>150.09</v>
      </c>
      <c r="I83" s="298">
        <f>ROUND('USPS Base'!U80*(1+PostalMarkup),2)</f>
        <v>174.7</v>
      </c>
      <c r="J83" s="298">
        <f>ROUND('USPS Base'!V80*(1+PostalMarkup),2)</f>
        <v>174.7</v>
      </c>
    </row>
    <row r="84" ht="12.75" customHeight="1">
      <c r="A84" s="297">
        <v>64.0</v>
      </c>
      <c r="B84" s="298">
        <f>ROUND('USPS Base'!N81*(1+PostalMarkup),2)</f>
        <v>49.4</v>
      </c>
      <c r="C84" s="298">
        <f>ROUND('USPS Base'!O81*(1+PostalMarkup),2)</f>
        <v>53.75</v>
      </c>
      <c r="D84" s="298">
        <f>ROUND('USPS Base'!P81*(1+PostalMarkup),2)</f>
        <v>60.44</v>
      </c>
      <c r="E84" s="298">
        <f>ROUND('USPS Base'!Q81*(1+PostalMarkup),2)</f>
        <v>74.36</v>
      </c>
      <c r="F84" s="298">
        <f>ROUND('USPS Base'!R81*(1+PostalMarkup),2)</f>
        <v>103.33</v>
      </c>
      <c r="G84" s="298">
        <f>ROUND('USPS Base'!S81*(1+PostalMarkup),2)</f>
        <v>127.63</v>
      </c>
      <c r="H84" s="298">
        <f>ROUND('USPS Base'!T81*(1+PostalMarkup),2)</f>
        <v>151.64</v>
      </c>
      <c r="I84" s="298">
        <f>ROUND('USPS Base'!U81*(1+PostalMarkup),2)</f>
        <v>176.59</v>
      </c>
      <c r="J84" s="298">
        <f>ROUND('USPS Base'!V81*(1+PostalMarkup),2)</f>
        <v>176.59</v>
      </c>
    </row>
    <row r="85" ht="12.75" customHeight="1">
      <c r="A85" s="297">
        <v>65.0</v>
      </c>
      <c r="B85" s="298">
        <f>ROUND('USPS Base'!N82*(1+PostalMarkup),2)</f>
        <v>49.89</v>
      </c>
      <c r="C85" s="298">
        <f>ROUND('USPS Base'!O82*(1+PostalMarkup),2)</f>
        <v>54.22</v>
      </c>
      <c r="D85" s="298">
        <f>ROUND('USPS Base'!P82*(1+PostalMarkup),2)</f>
        <v>60.89</v>
      </c>
      <c r="E85" s="298">
        <f>ROUND('USPS Base'!Q82*(1+PostalMarkup),2)</f>
        <v>74.91</v>
      </c>
      <c r="F85" s="298">
        <f>ROUND('USPS Base'!R82*(1+PostalMarkup),2)</f>
        <v>104.26</v>
      </c>
      <c r="G85" s="298">
        <f>ROUND('USPS Base'!S82*(1+PostalMarkup),2)</f>
        <v>128.86</v>
      </c>
      <c r="H85" s="298">
        <f>ROUND('USPS Base'!T82*(1+PostalMarkup),2)</f>
        <v>153.16</v>
      </c>
      <c r="I85" s="298">
        <f>ROUND('USPS Base'!U82*(1+PostalMarkup),2)</f>
        <v>178.46</v>
      </c>
      <c r="J85" s="298">
        <f>ROUND('USPS Base'!V82*(1+PostalMarkup),2)</f>
        <v>178.46</v>
      </c>
    </row>
    <row r="86" ht="12.75" customHeight="1">
      <c r="A86" s="297">
        <v>66.0</v>
      </c>
      <c r="B86" s="298">
        <f>ROUND('USPS Base'!N83*(1+PostalMarkup),2)</f>
        <v>50.37</v>
      </c>
      <c r="C86" s="298">
        <f>ROUND('USPS Base'!O83*(1+PostalMarkup),2)</f>
        <v>54.68</v>
      </c>
      <c r="D86" s="298">
        <f>ROUND('USPS Base'!P83*(1+PostalMarkup),2)</f>
        <v>61.33</v>
      </c>
      <c r="E86" s="298">
        <f>ROUND('USPS Base'!Q83*(1+PostalMarkup),2)</f>
        <v>75.45</v>
      </c>
      <c r="F86" s="298">
        <f>ROUND('USPS Base'!R83*(1+PostalMarkup),2)</f>
        <v>105.19</v>
      </c>
      <c r="G86" s="298">
        <f>ROUND('USPS Base'!S83*(1+PostalMarkup),2)</f>
        <v>130.05</v>
      </c>
      <c r="H86" s="298">
        <f>ROUND('USPS Base'!T83*(1+PostalMarkup),2)</f>
        <v>154.64</v>
      </c>
      <c r="I86" s="298">
        <f>ROUND('USPS Base'!U83*(1+PostalMarkup),2)</f>
        <v>180.29</v>
      </c>
      <c r="J86" s="298">
        <f>ROUND('USPS Base'!V83*(1+PostalMarkup),2)</f>
        <v>180.29</v>
      </c>
    </row>
    <row r="87" ht="12.75" customHeight="1">
      <c r="A87" s="297">
        <v>67.0</v>
      </c>
      <c r="B87" s="298">
        <f>ROUND('USPS Base'!N84*(1+PostalMarkup),2)</f>
        <v>50.84</v>
      </c>
      <c r="C87" s="298">
        <f>ROUND('USPS Base'!O84*(1+PostalMarkup),2)</f>
        <v>55.13</v>
      </c>
      <c r="D87" s="298">
        <f>ROUND('USPS Base'!P84*(1+PostalMarkup),2)</f>
        <v>61.76</v>
      </c>
      <c r="E87" s="298">
        <f>ROUND('USPS Base'!Q84*(1+PostalMarkup),2)</f>
        <v>75.98</v>
      </c>
      <c r="F87" s="298">
        <f>ROUND('USPS Base'!R84*(1+PostalMarkup),2)</f>
        <v>106.09</v>
      </c>
      <c r="G87" s="298">
        <f>ROUND('USPS Base'!S84*(1+PostalMarkup),2)</f>
        <v>131.24</v>
      </c>
      <c r="H87" s="298">
        <f>ROUND('USPS Base'!T84*(1+PostalMarkup),2)</f>
        <v>156.11</v>
      </c>
      <c r="I87" s="298">
        <f>ROUND('USPS Base'!U84*(1+PostalMarkup),2)</f>
        <v>182.1</v>
      </c>
      <c r="J87" s="298">
        <f>ROUND('USPS Base'!V84*(1+PostalMarkup),2)</f>
        <v>182.1</v>
      </c>
    </row>
    <row r="88" ht="12.75" customHeight="1">
      <c r="A88" s="297">
        <v>68.0</v>
      </c>
      <c r="B88" s="298">
        <f>ROUND('USPS Base'!N85*(1+PostalMarkup),2)</f>
        <v>51.31</v>
      </c>
      <c r="C88" s="298">
        <f>ROUND('USPS Base'!O85*(1+PostalMarkup),2)</f>
        <v>55.58</v>
      </c>
      <c r="D88" s="298">
        <f>ROUND('USPS Base'!P85*(1+PostalMarkup),2)</f>
        <v>62.17</v>
      </c>
      <c r="E88" s="298">
        <f>ROUND('USPS Base'!Q85*(1+PostalMarkup),2)</f>
        <v>76.49</v>
      </c>
      <c r="F88" s="298">
        <f>ROUND('USPS Base'!R85*(1+PostalMarkup),2)</f>
        <v>106.97</v>
      </c>
      <c r="G88" s="298">
        <f>ROUND('USPS Base'!S85*(1+PostalMarkup),2)</f>
        <v>132.39</v>
      </c>
      <c r="H88" s="298">
        <f>ROUND('USPS Base'!T85*(1+PostalMarkup),2)</f>
        <v>157.55</v>
      </c>
      <c r="I88" s="298">
        <f>ROUND('USPS Base'!U85*(1+PostalMarkup),2)</f>
        <v>183.87</v>
      </c>
      <c r="J88" s="298">
        <f>ROUND('USPS Base'!V85*(1+PostalMarkup),2)</f>
        <v>183.87</v>
      </c>
    </row>
    <row r="89" ht="12.75" customHeight="1">
      <c r="A89" s="297">
        <v>69.0</v>
      </c>
      <c r="B89" s="298">
        <f>ROUND('USPS Base'!N86*(1+PostalMarkup),2)</f>
        <v>51.77</v>
      </c>
      <c r="C89" s="298">
        <f>ROUND('USPS Base'!O86*(1+PostalMarkup),2)</f>
        <v>56.01</v>
      </c>
      <c r="D89" s="298">
        <f>ROUND('USPS Base'!P86*(1+PostalMarkup),2)</f>
        <v>62.55</v>
      </c>
      <c r="E89" s="298">
        <f>ROUND('USPS Base'!Q86*(1+PostalMarkup),2)</f>
        <v>76.97</v>
      </c>
      <c r="F89" s="298">
        <f>ROUND('USPS Base'!R86*(1+PostalMarkup),2)</f>
        <v>107.84</v>
      </c>
      <c r="G89" s="298">
        <f>ROUND('USPS Base'!S86*(1+PostalMarkup),2)</f>
        <v>133.5</v>
      </c>
      <c r="H89" s="298">
        <f>ROUND('USPS Base'!T86*(1+PostalMarkup),2)</f>
        <v>158.94</v>
      </c>
      <c r="I89" s="298">
        <f>ROUND('USPS Base'!U86*(1+PostalMarkup),2)</f>
        <v>185.62</v>
      </c>
      <c r="J89" s="298">
        <f>ROUND('USPS Base'!V86*(1+PostalMarkup),2)</f>
        <v>185.62</v>
      </c>
    </row>
    <row r="90" ht="12.75" customHeight="1">
      <c r="A90" s="297">
        <v>70.0</v>
      </c>
      <c r="B90" s="298">
        <f>ROUND('USPS Base'!N87*(1+PostalMarkup),2)</f>
        <v>52.22</v>
      </c>
      <c r="C90" s="298">
        <f>ROUND('USPS Base'!O87*(1+PostalMarkup),2)</f>
        <v>56.43</v>
      </c>
      <c r="D90" s="298">
        <f>ROUND('USPS Base'!P87*(1+PostalMarkup),2)</f>
        <v>62.93</v>
      </c>
      <c r="E90" s="298">
        <f>ROUND('USPS Base'!Q87*(1+PostalMarkup),2)</f>
        <v>77.43</v>
      </c>
      <c r="F90" s="298">
        <f>ROUND('USPS Base'!R87*(1+PostalMarkup),2)</f>
        <v>108.66</v>
      </c>
      <c r="G90" s="298">
        <f>ROUND('USPS Base'!S87*(1+PostalMarkup),2)</f>
        <v>134.6</v>
      </c>
      <c r="H90" s="298">
        <f>ROUND('USPS Base'!T87*(1+PostalMarkup),2)</f>
        <v>160.31</v>
      </c>
      <c r="I90" s="298">
        <f>ROUND('USPS Base'!U87*(1+PostalMarkup),2)</f>
        <v>187.32</v>
      </c>
      <c r="J90" s="298">
        <f>ROUND('USPS Base'!V87*(1+PostalMarkup),2)</f>
        <v>187.32</v>
      </c>
    </row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5:J90">
    <cfRule type="expression" dxfId="0" priority="1">
      <formula>MOD(ROW(),2)=0</formula>
    </cfRule>
  </conditionalFormatting>
  <conditionalFormatting sqref="L5:U13">
    <cfRule type="expression" dxfId="0" priority="2">
      <formula>MOD(ROW(),2)=0</formula>
    </cfRule>
  </conditionalFormatting>
  <printOptions/>
  <pageMargins bottom="0.75" footer="0.0" header="0.0" left="0.7" right="0.7" top="0.75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F3864"/>
    <pageSetUpPr/>
  </sheetPr>
  <sheetViews>
    <sheetView workbookViewId="0"/>
  </sheetViews>
  <sheetFormatPr customHeight="1" defaultColWidth="12.63" defaultRowHeight="15.0"/>
  <cols>
    <col customWidth="1" min="1" max="8" width="8.63"/>
    <col customWidth="1" min="9" max="9" width="11.13"/>
    <col customWidth="1" min="10" max="10" width="10.75"/>
    <col customWidth="1" min="11" max="11" width="8.63"/>
    <col customWidth="1" min="12" max="12" width="14.63"/>
    <col customWidth="1" min="13" max="13" width="14.75"/>
    <col customWidth="1" min="14" max="21" width="8.63"/>
    <col customWidth="1" min="22" max="22" width="13.25"/>
    <col customWidth="1" min="23" max="26" width="8.63"/>
  </cols>
  <sheetData>
    <row r="1" ht="12.75" customHeight="1">
      <c r="G1" s="264" t="s">
        <v>113</v>
      </c>
    </row>
    <row r="2" ht="12.75" customHeight="1">
      <c r="B2" s="278" t="s">
        <v>118</v>
      </c>
      <c r="G2" s="264" t="s">
        <v>132</v>
      </c>
    </row>
    <row r="3" ht="12.75" customHeight="1">
      <c r="B3" s="270" t="s">
        <v>148</v>
      </c>
      <c r="G3" s="277" t="s">
        <v>149</v>
      </c>
    </row>
    <row r="4" ht="12.75" customHeight="1">
      <c r="A4" s="271" t="s">
        <v>1</v>
      </c>
      <c r="B4" s="272" t="s">
        <v>65</v>
      </c>
      <c r="C4" s="272" t="s">
        <v>65</v>
      </c>
      <c r="D4" s="272" t="s">
        <v>65</v>
      </c>
      <c r="E4" s="272" t="s">
        <v>65</v>
      </c>
      <c r="F4" s="272" t="s">
        <v>65</v>
      </c>
      <c r="G4" s="272" t="s">
        <v>65</v>
      </c>
      <c r="H4" s="272" t="s">
        <v>65</v>
      </c>
      <c r="I4" s="272" t="s">
        <v>65</v>
      </c>
      <c r="J4" s="291" t="s">
        <v>66</v>
      </c>
      <c r="K4" s="138"/>
      <c r="M4" s="291" t="s">
        <v>150</v>
      </c>
      <c r="N4" s="272" t="s">
        <v>65</v>
      </c>
      <c r="O4" s="272" t="s">
        <v>65</v>
      </c>
      <c r="P4" s="272" t="s">
        <v>65</v>
      </c>
      <c r="Q4" s="272" t="s">
        <v>65</v>
      </c>
      <c r="R4" s="272" t="s">
        <v>65</v>
      </c>
      <c r="S4" s="272" t="s">
        <v>65</v>
      </c>
      <c r="T4" s="272" t="s">
        <v>65</v>
      </c>
      <c r="U4" s="272" t="s">
        <v>65</v>
      </c>
      <c r="V4" s="291" t="s">
        <v>66</v>
      </c>
    </row>
    <row r="5" ht="12.75" customHeight="1">
      <c r="A5" s="271" t="s">
        <v>80</v>
      </c>
      <c r="B5" s="273">
        <v>1.0</v>
      </c>
      <c r="C5" s="273">
        <v>2.0</v>
      </c>
      <c r="D5" s="273">
        <v>3.0</v>
      </c>
      <c r="E5" s="273">
        <v>4.0</v>
      </c>
      <c r="F5" s="273">
        <v>5.0</v>
      </c>
      <c r="G5" s="273">
        <v>6.0</v>
      </c>
      <c r="H5" s="273">
        <v>7.0</v>
      </c>
      <c r="I5" s="273">
        <v>8.0</v>
      </c>
      <c r="J5" s="273">
        <v>9.0</v>
      </c>
      <c r="K5" s="138"/>
      <c r="M5" s="272" t="s">
        <v>151</v>
      </c>
      <c r="N5" s="273">
        <v>1.0</v>
      </c>
      <c r="O5" s="273">
        <v>2.0</v>
      </c>
      <c r="P5" s="273">
        <v>3.0</v>
      </c>
      <c r="Q5" s="273">
        <v>4.0</v>
      </c>
      <c r="R5" s="273">
        <v>5.0</v>
      </c>
      <c r="S5" s="273">
        <v>6.0</v>
      </c>
      <c r="T5" s="273">
        <v>7.0</v>
      </c>
      <c r="U5" s="273">
        <v>8.0</v>
      </c>
      <c r="V5" s="273">
        <v>9.0</v>
      </c>
    </row>
    <row r="6" ht="12.75" customHeight="1">
      <c r="A6" s="312" t="s">
        <v>117</v>
      </c>
      <c r="B6" s="313">
        <f>ROUND('USPS Base'!B3*(1+PostalMarkup),2)</f>
        <v>9.19</v>
      </c>
      <c r="C6" s="313">
        <f>ROUND('USPS Base'!C3*(1+PostalMarkup),2)</f>
        <v>9.3</v>
      </c>
      <c r="D6" s="313">
        <f>ROUND('USPS Base'!D3*(1+PostalMarkup),2)</f>
        <v>9.41</v>
      </c>
      <c r="E6" s="313">
        <f>ROUND('USPS Base'!E3*(1+PostalMarkup),2)</f>
        <v>9.59</v>
      </c>
      <c r="F6" s="313">
        <f>ROUND('USPS Base'!F3*(1+PostalMarkup),2)</f>
        <v>11.07</v>
      </c>
      <c r="G6" s="313">
        <f>ROUND('USPS Base'!G3*(1+PostalMarkup),2)</f>
        <v>11.41</v>
      </c>
      <c r="H6" s="313">
        <f>ROUND('USPS Base'!H3*(1+PostalMarkup),2)</f>
        <v>11.74</v>
      </c>
      <c r="I6" s="313">
        <f>ROUND('USPS Base'!I3*(1+PostalMarkup),2)</f>
        <v>12.65</v>
      </c>
      <c r="J6" s="313">
        <f>ROUND('USPS Base'!J3*(1+PostalMarkup),2)</f>
        <v>27</v>
      </c>
      <c r="K6" s="138"/>
      <c r="M6" s="312">
        <v>0.1</v>
      </c>
      <c r="N6" s="313">
        <f>ROUND('USPS Base'!B80*(1+PostalMarkup),2)</f>
        <v>9.32</v>
      </c>
      <c r="O6" s="313">
        <f>ROUND('USPS Base'!C80*(1+PostalMarkup),2)</f>
        <v>9.44</v>
      </c>
      <c r="P6" s="313">
        <f>ROUND('USPS Base'!D80*(1+PostalMarkup),2)</f>
        <v>9.59</v>
      </c>
      <c r="Q6" s="313">
        <f>ROUND('USPS Base'!E80*(1+PostalMarkup),2)</f>
        <v>9.8</v>
      </c>
      <c r="R6" s="313">
        <f>ROUND('USPS Base'!F80*(1+PostalMarkup),2)</f>
        <v>11.37</v>
      </c>
      <c r="S6" s="313">
        <f>ROUND('USPS Base'!G80*(1+PostalMarkup),2)</f>
        <v>12.03</v>
      </c>
      <c r="T6" s="313">
        <f>ROUND('USPS Base'!H80*(1+PostalMarkup),2)</f>
        <v>12.68</v>
      </c>
      <c r="U6" s="313">
        <f>ROUND('USPS Base'!I80*(1+PostalMarkup),2)</f>
        <v>13.79</v>
      </c>
      <c r="V6" s="313">
        <f>ROUND('USPS Base'!J80*(1+PostalMarkup),2)</f>
        <v>29.43</v>
      </c>
    </row>
    <row r="7" ht="12.75" customHeight="1">
      <c r="A7" s="312">
        <v>2.0</v>
      </c>
      <c r="B7" s="313">
        <f>ROUND('USPS Base'!B4*(1+PostalMarkup),2)</f>
        <v>9.71</v>
      </c>
      <c r="C7" s="313">
        <f>ROUND('USPS Base'!C4*(1+PostalMarkup),2)</f>
        <v>9.86</v>
      </c>
      <c r="D7" s="313">
        <f>ROUND('USPS Base'!D4*(1+PostalMarkup),2)</f>
        <v>10.14</v>
      </c>
      <c r="E7" s="313">
        <f>ROUND('USPS Base'!E4*(1+PostalMarkup),2)</f>
        <v>10.43</v>
      </c>
      <c r="F7" s="313">
        <f>ROUND('USPS Base'!F4*(1+PostalMarkup),2)</f>
        <v>12.25</v>
      </c>
      <c r="G7" s="313">
        <f>ROUND('USPS Base'!G4*(1+PostalMarkup),2)</f>
        <v>13.87</v>
      </c>
      <c r="H7" s="313">
        <f>ROUND('USPS Base'!H4*(1+PostalMarkup),2)</f>
        <v>15.49</v>
      </c>
      <c r="I7" s="313">
        <f>ROUND('USPS Base'!I4*(1+PostalMarkup),2)</f>
        <v>17.2</v>
      </c>
      <c r="J7" s="313">
        <f>ROUND('USPS Base'!J4*(1+PostalMarkup),2)</f>
        <v>36.72</v>
      </c>
      <c r="K7" s="138"/>
      <c r="M7" s="312">
        <v>0.2</v>
      </c>
      <c r="N7" s="313">
        <f>ROUND('USPS Base'!B81*(1+PostalMarkup),2)</f>
        <v>9.71</v>
      </c>
      <c r="O7" s="313">
        <f>ROUND('USPS Base'!C81*(1+PostalMarkup),2)</f>
        <v>9.86</v>
      </c>
      <c r="P7" s="313">
        <f>ROUND('USPS Base'!D81*(1+PostalMarkup),2)</f>
        <v>10.14</v>
      </c>
      <c r="Q7" s="313">
        <f>ROUND('USPS Base'!E81*(1+PostalMarkup),2)</f>
        <v>10.43</v>
      </c>
      <c r="R7" s="313">
        <f>ROUND('USPS Base'!F81*(1+PostalMarkup),2)</f>
        <v>12.25</v>
      </c>
      <c r="S7" s="313">
        <f>ROUND('USPS Base'!G81*(1+PostalMarkup),2)</f>
        <v>13.87</v>
      </c>
      <c r="T7" s="313">
        <f>ROUND('USPS Base'!H81*(1+PostalMarkup),2)</f>
        <v>15.49</v>
      </c>
      <c r="U7" s="313">
        <f>ROUND('USPS Base'!I81*(1+PostalMarkup),2)</f>
        <v>17.2</v>
      </c>
      <c r="V7" s="313">
        <f>ROUND('USPS Base'!J81*(1+PostalMarkup),2)</f>
        <v>36.72</v>
      </c>
    </row>
    <row r="8" ht="12.75" customHeight="1">
      <c r="A8" s="312">
        <v>3.0</v>
      </c>
      <c r="B8" s="313">
        <f>ROUND('USPS Base'!B5*(1+PostalMarkup),2)</f>
        <v>10.18</v>
      </c>
      <c r="C8" s="313">
        <f>ROUND('USPS Base'!C5*(1+PostalMarkup),2)</f>
        <v>10.3</v>
      </c>
      <c r="D8" s="313">
        <f>ROUND('USPS Base'!D5*(1+PostalMarkup),2)</f>
        <v>10.98</v>
      </c>
      <c r="E8" s="313">
        <f>ROUND('USPS Base'!E5*(1+PostalMarkup),2)</f>
        <v>11.45</v>
      </c>
      <c r="F8" s="313">
        <f>ROUND('USPS Base'!F5*(1+PostalMarkup),2)</f>
        <v>13.65</v>
      </c>
      <c r="G8" s="313">
        <f>ROUND('USPS Base'!G5*(1+PostalMarkup),2)</f>
        <v>16.61</v>
      </c>
      <c r="H8" s="313">
        <f>ROUND('USPS Base'!H5*(1+PostalMarkup),2)</f>
        <v>19.55</v>
      </c>
      <c r="I8" s="313">
        <f>ROUND('USPS Base'!I5*(1+PostalMarkup),2)</f>
        <v>22.45</v>
      </c>
      <c r="J8" s="313">
        <f>ROUND('USPS Base'!J5*(1+PostalMarkup),2)</f>
        <v>47.91</v>
      </c>
      <c r="K8" s="138"/>
      <c r="M8" s="312">
        <v>0.3</v>
      </c>
      <c r="N8" s="313">
        <f>ROUND('USPS Base'!B82*(1+PostalMarkup),2)</f>
        <v>10.18</v>
      </c>
      <c r="O8" s="313">
        <f>ROUND('USPS Base'!C82*(1+PostalMarkup),2)</f>
        <v>10.3</v>
      </c>
      <c r="P8" s="313">
        <f>ROUND('USPS Base'!D82*(1+PostalMarkup),2)</f>
        <v>10.98</v>
      </c>
      <c r="Q8" s="313">
        <f>ROUND('USPS Base'!E82*(1+PostalMarkup),2)</f>
        <v>11.45</v>
      </c>
      <c r="R8" s="313">
        <f>ROUND('USPS Base'!F82*(1+PostalMarkup),2)</f>
        <v>13.65</v>
      </c>
      <c r="S8" s="313">
        <f>ROUND('USPS Base'!G82*(1+PostalMarkup),2)</f>
        <v>16.61</v>
      </c>
      <c r="T8" s="313">
        <f>ROUND('USPS Base'!H82*(1+PostalMarkup),2)</f>
        <v>19.55</v>
      </c>
      <c r="U8" s="313">
        <f>ROUND('USPS Base'!I82*(1+PostalMarkup),2)</f>
        <v>22.45</v>
      </c>
      <c r="V8" s="313">
        <f>ROUND('USPS Base'!J82*(1+PostalMarkup),2)</f>
        <v>47.91</v>
      </c>
    </row>
    <row r="9" ht="12.75" customHeight="1">
      <c r="A9" s="312">
        <v>4.0</v>
      </c>
      <c r="B9" s="313">
        <f>ROUND('USPS Base'!B6*(1+PostalMarkup),2)</f>
        <v>10.51</v>
      </c>
      <c r="C9" s="313">
        <f>ROUND('USPS Base'!C6*(1+PostalMarkup),2)</f>
        <v>10.61</v>
      </c>
      <c r="D9" s="313">
        <f>ROUND('USPS Base'!D6*(1+PostalMarkup),2)</f>
        <v>11.52</v>
      </c>
      <c r="E9" s="313">
        <f>ROUND('USPS Base'!E6*(1+PostalMarkup),2)</f>
        <v>12.16</v>
      </c>
      <c r="F9" s="313">
        <f>ROUND('USPS Base'!F6*(1+PostalMarkup),2)</f>
        <v>14.58</v>
      </c>
      <c r="G9" s="313">
        <f>ROUND('USPS Base'!G6*(1+PostalMarkup),2)</f>
        <v>19.03</v>
      </c>
      <c r="H9" s="313">
        <f>ROUND('USPS Base'!H6*(1+PostalMarkup),2)</f>
        <v>23.47</v>
      </c>
      <c r="I9" s="313">
        <f>ROUND('USPS Base'!I6*(1+PostalMarkup),2)</f>
        <v>27.01</v>
      </c>
      <c r="J9" s="313">
        <f>ROUND('USPS Base'!J6*(1+PostalMarkup),2)</f>
        <v>57.65</v>
      </c>
      <c r="K9" s="138"/>
      <c r="M9" s="312">
        <v>0.4</v>
      </c>
      <c r="N9" s="313">
        <f>ROUND('USPS Base'!B83*(1+PostalMarkup),2)</f>
        <v>10.56</v>
      </c>
      <c r="O9" s="313">
        <f>ROUND('USPS Base'!C83*(1+PostalMarkup),2)</f>
        <v>10.66</v>
      </c>
      <c r="P9" s="313">
        <f>ROUND('USPS Base'!D83*(1+PostalMarkup),2)</f>
        <v>11.6</v>
      </c>
      <c r="Q9" s="313">
        <f>ROUND('USPS Base'!E83*(1+PostalMarkup),2)</f>
        <v>12.26</v>
      </c>
      <c r="R9" s="313">
        <f>ROUND('USPS Base'!F83*(1+PostalMarkup),2)</f>
        <v>14.77</v>
      </c>
      <c r="S9" s="313">
        <f>ROUND('USPS Base'!G83*(1+PostalMarkup),2)</f>
        <v>19.52</v>
      </c>
      <c r="T9" s="313">
        <f>ROUND('USPS Base'!H83*(1+PostalMarkup),2)</f>
        <v>24.27</v>
      </c>
      <c r="U9" s="313">
        <f>ROUND('USPS Base'!I83*(1+PostalMarkup),2)</f>
        <v>27.98</v>
      </c>
      <c r="V9" s="313">
        <f>ROUND('USPS Base'!J83*(1+PostalMarkup),2)</f>
        <v>59.7</v>
      </c>
    </row>
    <row r="10" ht="12.75" customHeight="1">
      <c r="A10" s="312">
        <v>5.0</v>
      </c>
      <c r="B10" s="313">
        <f>ROUND('USPS Base'!B7*(1+PostalMarkup),2)</f>
        <v>10.75</v>
      </c>
      <c r="C10" s="313">
        <f>ROUND('USPS Base'!C7*(1+PostalMarkup),2)</f>
        <v>10.84</v>
      </c>
      <c r="D10" s="313">
        <f>ROUND('USPS Base'!D7*(1+PostalMarkup),2)</f>
        <v>11.93</v>
      </c>
      <c r="E10" s="313">
        <f>ROUND('USPS Base'!E7*(1+PostalMarkup),2)</f>
        <v>12.66</v>
      </c>
      <c r="F10" s="313">
        <f>ROUND('USPS Base'!F7*(1+PostalMarkup),2)</f>
        <v>15.44</v>
      </c>
      <c r="G10" s="313">
        <f>ROUND('USPS Base'!G7*(1+PostalMarkup),2)</f>
        <v>21.38</v>
      </c>
      <c r="H10" s="313">
        <f>ROUND('USPS Base'!H7*(1+PostalMarkup),2)</f>
        <v>27.31</v>
      </c>
      <c r="I10" s="313">
        <f>ROUND('USPS Base'!I7*(1+PostalMarkup),2)</f>
        <v>31.65</v>
      </c>
      <c r="J10" s="313">
        <f>ROUND('USPS Base'!J7*(1+PostalMarkup),2)</f>
        <v>67.54</v>
      </c>
      <c r="K10" s="138"/>
      <c r="M10" s="312">
        <v>0.5</v>
      </c>
      <c r="N10" s="313">
        <f>ROUND('USPS Base'!B84*(1+PostalMarkup),2)</f>
        <v>10.88</v>
      </c>
      <c r="O10" s="313">
        <f>ROUND('USPS Base'!C84*(1+PostalMarkup),2)</f>
        <v>10.96</v>
      </c>
      <c r="P10" s="313">
        <f>ROUND('USPS Base'!D84*(1+PostalMarkup),2)</f>
        <v>12.13</v>
      </c>
      <c r="Q10" s="313">
        <f>ROUND('USPS Base'!E84*(1+PostalMarkup),2)</f>
        <v>12.93</v>
      </c>
      <c r="R10" s="313">
        <f>ROUND('USPS Base'!F84*(1+PostalMarkup),2)</f>
        <v>15.99</v>
      </c>
      <c r="S10" s="313">
        <f>ROUND('USPS Base'!G84*(1+PostalMarkup),2)</f>
        <v>22.64</v>
      </c>
      <c r="T10" s="313">
        <f>ROUND('USPS Base'!H84*(1+PostalMarkup),2)</f>
        <v>29.3</v>
      </c>
      <c r="U10" s="313">
        <f>ROUND('USPS Base'!I84*(1+PostalMarkup),2)</f>
        <v>34.04</v>
      </c>
      <c r="V10" s="313">
        <f>ROUND('USPS Base'!J84*(1+PostalMarkup),2)</f>
        <v>72.65</v>
      </c>
    </row>
    <row r="11" ht="12.75" customHeight="1">
      <c r="A11" s="312">
        <v>6.0</v>
      </c>
      <c r="B11" s="313">
        <f>ROUND('USPS Base'!B8*(1+PostalMarkup),2)</f>
        <v>10.99</v>
      </c>
      <c r="C11" s="313">
        <f>ROUND('USPS Base'!C8*(1+PostalMarkup),2)</f>
        <v>11.07</v>
      </c>
      <c r="D11" s="313">
        <f>ROUND('USPS Base'!D8*(1+PostalMarkup),2)</f>
        <v>12.34</v>
      </c>
      <c r="E11" s="313">
        <f>ROUND('USPS Base'!E8*(1+PostalMarkup),2)</f>
        <v>13.18</v>
      </c>
      <c r="F11" s="313">
        <f>ROUND('USPS Base'!F8*(1+PostalMarkup),2)</f>
        <v>16.5</v>
      </c>
      <c r="G11" s="313">
        <f>ROUND('USPS Base'!G8*(1+PostalMarkup),2)</f>
        <v>23.87</v>
      </c>
      <c r="H11" s="313">
        <f>ROUND('USPS Base'!H8*(1+PostalMarkup),2)</f>
        <v>31.23</v>
      </c>
      <c r="I11" s="313">
        <f>ROUND('USPS Base'!I8*(1+PostalMarkup),2)</f>
        <v>36.35</v>
      </c>
      <c r="J11" s="313">
        <f>ROUND('USPS Base'!J8*(1+PostalMarkup),2)</f>
        <v>77.58</v>
      </c>
      <c r="K11" s="138"/>
    </row>
    <row r="12" ht="12.75" customHeight="1">
      <c r="A12" s="312">
        <v>7.0</v>
      </c>
      <c r="B12" s="313">
        <f>ROUND('USPS Base'!B9*(1+PostalMarkup),2)</f>
        <v>11.34</v>
      </c>
      <c r="C12" s="313">
        <f>ROUND('USPS Base'!C9*(1+PostalMarkup),2)</f>
        <v>11.44</v>
      </c>
      <c r="D12" s="313">
        <f>ROUND('USPS Base'!D9*(1+PostalMarkup),2)</f>
        <v>12.9</v>
      </c>
      <c r="E12" s="313">
        <f>ROUND('USPS Base'!E9*(1+PostalMarkup),2)</f>
        <v>13.89</v>
      </c>
      <c r="F12" s="313">
        <f>ROUND('USPS Base'!F9*(1+PostalMarkup),2)</f>
        <v>17.64</v>
      </c>
      <c r="G12" s="313">
        <f>ROUND('USPS Base'!G9*(1+PostalMarkup),2)</f>
        <v>25.69</v>
      </c>
      <c r="H12" s="313">
        <f>ROUND('USPS Base'!H9*(1+PostalMarkup),2)</f>
        <v>33.73</v>
      </c>
      <c r="I12" s="313">
        <f>ROUND('USPS Base'!I9*(1+PostalMarkup),2)</f>
        <v>39.3</v>
      </c>
      <c r="J12" s="313">
        <f>ROUND('USPS Base'!J9*(1+PostalMarkup),2)</f>
        <v>83.86</v>
      </c>
      <c r="K12" s="138"/>
      <c r="M12" s="300" t="s">
        <v>140</v>
      </c>
      <c r="N12" s="301" t="s">
        <v>141</v>
      </c>
      <c r="O12" s="301"/>
      <c r="P12" s="301"/>
      <c r="Q12" s="301"/>
      <c r="R12" s="301"/>
      <c r="S12" s="301"/>
      <c r="T12" s="301"/>
      <c r="U12" s="301"/>
      <c r="V12" s="302"/>
    </row>
    <row r="13" ht="12.75" customHeight="1">
      <c r="A13" s="312">
        <v>8.0</v>
      </c>
      <c r="B13" s="313">
        <f>ROUND('USPS Base'!B10*(1+PostalMarkup),2)</f>
        <v>11.83</v>
      </c>
      <c r="C13" s="313">
        <f>ROUND('USPS Base'!C10*(1+PostalMarkup),2)</f>
        <v>11.89</v>
      </c>
      <c r="D13" s="313">
        <f>ROUND('USPS Base'!D10*(1+PostalMarkup),2)</f>
        <v>13.52</v>
      </c>
      <c r="E13" s="313">
        <f>ROUND('USPS Base'!E10*(1+PostalMarkup),2)</f>
        <v>14.63</v>
      </c>
      <c r="F13" s="313">
        <f>ROUND('USPS Base'!F10*(1+PostalMarkup),2)</f>
        <v>18.85</v>
      </c>
      <c r="G13" s="313">
        <f>ROUND('USPS Base'!G10*(1+PostalMarkup),2)</f>
        <v>27.53</v>
      </c>
      <c r="H13" s="313">
        <f>ROUND('USPS Base'!H10*(1+PostalMarkup),2)</f>
        <v>36.21</v>
      </c>
      <c r="I13" s="313">
        <f>ROUND('USPS Base'!I10*(1+PostalMarkup),2)</f>
        <v>42.25</v>
      </c>
      <c r="J13" s="313">
        <f>ROUND('USPS Base'!J10*(1+PostalMarkup),2)</f>
        <v>90.17</v>
      </c>
      <c r="K13" s="138"/>
      <c r="M13" s="300" t="s">
        <v>142</v>
      </c>
      <c r="N13" s="303">
        <v>15.0</v>
      </c>
    </row>
    <row r="14" ht="12.75" customHeight="1">
      <c r="A14" s="312">
        <v>9.0</v>
      </c>
      <c r="B14" s="313">
        <f>ROUND('USPS Base'!B11*(1+PostalMarkup),2)</f>
        <v>12.49</v>
      </c>
      <c r="C14" s="313">
        <f>ROUND('USPS Base'!C11*(1+PostalMarkup),2)</f>
        <v>12.58</v>
      </c>
      <c r="D14" s="313">
        <f>ROUND('USPS Base'!D11*(1+PostalMarkup),2)</f>
        <v>14.21</v>
      </c>
      <c r="E14" s="313">
        <f>ROUND('USPS Base'!E11*(1+PostalMarkup),2)</f>
        <v>15.42</v>
      </c>
      <c r="F14" s="313">
        <f>ROUND('USPS Base'!F11*(1+PostalMarkup),2)</f>
        <v>20.11</v>
      </c>
      <c r="G14" s="313">
        <f>ROUND('USPS Base'!G11*(1+PostalMarkup),2)</f>
        <v>29.42</v>
      </c>
      <c r="H14" s="313">
        <f>ROUND('USPS Base'!H11*(1+PostalMarkup),2)</f>
        <v>38.71</v>
      </c>
      <c r="I14" s="313">
        <f>ROUND('USPS Base'!I11*(1+PostalMarkup),2)</f>
        <v>45.2</v>
      </c>
      <c r="J14" s="313">
        <f>ROUND('USPS Base'!J11*(1+PostalMarkup),2)</f>
        <v>96.45</v>
      </c>
      <c r="K14" s="138"/>
      <c r="M14" s="300" t="s">
        <v>143</v>
      </c>
      <c r="N14" s="303">
        <v>10.0</v>
      </c>
    </row>
    <row r="15" ht="12.75" customHeight="1">
      <c r="A15" s="312">
        <v>10.0</v>
      </c>
      <c r="B15" s="313">
        <f>ROUND('USPS Base'!B12*(1+PostalMarkup),2)</f>
        <v>13.32</v>
      </c>
      <c r="C15" s="313">
        <f>ROUND('USPS Base'!C12*(1+PostalMarkup),2)</f>
        <v>13.4</v>
      </c>
      <c r="D15" s="313">
        <f>ROUND('USPS Base'!D12*(1+PostalMarkup),2)</f>
        <v>14.93</v>
      </c>
      <c r="E15" s="313">
        <f>ROUND('USPS Base'!E12*(1+PostalMarkup),2)</f>
        <v>16.23</v>
      </c>
      <c r="F15" s="313">
        <f>ROUND('USPS Base'!F12*(1+PostalMarkup),2)</f>
        <v>21.36</v>
      </c>
      <c r="G15" s="313">
        <f>ROUND('USPS Base'!G12*(1+PostalMarkup),2)</f>
        <v>31.28</v>
      </c>
      <c r="H15" s="313">
        <f>ROUND('USPS Base'!H12*(1+PostalMarkup),2)</f>
        <v>41.19</v>
      </c>
      <c r="I15" s="313">
        <f>ROUND('USPS Base'!I12*(1+PostalMarkup),2)</f>
        <v>48.07</v>
      </c>
      <c r="J15" s="313">
        <f>ROUND('USPS Base'!J12*(1+PostalMarkup),2)</f>
        <v>102.59</v>
      </c>
      <c r="K15" s="138"/>
      <c r="M15" s="304" t="s">
        <v>144</v>
      </c>
      <c r="N15" s="305">
        <v>3.0</v>
      </c>
    </row>
    <row r="16" ht="12.75" customHeight="1">
      <c r="A16" s="312">
        <v>11.0</v>
      </c>
      <c r="B16" s="313">
        <f>ROUND('USPS Base'!B13*(1+PostalMarkup),2)</f>
        <v>14.5</v>
      </c>
      <c r="C16" s="313">
        <f>ROUND('USPS Base'!C13*(1+PostalMarkup),2)</f>
        <v>14.57</v>
      </c>
      <c r="D16" s="313">
        <f>ROUND('USPS Base'!D13*(1+PostalMarkup),2)</f>
        <v>15.66</v>
      </c>
      <c r="E16" s="313">
        <f>ROUND('USPS Base'!E13*(1+PostalMarkup),2)</f>
        <v>17.07</v>
      </c>
      <c r="F16" s="313">
        <f>ROUND('USPS Base'!F13*(1+PostalMarkup),2)</f>
        <v>22.6</v>
      </c>
      <c r="G16" s="313">
        <f>ROUND('USPS Base'!G13*(1+PostalMarkup),2)</f>
        <v>33.13</v>
      </c>
      <c r="H16" s="313">
        <f>ROUND('USPS Base'!H13*(1+PostalMarkup),2)</f>
        <v>43.67</v>
      </c>
      <c r="I16" s="313">
        <f>ROUND('USPS Base'!I13*(1+PostalMarkup),2)</f>
        <v>50.95</v>
      </c>
      <c r="J16" s="313">
        <f>ROUND('USPS Base'!J13*(1+PostalMarkup),2)</f>
        <v>108.72</v>
      </c>
      <c r="K16" s="138"/>
      <c r="M16" s="307" t="s">
        <v>145</v>
      </c>
      <c r="N16" s="308">
        <f>ROUNDUP((ROUND(N13,0)*ROUND(N14,0)*ROUND(N15,0))/1728,1)</f>
        <v>0.3</v>
      </c>
    </row>
    <row r="17" ht="12.75" customHeight="1">
      <c r="A17" s="312">
        <v>12.0</v>
      </c>
      <c r="B17" s="313">
        <f>ROUND('USPS Base'!B14*(1+PostalMarkup),2)</f>
        <v>15.25</v>
      </c>
      <c r="C17" s="313">
        <f>ROUND('USPS Base'!C14*(1+PostalMarkup),2)</f>
        <v>15.33</v>
      </c>
      <c r="D17" s="313">
        <f>ROUND('USPS Base'!D14*(1+PostalMarkup),2)</f>
        <v>16.36</v>
      </c>
      <c r="E17" s="313">
        <f>ROUND('USPS Base'!E14*(1+PostalMarkup),2)</f>
        <v>17.87</v>
      </c>
      <c r="F17" s="313">
        <f>ROUND('USPS Base'!F14*(1+PostalMarkup),2)</f>
        <v>23.92</v>
      </c>
      <c r="G17" s="313">
        <f>ROUND('USPS Base'!G14*(1+PostalMarkup),2)</f>
        <v>35.01</v>
      </c>
      <c r="H17" s="313">
        <f>ROUND('USPS Base'!H14*(1+PostalMarkup),2)</f>
        <v>46.09</v>
      </c>
      <c r="I17" s="313">
        <f>ROUND('USPS Base'!I14*(1+PostalMarkup),2)</f>
        <v>53.82</v>
      </c>
      <c r="J17" s="313">
        <f>ROUND('USPS Base'!J14*(1+PostalMarkup),2)</f>
        <v>114.86</v>
      </c>
      <c r="K17" s="138"/>
      <c r="M17" s="307" t="s">
        <v>146</v>
      </c>
      <c r="N17" s="309"/>
      <c r="O17" s="309"/>
      <c r="P17" s="309"/>
      <c r="Q17" s="309"/>
      <c r="R17" s="309"/>
      <c r="S17" s="309"/>
      <c r="T17" s="309"/>
      <c r="U17" s="309"/>
      <c r="V17" s="308"/>
    </row>
    <row r="18" ht="12.75" customHeight="1">
      <c r="A18" s="312">
        <v>13.0</v>
      </c>
      <c r="B18" s="313">
        <f>ROUND('USPS Base'!B15*(1+PostalMarkup),2)</f>
        <v>15.93</v>
      </c>
      <c r="C18" s="313">
        <f>ROUND('USPS Base'!C15*(1+PostalMarkup),2)</f>
        <v>16.04</v>
      </c>
      <c r="D18" s="313">
        <f>ROUND('USPS Base'!D15*(1+PostalMarkup),2)</f>
        <v>17.07</v>
      </c>
      <c r="E18" s="313">
        <f>ROUND('USPS Base'!E15*(1+PostalMarkup),2)</f>
        <v>18.65</v>
      </c>
      <c r="F18" s="313">
        <f>ROUND('USPS Base'!F15*(1+PostalMarkup),2)</f>
        <v>25.22</v>
      </c>
      <c r="G18" s="313">
        <f>ROUND('USPS Base'!G15*(1+PostalMarkup),2)</f>
        <v>36.88</v>
      </c>
      <c r="H18" s="313">
        <f>ROUND('USPS Base'!H15*(1+PostalMarkup),2)</f>
        <v>48.53</v>
      </c>
      <c r="I18" s="313">
        <f>ROUND('USPS Base'!I15*(1+PostalMarkup),2)</f>
        <v>56.7</v>
      </c>
      <c r="J18" s="313">
        <f>ROUND('USPS Base'!J15*(1+PostalMarkup),2)</f>
        <v>120.99</v>
      </c>
      <c r="K18" s="138"/>
      <c r="M18" s="304" t="s">
        <v>147</v>
      </c>
      <c r="N18" s="310"/>
      <c r="O18" s="310"/>
      <c r="P18" s="310"/>
      <c r="Q18" s="310"/>
      <c r="R18" s="310"/>
      <c r="S18" s="310"/>
      <c r="T18" s="310"/>
      <c r="U18" s="310"/>
      <c r="V18" s="311"/>
    </row>
    <row r="19" ht="12.75" customHeight="1">
      <c r="A19" s="312">
        <v>14.0</v>
      </c>
      <c r="B19" s="313">
        <f>ROUND('USPS Base'!B16*(1+PostalMarkup),2)</f>
        <v>16.53</v>
      </c>
      <c r="C19" s="313">
        <f>ROUND('USPS Base'!C16*(1+PostalMarkup),2)</f>
        <v>16.69</v>
      </c>
      <c r="D19" s="313">
        <f>ROUND('USPS Base'!D16*(1+PostalMarkup),2)</f>
        <v>17.7</v>
      </c>
      <c r="E19" s="313">
        <f>ROUND('USPS Base'!E16*(1+PostalMarkup),2)</f>
        <v>19.37</v>
      </c>
      <c r="F19" s="313">
        <f>ROUND('USPS Base'!F16*(1+PostalMarkup),2)</f>
        <v>26.51</v>
      </c>
      <c r="G19" s="313">
        <f>ROUND('USPS Base'!G16*(1+PostalMarkup),2)</f>
        <v>38.73</v>
      </c>
      <c r="H19" s="313">
        <f>ROUND('USPS Base'!H16*(1+PostalMarkup),2)</f>
        <v>50.96</v>
      </c>
      <c r="I19" s="313">
        <f>ROUND('USPS Base'!I16*(1+PostalMarkup),2)</f>
        <v>59.58</v>
      </c>
      <c r="J19" s="313">
        <f>ROUND('USPS Base'!J16*(1+PostalMarkup),2)</f>
        <v>127.16</v>
      </c>
      <c r="K19" s="138"/>
    </row>
    <row r="20" ht="12.75" customHeight="1">
      <c r="A20" s="312">
        <v>15.0</v>
      </c>
      <c r="B20" s="313">
        <f>ROUND('USPS Base'!B17*(1+PostalMarkup),2)</f>
        <v>17.02</v>
      </c>
      <c r="C20" s="313">
        <f>ROUND('USPS Base'!C17*(1+PostalMarkup),2)</f>
        <v>17.19</v>
      </c>
      <c r="D20" s="313">
        <f>ROUND('USPS Base'!D17*(1+PostalMarkup),2)</f>
        <v>18.25</v>
      </c>
      <c r="E20" s="313">
        <f>ROUND('USPS Base'!E17*(1+PostalMarkup),2)</f>
        <v>20</v>
      </c>
      <c r="F20" s="313">
        <f>ROUND('USPS Base'!F17*(1+PostalMarkup),2)</f>
        <v>27.8</v>
      </c>
      <c r="G20" s="313">
        <f>ROUND('USPS Base'!G17*(1+PostalMarkup),2)</f>
        <v>40.6</v>
      </c>
      <c r="H20" s="313">
        <f>ROUND('USPS Base'!H17*(1+PostalMarkup),2)</f>
        <v>53.39</v>
      </c>
      <c r="I20" s="313">
        <f>ROUND('USPS Base'!I17*(1+PostalMarkup),2)</f>
        <v>62.46</v>
      </c>
      <c r="J20" s="313">
        <f>ROUND('USPS Base'!J17*(1+PostalMarkup),2)</f>
        <v>133.3</v>
      </c>
      <c r="K20" s="138"/>
      <c r="M20" s="138" t="s">
        <v>152</v>
      </c>
      <c r="N20" s="138"/>
    </row>
    <row r="21" ht="12.75" customHeight="1">
      <c r="A21" s="312">
        <v>16.0</v>
      </c>
      <c r="B21" s="313">
        <f>ROUND('USPS Base'!B18*(1+PostalMarkup),2)</f>
        <v>17.41</v>
      </c>
      <c r="C21" s="313">
        <f>ROUND('USPS Base'!C18*(1+PostalMarkup),2)</f>
        <v>17.62</v>
      </c>
      <c r="D21" s="313">
        <f>ROUND('USPS Base'!D18*(1+PostalMarkup),2)</f>
        <v>18.7</v>
      </c>
      <c r="E21" s="313">
        <f>ROUND('USPS Base'!E18*(1+PostalMarkup),2)</f>
        <v>20.56</v>
      </c>
      <c r="F21" s="313">
        <f>ROUND('USPS Base'!F18*(1+PostalMarkup),2)</f>
        <v>29.08</v>
      </c>
      <c r="G21" s="313">
        <f>ROUND('USPS Base'!G18*(1+PostalMarkup),2)</f>
        <v>42.46</v>
      </c>
      <c r="H21" s="313">
        <f>ROUND('USPS Base'!H18*(1+PostalMarkup),2)</f>
        <v>55.82</v>
      </c>
      <c r="I21" s="313">
        <f>ROUND('USPS Base'!I18*(1+PostalMarkup),2)</f>
        <v>65.33</v>
      </c>
      <c r="J21" s="313">
        <f>ROUND('USPS Base'!J18*(1+PostalMarkup),2)</f>
        <v>139.43</v>
      </c>
      <c r="K21" s="138"/>
      <c r="L21" s="138"/>
      <c r="M21" s="138"/>
      <c r="N21" s="138"/>
    </row>
    <row r="22" ht="12.75" customHeight="1">
      <c r="A22" s="312">
        <v>17.0</v>
      </c>
      <c r="B22" s="313">
        <f>ROUND('USPS Base'!B19*(1+PostalMarkup),2)</f>
        <v>17.8</v>
      </c>
      <c r="C22" s="313">
        <f>ROUND('USPS Base'!C19*(1+PostalMarkup),2)</f>
        <v>18.03</v>
      </c>
      <c r="D22" s="313">
        <f>ROUND('USPS Base'!D19*(1+PostalMarkup),2)</f>
        <v>19.19</v>
      </c>
      <c r="E22" s="313">
        <f>ROUND('USPS Base'!E19*(1+PostalMarkup),2)</f>
        <v>21.13</v>
      </c>
      <c r="F22" s="313">
        <f>ROUND('USPS Base'!F19*(1+PostalMarkup),2)</f>
        <v>30.35</v>
      </c>
      <c r="G22" s="313">
        <f>ROUND('USPS Base'!G19*(1+PostalMarkup),2)</f>
        <v>44.31</v>
      </c>
      <c r="H22" s="313">
        <f>ROUND('USPS Base'!H19*(1+PostalMarkup),2)</f>
        <v>58.26</v>
      </c>
      <c r="I22" s="313">
        <f>ROUND('USPS Base'!I19*(1+PostalMarkup),2)</f>
        <v>68.21</v>
      </c>
      <c r="J22" s="313">
        <f>ROUND('USPS Base'!J19*(1+PostalMarkup),2)</f>
        <v>145.57</v>
      </c>
      <c r="K22" s="138"/>
      <c r="L22" s="138"/>
      <c r="M22" s="138"/>
      <c r="N22" s="138"/>
    </row>
    <row r="23" ht="12.75" customHeight="1">
      <c r="A23" s="312">
        <v>18.0</v>
      </c>
      <c r="B23" s="313">
        <f>ROUND('USPS Base'!B20*(1+PostalMarkup),2)</f>
        <v>18.26</v>
      </c>
      <c r="C23" s="313">
        <f>ROUND('USPS Base'!C20*(1+PostalMarkup),2)</f>
        <v>18.5</v>
      </c>
      <c r="D23" s="313">
        <f>ROUND('USPS Base'!D20*(1+PostalMarkup),2)</f>
        <v>19.7</v>
      </c>
      <c r="E23" s="313">
        <f>ROUND('USPS Base'!E20*(1+PostalMarkup),2)</f>
        <v>21.7</v>
      </c>
      <c r="F23" s="313">
        <f>ROUND('USPS Base'!F20*(1+PostalMarkup),2)</f>
        <v>31.63</v>
      </c>
      <c r="G23" s="313">
        <f>ROUND('USPS Base'!G20*(1+PostalMarkup),2)</f>
        <v>46.16</v>
      </c>
      <c r="H23" s="313">
        <f>ROUND('USPS Base'!H20*(1+PostalMarkup),2)</f>
        <v>60.69</v>
      </c>
      <c r="I23" s="313">
        <f>ROUND('USPS Base'!I20*(1+PostalMarkup),2)</f>
        <v>71.08</v>
      </c>
      <c r="J23" s="313">
        <f>ROUND('USPS Base'!J20*(1+PostalMarkup),2)</f>
        <v>151.7</v>
      </c>
      <c r="K23" s="138"/>
      <c r="L23" s="138"/>
      <c r="M23" s="138"/>
      <c r="N23" s="138"/>
    </row>
    <row r="24" ht="12.75" customHeight="1">
      <c r="A24" s="312">
        <v>19.0</v>
      </c>
      <c r="B24" s="313">
        <f>ROUND('USPS Base'!B21*(1+PostalMarkup),2)</f>
        <v>18.68</v>
      </c>
      <c r="C24" s="313">
        <f>ROUND('USPS Base'!C21*(1+PostalMarkup),2)</f>
        <v>18.96</v>
      </c>
      <c r="D24" s="313">
        <f>ROUND('USPS Base'!D21*(1+PostalMarkup),2)</f>
        <v>20.19</v>
      </c>
      <c r="E24" s="313">
        <f>ROUND('USPS Base'!E21*(1+PostalMarkup),2)</f>
        <v>22.28</v>
      </c>
      <c r="F24" s="313">
        <f>ROUND('USPS Base'!F21*(1+PostalMarkup),2)</f>
        <v>32.91</v>
      </c>
      <c r="G24" s="313">
        <f>ROUND('USPS Base'!G21*(1+PostalMarkup),2)</f>
        <v>48.01</v>
      </c>
      <c r="H24" s="313">
        <f>ROUND('USPS Base'!H21*(1+PostalMarkup),2)</f>
        <v>63.11</v>
      </c>
      <c r="I24" s="313">
        <f>ROUND('USPS Base'!I21*(1+PostalMarkup),2)</f>
        <v>73.95</v>
      </c>
      <c r="J24" s="313">
        <f>ROUND('USPS Base'!J21*(1+PostalMarkup),2)</f>
        <v>157.81</v>
      </c>
      <c r="K24" s="138"/>
      <c r="L24" s="138"/>
      <c r="M24" s="138"/>
      <c r="N24" s="138"/>
    </row>
    <row r="25" ht="12.75" customHeight="1">
      <c r="A25" s="312">
        <v>20.0</v>
      </c>
      <c r="B25" s="313">
        <f>ROUND('USPS Base'!B22*(1+PostalMarkup),2)</f>
        <v>19.52</v>
      </c>
      <c r="C25" s="313">
        <f>ROUND('USPS Base'!C22*(1+PostalMarkup),2)</f>
        <v>20.04</v>
      </c>
      <c r="D25" s="313">
        <f>ROUND('USPS Base'!D22*(1+PostalMarkup),2)</f>
        <v>21.46</v>
      </c>
      <c r="E25" s="313">
        <f>ROUND('USPS Base'!E22*(1+PostalMarkup),2)</f>
        <v>23.03</v>
      </c>
      <c r="F25" s="313">
        <f>ROUND('USPS Base'!F22*(1+PostalMarkup),2)</f>
        <v>34.18</v>
      </c>
      <c r="G25" s="313">
        <f>ROUND('USPS Base'!G22*(1+PostalMarkup),2)</f>
        <v>49.86</v>
      </c>
      <c r="H25" s="313">
        <f>ROUND('USPS Base'!H22*(1+PostalMarkup),2)</f>
        <v>65.54</v>
      </c>
      <c r="I25" s="313">
        <f>ROUND('USPS Base'!I22*(1+PostalMarkup),2)</f>
        <v>76.83</v>
      </c>
      <c r="J25" s="313">
        <f>ROUND('USPS Base'!J22*(1+PostalMarkup),2)</f>
        <v>163.97</v>
      </c>
      <c r="K25" s="138"/>
      <c r="L25" s="138"/>
      <c r="M25" s="138"/>
      <c r="N25" s="138"/>
    </row>
    <row r="26" ht="12.75" customHeight="1">
      <c r="A26" s="312">
        <v>21.0</v>
      </c>
      <c r="B26" s="313">
        <f>ROUND('USPS Base'!B23*(1+PostalMarkup),2)</f>
        <v>20.72</v>
      </c>
      <c r="C26" s="313">
        <f>ROUND('USPS Base'!C23*(1+PostalMarkup),2)</f>
        <v>21.92</v>
      </c>
      <c r="D26" s="313">
        <f>ROUND('USPS Base'!D23*(1+PostalMarkup),2)</f>
        <v>23.18</v>
      </c>
      <c r="E26" s="313">
        <f>ROUND('USPS Base'!E23*(1+PostalMarkup),2)</f>
        <v>24.45</v>
      </c>
      <c r="F26" s="313">
        <f>ROUND('USPS Base'!F23*(1+PostalMarkup),2)</f>
        <v>35.62</v>
      </c>
      <c r="G26" s="313">
        <f>ROUND('USPS Base'!G23*(1+PostalMarkup),2)</f>
        <v>53.13</v>
      </c>
      <c r="H26" s="313">
        <f>ROUND('USPS Base'!H23*(1+PostalMarkup),2)</f>
        <v>70.64</v>
      </c>
      <c r="I26" s="313">
        <f>ROUND('USPS Base'!I23*(1+PostalMarkup),2)</f>
        <v>82.73</v>
      </c>
      <c r="J26" s="313">
        <f>ROUND('USPS Base'!J23*(1+PostalMarkup),2)</f>
        <v>176.56</v>
      </c>
      <c r="K26" s="138"/>
      <c r="L26" s="138"/>
      <c r="M26" s="138"/>
      <c r="N26" s="138"/>
    </row>
    <row r="27" ht="12.75" customHeight="1">
      <c r="A27" s="312">
        <v>22.0</v>
      </c>
      <c r="B27" s="313">
        <f>ROUND('USPS Base'!B24*(1+PostalMarkup),2)</f>
        <v>22.25</v>
      </c>
      <c r="C27" s="313">
        <f>ROUND('USPS Base'!C24*(1+PostalMarkup),2)</f>
        <v>23.83</v>
      </c>
      <c r="D27" s="313">
        <f>ROUND('USPS Base'!D24*(1+PostalMarkup),2)</f>
        <v>25.35</v>
      </c>
      <c r="E27" s="313">
        <f>ROUND('USPS Base'!E24*(1+PostalMarkup),2)</f>
        <v>26.99</v>
      </c>
      <c r="F27" s="313">
        <f>ROUND('USPS Base'!F24*(1+PostalMarkup),2)</f>
        <v>37.58</v>
      </c>
      <c r="G27" s="313">
        <f>ROUND('USPS Base'!G24*(1+PostalMarkup),2)</f>
        <v>56.68</v>
      </c>
      <c r="H27" s="313">
        <f>ROUND('USPS Base'!H24*(1+PostalMarkup),2)</f>
        <v>75.77</v>
      </c>
      <c r="I27" s="313">
        <f>ROUND('USPS Base'!I24*(1+PostalMarkup),2)</f>
        <v>88.65</v>
      </c>
      <c r="J27" s="313">
        <f>ROUND('USPS Base'!J24*(1+PostalMarkup),2)</f>
        <v>189.2</v>
      </c>
      <c r="K27" s="138"/>
      <c r="L27" s="138"/>
      <c r="M27" s="138"/>
      <c r="N27" s="138"/>
    </row>
    <row r="28" ht="12.75" customHeight="1">
      <c r="A28" s="312">
        <v>23.0</v>
      </c>
      <c r="B28" s="313">
        <f>ROUND('USPS Base'!B25*(1+PostalMarkup),2)</f>
        <v>24.12</v>
      </c>
      <c r="C28" s="313">
        <f>ROUND('USPS Base'!C25*(1+PostalMarkup),2)</f>
        <v>25.98</v>
      </c>
      <c r="D28" s="313">
        <f>ROUND('USPS Base'!D25*(1+PostalMarkup),2)</f>
        <v>27.96</v>
      </c>
      <c r="E28" s="313">
        <f>ROUND('USPS Base'!E25*(1+PostalMarkup),2)</f>
        <v>30.67</v>
      </c>
      <c r="F28" s="313">
        <f>ROUND('USPS Base'!F25*(1+PostalMarkup),2)</f>
        <v>41.92</v>
      </c>
      <c r="G28" s="313">
        <f>ROUND('USPS Base'!G25*(1+PostalMarkup),2)</f>
        <v>61.42</v>
      </c>
      <c r="H28" s="313">
        <f>ROUND('USPS Base'!H25*(1+PostalMarkup),2)</f>
        <v>80.93</v>
      </c>
      <c r="I28" s="313">
        <f>ROUND('USPS Base'!I25*(1+PostalMarkup),2)</f>
        <v>94.6</v>
      </c>
      <c r="J28" s="313">
        <f>ROUND('USPS Base'!J25*(1+PostalMarkup),2)</f>
        <v>201.88</v>
      </c>
      <c r="K28" s="138"/>
      <c r="L28" s="138"/>
      <c r="M28" s="138"/>
      <c r="N28" s="138"/>
    </row>
    <row r="29" ht="12.75" customHeight="1">
      <c r="A29" s="312">
        <v>24.0</v>
      </c>
      <c r="B29" s="313">
        <f>ROUND('USPS Base'!B26*(1+PostalMarkup),2)</f>
        <v>26.28</v>
      </c>
      <c r="C29" s="313">
        <f>ROUND('USPS Base'!C26*(1+PostalMarkup),2)</f>
        <v>28.37</v>
      </c>
      <c r="D29" s="313">
        <f>ROUND('USPS Base'!D26*(1+PostalMarkup),2)</f>
        <v>31.02</v>
      </c>
      <c r="E29" s="313">
        <f>ROUND('USPS Base'!E26*(1+PostalMarkup),2)</f>
        <v>35.47</v>
      </c>
      <c r="F29" s="313">
        <f>ROUND('USPS Base'!F26*(1+PostalMarkup),2)</f>
        <v>49.16</v>
      </c>
      <c r="G29" s="313">
        <f>ROUND('USPS Base'!G26*(1+PostalMarkup),2)</f>
        <v>67.63</v>
      </c>
      <c r="H29" s="313">
        <f>ROUND('USPS Base'!H26*(1+PostalMarkup),2)</f>
        <v>86.09</v>
      </c>
      <c r="I29" s="313">
        <f>ROUND('USPS Base'!I26*(1+PostalMarkup),2)</f>
        <v>100.57</v>
      </c>
      <c r="J29" s="313">
        <f>ROUND('USPS Base'!J26*(1+PostalMarkup),2)</f>
        <v>214.62</v>
      </c>
      <c r="K29" s="138"/>
      <c r="L29" s="138"/>
      <c r="M29" s="138"/>
      <c r="N29" s="138"/>
    </row>
    <row r="30" ht="12.75" customHeight="1">
      <c r="A30" s="312">
        <v>25.0</v>
      </c>
      <c r="B30" s="313">
        <f>ROUND('USPS Base'!B27*(1+PostalMarkup),2)</f>
        <v>28.39</v>
      </c>
      <c r="C30" s="313">
        <f>ROUND('USPS Base'!C27*(1+PostalMarkup),2)</f>
        <v>30.94</v>
      </c>
      <c r="D30" s="313">
        <f>ROUND('USPS Base'!D27*(1+PostalMarkup),2)</f>
        <v>34.49</v>
      </c>
      <c r="E30" s="313">
        <f>ROUND('USPS Base'!E27*(1+PostalMarkup),2)</f>
        <v>41.07</v>
      </c>
      <c r="F30" s="313">
        <f>ROUND('USPS Base'!F27*(1+PostalMarkup),2)</f>
        <v>57.79</v>
      </c>
      <c r="G30" s="313">
        <f>ROUND('USPS Base'!G27*(1+PostalMarkup),2)</f>
        <v>74.54</v>
      </c>
      <c r="H30" s="313">
        <f>ROUND('USPS Base'!H27*(1+PostalMarkup),2)</f>
        <v>91.3</v>
      </c>
      <c r="I30" s="313">
        <f>ROUND('USPS Base'!I27*(1+PostalMarkup),2)</f>
        <v>106.56</v>
      </c>
      <c r="J30" s="313">
        <f>ROUND('USPS Base'!J27*(1+PostalMarkup),2)</f>
        <v>227.41</v>
      </c>
      <c r="K30" s="138"/>
      <c r="L30" s="138"/>
      <c r="M30" s="138"/>
      <c r="N30" s="138"/>
    </row>
    <row r="31" ht="12.75" customHeight="1">
      <c r="A31" s="312">
        <v>26.0</v>
      </c>
      <c r="B31" s="313">
        <f>ROUND('USPS Base'!B28*(1+PostalMarkup),2)</f>
        <v>29.45</v>
      </c>
      <c r="C31" s="313">
        <f>ROUND('USPS Base'!C28*(1+PostalMarkup),2)</f>
        <v>32.21</v>
      </c>
      <c r="D31" s="313">
        <f>ROUND('USPS Base'!D28*(1+PostalMarkup),2)</f>
        <v>36.23</v>
      </c>
      <c r="E31" s="313">
        <f>ROUND('USPS Base'!E28*(1+PostalMarkup),2)</f>
        <v>43.85</v>
      </c>
      <c r="F31" s="313">
        <f>ROUND('USPS Base'!F28*(1+PostalMarkup),2)</f>
        <v>62.11</v>
      </c>
      <c r="G31" s="313">
        <f>ROUND('USPS Base'!G28*(1+PostalMarkup),2)</f>
        <v>81.29</v>
      </c>
      <c r="H31" s="313">
        <f>ROUND('USPS Base'!H28*(1+PostalMarkup),2)</f>
        <v>100.48</v>
      </c>
      <c r="I31" s="313">
        <f>ROUND('USPS Base'!I28*(1+PostalMarkup),2)</f>
        <v>117.63</v>
      </c>
      <c r="J31" s="313">
        <f>ROUND('USPS Base'!J28*(1+PostalMarkup),2)</f>
        <v>251.05</v>
      </c>
      <c r="K31" s="138"/>
      <c r="L31" s="138"/>
      <c r="M31" s="138"/>
      <c r="N31" s="138"/>
    </row>
    <row r="32" ht="12.75" customHeight="1">
      <c r="A32" s="312">
        <v>27.0</v>
      </c>
      <c r="B32" s="313">
        <f>ROUND('USPS Base'!B29*(1+PostalMarkup),2)</f>
        <v>30.52</v>
      </c>
      <c r="C32" s="313">
        <f>ROUND('USPS Base'!C29*(1+PostalMarkup),2)</f>
        <v>33.49</v>
      </c>
      <c r="D32" s="313">
        <f>ROUND('USPS Base'!D29*(1+PostalMarkup),2)</f>
        <v>37.96</v>
      </c>
      <c r="E32" s="313">
        <f>ROUND('USPS Base'!E29*(1+PostalMarkup),2)</f>
        <v>46.66</v>
      </c>
      <c r="F32" s="313">
        <f>ROUND('USPS Base'!F29*(1+PostalMarkup),2)</f>
        <v>66.41</v>
      </c>
      <c r="G32" s="313">
        <f>ROUND('USPS Base'!G29*(1+PostalMarkup),2)</f>
        <v>84.44</v>
      </c>
      <c r="H32" s="313">
        <f>ROUND('USPS Base'!H29*(1+PostalMarkup),2)</f>
        <v>102.48</v>
      </c>
      <c r="I32" s="313">
        <f>ROUND('USPS Base'!I29*(1+PostalMarkup),2)</f>
        <v>120.34</v>
      </c>
      <c r="J32" s="313">
        <f>ROUND('USPS Base'!J29*(1+PostalMarkup),2)</f>
        <v>256.82</v>
      </c>
      <c r="K32" s="138"/>
      <c r="L32" s="138"/>
      <c r="M32" s="138"/>
      <c r="N32" s="138"/>
    </row>
    <row r="33" ht="12.75" customHeight="1">
      <c r="A33" s="312">
        <v>28.0</v>
      </c>
      <c r="B33" s="313">
        <f>ROUND('USPS Base'!B30*(1+PostalMarkup),2)</f>
        <v>31.37</v>
      </c>
      <c r="C33" s="313">
        <f>ROUND('USPS Base'!C30*(1+PostalMarkup),2)</f>
        <v>34.48</v>
      </c>
      <c r="D33" s="313">
        <f>ROUND('USPS Base'!D30*(1+PostalMarkup),2)</f>
        <v>39.11</v>
      </c>
      <c r="E33" s="313">
        <f>ROUND('USPS Base'!E30*(1+PostalMarkup),2)</f>
        <v>48.08</v>
      </c>
      <c r="F33" s="313">
        <f>ROUND('USPS Base'!F30*(1+PostalMarkup),2)</f>
        <v>68.62</v>
      </c>
      <c r="G33" s="313">
        <f>ROUND('USPS Base'!G30*(1+PostalMarkup),2)</f>
        <v>86.54</v>
      </c>
      <c r="H33" s="313">
        <f>ROUND('USPS Base'!H30*(1+PostalMarkup),2)</f>
        <v>104.45</v>
      </c>
      <c r="I33" s="313">
        <f>ROUND('USPS Base'!I30*(1+PostalMarkup),2)</f>
        <v>123.17</v>
      </c>
      <c r="J33" s="313">
        <f>ROUND('USPS Base'!J30*(1+PostalMarkup),2)</f>
        <v>262.86</v>
      </c>
      <c r="K33" s="138"/>
      <c r="L33" s="138"/>
      <c r="M33" s="138"/>
      <c r="N33" s="138"/>
    </row>
    <row r="34" ht="12.75" customHeight="1">
      <c r="A34" s="312">
        <v>29.0</v>
      </c>
      <c r="B34" s="313">
        <f>ROUND('USPS Base'!B31*(1+PostalMarkup),2)</f>
        <v>32.2</v>
      </c>
      <c r="C34" s="313">
        <f>ROUND('USPS Base'!C31*(1+PostalMarkup),2)</f>
        <v>35.43</v>
      </c>
      <c r="D34" s="313">
        <f>ROUND('USPS Base'!D31*(1+PostalMarkup),2)</f>
        <v>40.26</v>
      </c>
      <c r="E34" s="313">
        <f>ROUND('USPS Base'!E31*(1+PostalMarkup),2)</f>
        <v>49.47</v>
      </c>
      <c r="F34" s="313">
        <f>ROUND('USPS Base'!F31*(1+PostalMarkup),2)</f>
        <v>70.81</v>
      </c>
      <c r="G34" s="313">
        <f>ROUND('USPS Base'!G31*(1+PostalMarkup),2)</f>
        <v>88.63</v>
      </c>
      <c r="H34" s="313">
        <f>ROUND('USPS Base'!H31*(1+PostalMarkup),2)</f>
        <v>106.44</v>
      </c>
      <c r="I34" s="313">
        <f>ROUND('USPS Base'!I31*(1+PostalMarkup),2)</f>
        <v>125.68</v>
      </c>
      <c r="J34" s="313">
        <f>ROUND('USPS Base'!J31*(1+PostalMarkup),2)</f>
        <v>268.23</v>
      </c>
      <c r="K34" s="138"/>
      <c r="L34" s="138"/>
      <c r="M34" s="138"/>
      <c r="N34" s="138"/>
    </row>
    <row r="35" ht="12.75" customHeight="1">
      <c r="A35" s="312">
        <v>30.0</v>
      </c>
      <c r="B35" s="313">
        <f>ROUND('USPS Base'!B32*(1+PostalMarkup),2)</f>
        <v>33.04</v>
      </c>
      <c r="C35" s="313">
        <f>ROUND('USPS Base'!C32*(1+PostalMarkup),2)</f>
        <v>36.37</v>
      </c>
      <c r="D35" s="313">
        <f>ROUND('USPS Base'!D32*(1+PostalMarkup),2)</f>
        <v>41.39</v>
      </c>
      <c r="E35" s="313">
        <f>ROUND('USPS Base'!E32*(1+PostalMarkup),2)</f>
        <v>50.86</v>
      </c>
      <c r="F35" s="313">
        <f>ROUND('USPS Base'!F32*(1+PostalMarkup),2)</f>
        <v>72.97</v>
      </c>
      <c r="G35" s="313">
        <f>ROUND('USPS Base'!G32*(1+PostalMarkup),2)</f>
        <v>90.7</v>
      </c>
      <c r="H35" s="313">
        <f>ROUND('USPS Base'!H32*(1+PostalMarkup),2)</f>
        <v>108.42</v>
      </c>
      <c r="I35" s="313">
        <f>ROUND('USPS Base'!I32*(1+PostalMarkup),2)</f>
        <v>128.01</v>
      </c>
      <c r="J35" s="313">
        <f>ROUND('USPS Base'!J32*(1+PostalMarkup),2)</f>
        <v>273.18</v>
      </c>
      <c r="K35" s="138"/>
      <c r="L35" s="138"/>
      <c r="M35" s="138"/>
      <c r="N35" s="138"/>
    </row>
    <row r="36" ht="12.75" customHeight="1">
      <c r="A36" s="312">
        <v>31.0</v>
      </c>
      <c r="B36" s="313">
        <f>ROUND('USPS Base'!B33*(1+PostalMarkup),2)</f>
        <v>33.86</v>
      </c>
      <c r="C36" s="313">
        <f>ROUND('USPS Base'!C33*(1+PostalMarkup),2)</f>
        <v>37.32</v>
      </c>
      <c r="D36" s="313">
        <f>ROUND('USPS Base'!D33*(1+PostalMarkup),2)</f>
        <v>42.49</v>
      </c>
      <c r="E36" s="313">
        <f>ROUND('USPS Base'!E33*(1+PostalMarkup),2)</f>
        <v>52.22</v>
      </c>
      <c r="F36" s="313">
        <f>ROUND('USPS Base'!F33*(1+PostalMarkup),2)</f>
        <v>75.08</v>
      </c>
      <c r="G36" s="313">
        <f>ROUND('USPS Base'!G33*(1+PostalMarkup),2)</f>
        <v>92.75</v>
      </c>
      <c r="H36" s="313">
        <f>ROUND('USPS Base'!H33*(1+PostalMarkup),2)</f>
        <v>110.41</v>
      </c>
      <c r="I36" s="313">
        <f>ROUND('USPS Base'!I33*(1+PostalMarkup),2)</f>
        <v>130.41</v>
      </c>
      <c r="J36" s="313">
        <f>ROUND('USPS Base'!J33*(1+PostalMarkup),2)</f>
        <v>278.31</v>
      </c>
      <c r="K36" s="138"/>
      <c r="L36" s="138"/>
      <c r="M36" s="138"/>
      <c r="N36" s="138"/>
    </row>
    <row r="37" ht="12.75" customHeight="1">
      <c r="A37" s="312">
        <v>32.0</v>
      </c>
      <c r="B37" s="313">
        <f>ROUND('USPS Base'!B34*(1+PostalMarkup),2)</f>
        <v>34.67</v>
      </c>
      <c r="C37" s="313">
        <f>ROUND('USPS Base'!C34*(1+PostalMarkup),2)</f>
        <v>38.24</v>
      </c>
      <c r="D37" s="313">
        <f>ROUND('USPS Base'!D34*(1+PostalMarkup),2)</f>
        <v>43.59</v>
      </c>
      <c r="E37" s="313">
        <f>ROUND('USPS Base'!E34*(1+PostalMarkup),2)</f>
        <v>53.56</v>
      </c>
      <c r="F37" s="313">
        <f>ROUND('USPS Base'!F34*(1+PostalMarkup),2)</f>
        <v>77.18</v>
      </c>
      <c r="G37" s="313">
        <f>ROUND('USPS Base'!G34*(1+PostalMarkup),2)</f>
        <v>94.79</v>
      </c>
      <c r="H37" s="313">
        <f>ROUND('USPS Base'!H34*(1+PostalMarkup),2)</f>
        <v>112.4</v>
      </c>
      <c r="I37" s="313">
        <f>ROUND('USPS Base'!I34*(1+PostalMarkup),2)</f>
        <v>132.65</v>
      </c>
      <c r="J37" s="313">
        <f>ROUND('USPS Base'!J34*(1+PostalMarkup),2)</f>
        <v>283.1</v>
      </c>
      <c r="K37" s="138"/>
      <c r="L37" s="138"/>
      <c r="M37" s="138"/>
      <c r="N37" s="138"/>
    </row>
    <row r="38" ht="12.75" customHeight="1">
      <c r="A38" s="312">
        <v>33.0</v>
      </c>
      <c r="B38" s="313">
        <f>ROUND('USPS Base'!B35*(1+PostalMarkup),2)</f>
        <v>35.49</v>
      </c>
      <c r="C38" s="313">
        <f>ROUND('USPS Base'!C35*(1+PostalMarkup),2)</f>
        <v>39.16</v>
      </c>
      <c r="D38" s="313">
        <f>ROUND('USPS Base'!D35*(1+PostalMarkup),2)</f>
        <v>44.67</v>
      </c>
      <c r="E38" s="313">
        <f>ROUND('USPS Base'!E35*(1+PostalMarkup),2)</f>
        <v>54.88</v>
      </c>
      <c r="F38" s="313">
        <f>ROUND('USPS Base'!F35*(1+PostalMarkup),2)</f>
        <v>79.25</v>
      </c>
      <c r="G38" s="313">
        <f>ROUND('USPS Base'!G35*(1+PostalMarkup),2)</f>
        <v>96.81</v>
      </c>
      <c r="H38" s="313">
        <f>ROUND('USPS Base'!H35*(1+PostalMarkup),2)</f>
        <v>114.37</v>
      </c>
      <c r="I38" s="313">
        <f>ROUND('USPS Base'!I35*(1+PostalMarkup),2)</f>
        <v>135.01</v>
      </c>
      <c r="J38" s="313">
        <f>ROUND('USPS Base'!J35*(1+PostalMarkup),2)</f>
        <v>288.13</v>
      </c>
      <c r="K38" s="138"/>
      <c r="L38" s="138"/>
      <c r="M38" s="138"/>
      <c r="N38" s="138"/>
    </row>
    <row r="39" ht="12.75" customHeight="1">
      <c r="A39" s="312">
        <v>34.0</v>
      </c>
      <c r="B39" s="313">
        <f>ROUND('USPS Base'!B36*(1+PostalMarkup),2)</f>
        <v>36.28</v>
      </c>
      <c r="C39" s="313">
        <f>ROUND('USPS Base'!C36*(1+PostalMarkup),2)</f>
        <v>40.05</v>
      </c>
      <c r="D39" s="313">
        <f>ROUND('USPS Base'!D36*(1+PostalMarkup),2)</f>
        <v>45.71</v>
      </c>
      <c r="E39" s="313">
        <f>ROUND('USPS Base'!E36*(1+PostalMarkup),2)</f>
        <v>56.17</v>
      </c>
      <c r="F39" s="313">
        <f>ROUND('USPS Base'!F36*(1+PostalMarkup),2)</f>
        <v>81.31</v>
      </c>
      <c r="G39" s="313">
        <f>ROUND('USPS Base'!G36*(1+PostalMarkup),2)</f>
        <v>98.83</v>
      </c>
      <c r="H39" s="313">
        <f>ROUND('USPS Base'!H36*(1+PostalMarkup),2)</f>
        <v>116.36</v>
      </c>
      <c r="I39" s="313">
        <f>ROUND('USPS Base'!I36*(1+PostalMarkup),2)</f>
        <v>137.33</v>
      </c>
      <c r="J39" s="313">
        <f>ROUND('USPS Base'!J36*(1+PostalMarkup),2)</f>
        <v>293.09</v>
      </c>
      <c r="K39" s="138"/>
      <c r="L39" s="138"/>
      <c r="M39" s="138"/>
      <c r="N39" s="138"/>
    </row>
    <row r="40" ht="12.75" customHeight="1">
      <c r="A40" s="312">
        <v>35.0</v>
      </c>
      <c r="B40" s="313">
        <f>ROUND('USPS Base'!B37*(1+PostalMarkup),2)</f>
        <v>37.08</v>
      </c>
      <c r="C40" s="313">
        <f>ROUND('USPS Base'!C37*(1+PostalMarkup),2)</f>
        <v>40.95</v>
      </c>
      <c r="D40" s="313">
        <f>ROUND('USPS Base'!D37*(1+PostalMarkup),2)</f>
        <v>46.75</v>
      </c>
      <c r="E40" s="313">
        <f>ROUND('USPS Base'!E37*(1+PostalMarkup),2)</f>
        <v>57.44</v>
      </c>
      <c r="F40" s="313">
        <f>ROUND('USPS Base'!F37*(1+PostalMarkup),2)</f>
        <v>83.32</v>
      </c>
      <c r="G40" s="313">
        <f>ROUND('USPS Base'!G37*(1+PostalMarkup),2)</f>
        <v>100.83</v>
      </c>
      <c r="H40" s="313">
        <f>ROUND('USPS Base'!H37*(1+PostalMarkup),2)</f>
        <v>118.35</v>
      </c>
      <c r="I40" s="313">
        <f>ROUND('USPS Base'!I37*(1+PostalMarkup),2)</f>
        <v>139.52</v>
      </c>
      <c r="J40" s="313">
        <f>ROUND('USPS Base'!J37*(1+PostalMarkup),2)</f>
        <v>297.75</v>
      </c>
      <c r="K40" s="138"/>
      <c r="L40" s="138"/>
      <c r="M40" s="138"/>
      <c r="N40" s="138"/>
    </row>
    <row r="41" ht="12.75" customHeight="1">
      <c r="A41" s="312">
        <v>36.0</v>
      </c>
      <c r="B41" s="313">
        <f>ROUND('USPS Base'!B38*(1+PostalMarkup),2)</f>
        <v>37.87</v>
      </c>
      <c r="C41" s="313">
        <f>ROUND('USPS Base'!C38*(1+PostalMarkup),2)</f>
        <v>41.83</v>
      </c>
      <c r="D41" s="313">
        <f>ROUND('USPS Base'!D38*(1+PostalMarkup),2)</f>
        <v>47.77</v>
      </c>
      <c r="E41" s="313">
        <f>ROUND('USPS Base'!E38*(1+PostalMarkup),2)</f>
        <v>58.7</v>
      </c>
      <c r="F41" s="313">
        <f>ROUND('USPS Base'!F38*(1+PostalMarkup),2)</f>
        <v>85.3</v>
      </c>
      <c r="G41" s="313">
        <f>ROUND('USPS Base'!G38*(1+PostalMarkup),2)</f>
        <v>102.72</v>
      </c>
      <c r="H41" s="313">
        <f>ROUND('USPS Base'!H38*(1+PostalMarkup),2)</f>
        <v>120.14</v>
      </c>
      <c r="I41" s="313">
        <f>ROUND('USPS Base'!I38*(1+PostalMarkup),2)</f>
        <v>141.81</v>
      </c>
      <c r="J41" s="313">
        <f>ROUND('USPS Base'!J38*(1+PostalMarkup),2)</f>
        <v>302.63</v>
      </c>
      <c r="K41" s="138"/>
      <c r="L41" s="138"/>
      <c r="M41" s="138"/>
      <c r="N41" s="138"/>
    </row>
    <row r="42" ht="12.75" customHeight="1">
      <c r="A42" s="312">
        <v>37.0</v>
      </c>
      <c r="B42" s="313">
        <f>ROUND('USPS Base'!B39*(1+PostalMarkup),2)</f>
        <v>38.63</v>
      </c>
      <c r="C42" s="313">
        <f>ROUND('USPS Base'!C39*(1+PostalMarkup),2)</f>
        <v>42.7</v>
      </c>
      <c r="D42" s="313">
        <f>ROUND('USPS Base'!D39*(1+PostalMarkup),2)</f>
        <v>48.78</v>
      </c>
      <c r="E42" s="313">
        <f>ROUND('USPS Base'!E39*(1+PostalMarkup),2)</f>
        <v>59.94</v>
      </c>
      <c r="F42" s="313">
        <f>ROUND('USPS Base'!F39*(1+PostalMarkup),2)</f>
        <v>87.27</v>
      </c>
      <c r="G42" s="313">
        <f>ROUND('USPS Base'!G39*(1+PostalMarkup),2)</f>
        <v>104.6</v>
      </c>
      <c r="H42" s="313">
        <f>ROUND('USPS Base'!H39*(1+PostalMarkup),2)</f>
        <v>121.92</v>
      </c>
      <c r="I42" s="313">
        <f>ROUND('USPS Base'!I39*(1+PostalMarkup),2)</f>
        <v>144.07</v>
      </c>
      <c r="J42" s="313">
        <f>ROUND('USPS Base'!J39*(1+PostalMarkup),2)</f>
        <v>307.48</v>
      </c>
      <c r="K42" s="138"/>
      <c r="L42" s="138"/>
      <c r="M42" s="138"/>
      <c r="N42" s="138"/>
    </row>
    <row r="43" ht="12.75" customHeight="1">
      <c r="A43" s="312">
        <v>38.0</v>
      </c>
      <c r="B43" s="313">
        <f>ROUND('USPS Base'!B40*(1+PostalMarkup),2)</f>
        <v>39.4</v>
      </c>
      <c r="C43" s="313">
        <f>ROUND('USPS Base'!C40*(1+PostalMarkup),2)</f>
        <v>43.54</v>
      </c>
      <c r="D43" s="313">
        <f>ROUND('USPS Base'!D40*(1+PostalMarkup),2)</f>
        <v>49.76</v>
      </c>
      <c r="E43" s="313">
        <f>ROUND('USPS Base'!E40*(1+PostalMarkup),2)</f>
        <v>61.15</v>
      </c>
      <c r="F43" s="313">
        <f>ROUND('USPS Base'!F40*(1+PostalMarkup),2)</f>
        <v>89.19</v>
      </c>
      <c r="G43" s="313">
        <f>ROUND('USPS Base'!G40*(1+PostalMarkup),2)</f>
        <v>106.43</v>
      </c>
      <c r="H43" s="313">
        <f>ROUND('USPS Base'!H40*(1+PostalMarkup),2)</f>
        <v>123.66</v>
      </c>
      <c r="I43" s="313">
        <f>ROUND('USPS Base'!I40*(1+PostalMarkup),2)</f>
        <v>146.34</v>
      </c>
      <c r="J43" s="313">
        <f>ROUND('USPS Base'!J40*(1+PostalMarkup),2)</f>
        <v>312.31</v>
      </c>
      <c r="K43" s="138"/>
      <c r="L43" s="138"/>
      <c r="M43" s="138"/>
      <c r="N43" s="138"/>
    </row>
    <row r="44" ht="12.75" customHeight="1">
      <c r="A44" s="312">
        <v>39.0</v>
      </c>
      <c r="B44" s="313">
        <f>ROUND('USPS Base'!B41*(1+PostalMarkup),2)</f>
        <v>40.17</v>
      </c>
      <c r="C44" s="313">
        <f>ROUND('USPS Base'!C41*(1+PostalMarkup),2)</f>
        <v>44.39</v>
      </c>
      <c r="D44" s="313">
        <f>ROUND('USPS Base'!D41*(1+PostalMarkup),2)</f>
        <v>50.73</v>
      </c>
      <c r="E44" s="313">
        <f>ROUND('USPS Base'!E41*(1+PostalMarkup),2)</f>
        <v>62.33</v>
      </c>
      <c r="F44" s="313">
        <f>ROUND('USPS Base'!F41*(1+PostalMarkup),2)</f>
        <v>91.1</v>
      </c>
      <c r="G44" s="313">
        <f>ROUND('USPS Base'!G41*(1+PostalMarkup),2)</f>
        <v>108.49</v>
      </c>
      <c r="H44" s="313">
        <f>ROUND('USPS Base'!H41*(1+PostalMarkup),2)</f>
        <v>125.88</v>
      </c>
      <c r="I44" s="313">
        <f>ROUND('USPS Base'!I41*(1+PostalMarkup),2)</f>
        <v>148.57</v>
      </c>
      <c r="J44" s="313">
        <f>ROUND('USPS Base'!J41*(1+PostalMarkup),2)</f>
        <v>317.07</v>
      </c>
      <c r="K44" s="138"/>
      <c r="L44" s="138"/>
      <c r="M44" s="138"/>
      <c r="N44" s="138"/>
    </row>
    <row r="45" ht="12.75" customHeight="1">
      <c r="A45" s="312">
        <v>40.0</v>
      </c>
      <c r="B45" s="313">
        <f>ROUND('USPS Base'!B42*(1+PostalMarkup),2)</f>
        <v>40.92</v>
      </c>
      <c r="C45" s="313">
        <f>ROUND('USPS Base'!C42*(1+PostalMarkup),2)</f>
        <v>45.23</v>
      </c>
      <c r="D45" s="313">
        <f>ROUND('USPS Base'!D42*(1+PostalMarkup),2)</f>
        <v>51.68</v>
      </c>
      <c r="E45" s="313">
        <f>ROUND('USPS Base'!E42*(1+PostalMarkup),2)</f>
        <v>63.5</v>
      </c>
      <c r="F45" s="313">
        <f>ROUND('USPS Base'!F42*(1+PostalMarkup),2)</f>
        <v>92.98</v>
      </c>
      <c r="G45" s="313">
        <f>ROUND('USPS Base'!G42*(1+PostalMarkup),2)</f>
        <v>110.49</v>
      </c>
      <c r="H45" s="313">
        <f>ROUND('USPS Base'!H42*(1+PostalMarkup),2)</f>
        <v>128</v>
      </c>
      <c r="I45" s="313">
        <f>ROUND('USPS Base'!I42*(1+PostalMarkup),2)</f>
        <v>150.77</v>
      </c>
      <c r="J45" s="313">
        <f>ROUND('USPS Base'!J42*(1+PostalMarkup),2)</f>
        <v>321.76</v>
      </c>
      <c r="K45" s="138"/>
      <c r="L45" s="138"/>
      <c r="M45" s="138"/>
      <c r="N45" s="138"/>
    </row>
    <row r="46" ht="12.75" customHeight="1">
      <c r="A46" s="312">
        <v>41.0</v>
      </c>
      <c r="B46" s="313">
        <f>ROUND('USPS Base'!B43*(1+PostalMarkup),2)</f>
        <v>41.66</v>
      </c>
      <c r="C46" s="313">
        <f>ROUND('USPS Base'!C43*(1+PostalMarkup),2)</f>
        <v>46.05</v>
      </c>
      <c r="D46" s="313">
        <f>ROUND('USPS Base'!D43*(1+PostalMarkup),2)</f>
        <v>52.61</v>
      </c>
      <c r="E46" s="313">
        <f>ROUND('USPS Base'!E43*(1+PostalMarkup),2)</f>
        <v>64.65</v>
      </c>
      <c r="F46" s="313">
        <f>ROUND('USPS Base'!F43*(1+PostalMarkup),2)</f>
        <v>94.83</v>
      </c>
      <c r="G46" s="313">
        <f>ROUND('USPS Base'!G43*(1+PostalMarkup),2)</f>
        <v>112.46</v>
      </c>
      <c r="H46" s="313">
        <f>ROUND('USPS Base'!H43*(1+PostalMarkup),2)</f>
        <v>130.09</v>
      </c>
      <c r="I46" s="313">
        <f>ROUND('USPS Base'!I43*(1+PostalMarkup),2)</f>
        <v>153.03</v>
      </c>
      <c r="J46" s="313">
        <f>ROUND('USPS Base'!J43*(1+PostalMarkup),2)</f>
        <v>326.59</v>
      </c>
      <c r="K46" s="138"/>
      <c r="L46" s="138"/>
      <c r="M46" s="138"/>
      <c r="N46" s="138"/>
    </row>
    <row r="47" ht="12.75" customHeight="1">
      <c r="A47" s="312">
        <v>42.0</v>
      </c>
      <c r="B47" s="313">
        <f>ROUND('USPS Base'!B44*(1+PostalMarkup),2)</f>
        <v>42.4</v>
      </c>
      <c r="C47" s="313">
        <f>ROUND('USPS Base'!C44*(1+PostalMarkup),2)</f>
        <v>46.85</v>
      </c>
      <c r="D47" s="313">
        <f>ROUND('USPS Base'!D44*(1+PostalMarkup),2)</f>
        <v>53.53</v>
      </c>
      <c r="E47" s="313">
        <f>ROUND('USPS Base'!E44*(1+PostalMarkup),2)</f>
        <v>65.77</v>
      </c>
      <c r="F47" s="313">
        <f>ROUND('USPS Base'!F44*(1+PostalMarkup),2)</f>
        <v>96.65</v>
      </c>
      <c r="G47" s="313">
        <f>ROUND('USPS Base'!G44*(1+PostalMarkup),2)</f>
        <v>114.29</v>
      </c>
      <c r="H47" s="313">
        <f>ROUND('USPS Base'!H44*(1+PostalMarkup),2)</f>
        <v>131.93</v>
      </c>
      <c r="I47" s="313">
        <f>ROUND('USPS Base'!I44*(1+PostalMarkup),2)</f>
        <v>155.19</v>
      </c>
      <c r="J47" s="313">
        <f>ROUND('USPS Base'!J44*(1+PostalMarkup),2)</f>
        <v>331.2</v>
      </c>
      <c r="K47" s="138"/>
      <c r="L47" s="138"/>
      <c r="M47" s="138"/>
      <c r="N47" s="138"/>
    </row>
    <row r="48" ht="12.75" customHeight="1">
      <c r="A48" s="312">
        <v>43.0</v>
      </c>
      <c r="B48" s="313">
        <f>ROUND('USPS Base'!B45*(1+PostalMarkup),2)</f>
        <v>43.13</v>
      </c>
      <c r="C48" s="313">
        <f>ROUND('USPS Base'!C45*(1+PostalMarkup),2)</f>
        <v>47.64</v>
      </c>
      <c r="D48" s="313">
        <f>ROUND('USPS Base'!D45*(1+PostalMarkup),2)</f>
        <v>54.43</v>
      </c>
      <c r="E48" s="313">
        <f>ROUND('USPS Base'!E45*(1+PostalMarkup),2)</f>
        <v>66.87</v>
      </c>
      <c r="F48" s="313">
        <f>ROUND('USPS Base'!F45*(1+PostalMarkup),2)</f>
        <v>98.44</v>
      </c>
      <c r="G48" s="313">
        <f>ROUND('USPS Base'!G45*(1+PostalMarkup),2)</f>
        <v>116.09</v>
      </c>
      <c r="H48" s="313">
        <f>ROUND('USPS Base'!H45*(1+PostalMarkup),2)</f>
        <v>133.75</v>
      </c>
      <c r="I48" s="313">
        <f>ROUND('USPS Base'!I45*(1+PostalMarkup),2)</f>
        <v>157.26</v>
      </c>
      <c r="J48" s="313">
        <f>ROUND('USPS Base'!J45*(1+PostalMarkup),2)</f>
        <v>335.62</v>
      </c>
      <c r="K48" s="138"/>
      <c r="L48" s="138"/>
      <c r="M48" s="138"/>
      <c r="N48" s="138"/>
    </row>
    <row r="49" ht="12.75" customHeight="1">
      <c r="A49" s="312">
        <v>44.0</v>
      </c>
      <c r="B49" s="313">
        <f>ROUND('USPS Base'!B46*(1+PostalMarkup),2)</f>
        <v>43.85</v>
      </c>
      <c r="C49" s="313">
        <f>ROUND('USPS Base'!C46*(1+PostalMarkup),2)</f>
        <v>48.43</v>
      </c>
      <c r="D49" s="313">
        <f>ROUND('USPS Base'!D46*(1+PostalMarkup),2)</f>
        <v>55.3</v>
      </c>
      <c r="E49" s="313">
        <f>ROUND('USPS Base'!E46*(1+PostalMarkup),2)</f>
        <v>67.97</v>
      </c>
      <c r="F49" s="313">
        <f>ROUND('USPS Base'!F46*(1+PostalMarkup),2)</f>
        <v>100.2</v>
      </c>
      <c r="G49" s="313">
        <f>ROUND('USPS Base'!G46*(1+PostalMarkup),2)</f>
        <v>117.88</v>
      </c>
      <c r="H49" s="313">
        <f>ROUND('USPS Base'!H46*(1+PostalMarkup),2)</f>
        <v>135.55</v>
      </c>
      <c r="I49" s="313">
        <f>ROUND('USPS Base'!I46*(1+PostalMarkup),2)</f>
        <v>159.49</v>
      </c>
      <c r="J49" s="313">
        <f>ROUND('USPS Base'!J46*(1+PostalMarkup),2)</f>
        <v>340.38</v>
      </c>
      <c r="K49" s="138"/>
      <c r="L49" s="138"/>
      <c r="M49" s="138"/>
      <c r="N49" s="138"/>
    </row>
    <row r="50" ht="12.75" customHeight="1">
      <c r="A50" s="312">
        <v>45.0</v>
      </c>
      <c r="B50" s="313">
        <f>ROUND('USPS Base'!B47*(1+PostalMarkup),2)</f>
        <v>44.56</v>
      </c>
      <c r="C50" s="313">
        <f>ROUND('USPS Base'!C47*(1+PostalMarkup),2)</f>
        <v>49.21</v>
      </c>
      <c r="D50" s="313">
        <f>ROUND('USPS Base'!D47*(1+PostalMarkup),2)</f>
        <v>56.18</v>
      </c>
      <c r="E50" s="313">
        <f>ROUND('USPS Base'!E47*(1+PostalMarkup),2)</f>
        <v>69.03</v>
      </c>
      <c r="F50" s="313">
        <f>ROUND('USPS Base'!F47*(1+PostalMarkup),2)</f>
        <v>101.94</v>
      </c>
      <c r="G50" s="313">
        <f>ROUND('USPS Base'!G47*(1+PostalMarkup),2)</f>
        <v>119.62</v>
      </c>
      <c r="H50" s="313">
        <f>ROUND('USPS Base'!H47*(1+PostalMarkup),2)</f>
        <v>137.31</v>
      </c>
      <c r="I50" s="313">
        <f>ROUND('USPS Base'!I47*(1+PostalMarkup),2)</f>
        <v>161.66</v>
      </c>
      <c r="J50" s="313">
        <f>ROUND('USPS Base'!J47*(1+PostalMarkup),2)</f>
        <v>345</v>
      </c>
      <c r="K50" s="138"/>
      <c r="L50" s="138"/>
      <c r="M50" s="138"/>
      <c r="N50" s="138"/>
    </row>
    <row r="51" ht="12.75" customHeight="1">
      <c r="A51" s="312">
        <v>46.0</v>
      </c>
      <c r="B51" s="313">
        <f>ROUND('USPS Base'!B48*(1+PostalMarkup),2)</f>
        <v>45.26</v>
      </c>
      <c r="C51" s="313">
        <f>ROUND('USPS Base'!C48*(1+PostalMarkup),2)</f>
        <v>49.97</v>
      </c>
      <c r="D51" s="313">
        <f>ROUND('USPS Base'!D48*(1+PostalMarkup),2)</f>
        <v>57.03</v>
      </c>
      <c r="E51" s="313">
        <f>ROUND('USPS Base'!E48*(1+PostalMarkup),2)</f>
        <v>70.07</v>
      </c>
      <c r="F51" s="313">
        <f>ROUND('USPS Base'!F48*(1+PostalMarkup),2)</f>
        <v>103.64</v>
      </c>
      <c r="G51" s="313">
        <f>ROUND('USPS Base'!G48*(1+PostalMarkup),2)</f>
        <v>121.36</v>
      </c>
      <c r="H51" s="313">
        <f>ROUND('USPS Base'!H48*(1+PostalMarkup),2)</f>
        <v>139.07</v>
      </c>
      <c r="I51" s="313">
        <f>ROUND('USPS Base'!I48*(1+PostalMarkup),2)</f>
        <v>163.78</v>
      </c>
      <c r="J51" s="313">
        <f>ROUND('USPS Base'!J48*(1+PostalMarkup),2)</f>
        <v>349.53</v>
      </c>
      <c r="K51" s="138"/>
      <c r="L51" s="138"/>
      <c r="M51" s="138"/>
      <c r="N51" s="138"/>
    </row>
    <row r="52" ht="12.75" customHeight="1">
      <c r="A52" s="312">
        <v>47.0</v>
      </c>
      <c r="B52" s="313">
        <f>ROUND('USPS Base'!B49*(1+PostalMarkup),2)</f>
        <v>45.97</v>
      </c>
      <c r="C52" s="313">
        <f>ROUND('USPS Base'!C49*(1+PostalMarkup),2)</f>
        <v>50.72</v>
      </c>
      <c r="D52" s="313">
        <f>ROUND('USPS Base'!D49*(1+PostalMarkup),2)</f>
        <v>57.85</v>
      </c>
      <c r="E52" s="313">
        <f>ROUND('USPS Base'!E49*(1+PostalMarkup),2)</f>
        <v>71.09</v>
      </c>
      <c r="F52" s="313">
        <f>ROUND('USPS Base'!F49*(1+PostalMarkup),2)</f>
        <v>105.33</v>
      </c>
      <c r="G52" s="313">
        <f>ROUND('USPS Base'!G49*(1+PostalMarkup),2)</f>
        <v>123.11</v>
      </c>
      <c r="H52" s="313">
        <f>ROUND('USPS Base'!H49*(1+PostalMarkup),2)</f>
        <v>140.88</v>
      </c>
      <c r="I52" s="313">
        <f>ROUND('USPS Base'!I49*(1+PostalMarkup),2)</f>
        <v>165.93</v>
      </c>
      <c r="J52" s="313">
        <f>ROUND('USPS Base'!J49*(1+PostalMarkup),2)</f>
        <v>354.13</v>
      </c>
      <c r="K52" s="138"/>
      <c r="L52" s="138"/>
      <c r="M52" s="138"/>
      <c r="N52" s="138"/>
    </row>
    <row r="53" ht="12.75" customHeight="1">
      <c r="A53" s="312">
        <v>48.0</v>
      </c>
      <c r="B53" s="313">
        <f>ROUND('USPS Base'!B50*(1+PostalMarkup),2)</f>
        <v>46.66</v>
      </c>
      <c r="C53" s="313">
        <f>ROUND('USPS Base'!C50*(1+PostalMarkup),2)</f>
        <v>51.45</v>
      </c>
      <c r="D53" s="313">
        <f>ROUND('USPS Base'!D50*(1+PostalMarkup),2)</f>
        <v>58.67</v>
      </c>
      <c r="E53" s="313">
        <f>ROUND('USPS Base'!E50*(1+PostalMarkup),2)</f>
        <v>72.08</v>
      </c>
      <c r="F53" s="313">
        <f>ROUND('USPS Base'!F50*(1+PostalMarkup),2)</f>
        <v>106.98</v>
      </c>
      <c r="G53" s="313">
        <f>ROUND('USPS Base'!G50*(1+PostalMarkup),2)</f>
        <v>124.8</v>
      </c>
      <c r="H53" s="313">
        <f>ROUND('USPS Base'!H50*(1+PostalMarkup),2)</f>
        <v>142.61</v>
      </c>
      <c r="I53" s="313">
        <f>ROUND('USPS Base'!I50*(1+PostalMarkup),2)</f>
        <v>168.02</v>
      </c>
      <c r="J53" s="313">
        <f>ROUND('USPS Base'!J50*(1+PostalMarkup),2)</f>
        <v>358.57</v>
      </c>
      <c r="K53" s="138"/>
      <c r="L53" s="138"/>
      <c r="M53" s="138"/>
      <c r="N53" s="138"/>
    </row>
    <row r="54" ht="12.75" customHeight="1">
      <c r="A54" s="312">
        <v>49.0</v>
      </c>
      <c r="B54" s="313">
        <f>ROUND('USPS Base'!B51*(1+PostalMarkup),2)</f>
        <v>47.33</v>
      </c>
      <c r="C54" s="313">
        <f>ROUND('USPS Base'!C51*(1+PostalMarkup),2)</f>
        <v>52.19</v>
      </c>
      <c r="D54" s="313">
        <f>ROUND('USPS Base'!D51*(1+PostalMarkup),2)</f>
        <v>59.47</v>
      </c>
      <c r="E54" s="313">
        <f>ROUND('USPS Base'!E51*(1+PostalMarkup),2)</f>
        <v>73.07</v>
      </c>
      <c r="F54" s="313">
        <f>ROUND('USPS Base'!F51*(1+PostalMarkup),2)</f>
        <v>108.62</v>
      </c>
      <c r="G54" s="313">
        <f>ROUND('USPS Base'!G51*(1+PostalMarkup),2)</f>
        <v>126.5</v>
      </c>
      <c r="H54" s="313">
        <f>ROUND('USPS Base'!H51*(1+PostalMarkup),2)</f>
        <v>144.37</v>
      </c>
      <c r="I54" s="313">
        <f>ROUND('USPS Base'!I51*(1+PostalMarkup),2)</f>
        <v>170.09</v>
      </c>
      <c r="J54" s="313">
        <f>ROUND('USPS Base'!J51*(1+PostalMarkup),2)</f>
        <v>362.99</v>
      </c>
      <c r="K54" s="138"/>
      <c r="L54" s="138"/>
      <c r="M54" s="138"/>
      <c r="N54" s="138"/>
    </row>
    <row r="55" ht="12.75" customHeight="1">
      <c r="A55" s="312">
        <v>50.0</v>
      </c>
      <c r="B55" s="313">
        <f>ROUND('USPS Base'!B52*(1+PostalMarkup),2)</f>
        <v>48.01</v>
      </c>
      <c r="C55" s="313">
        <f>ROUND('USPS Base'!C52*(1+PostalMarkup),2)</f>
        <v>52.9</v>
      </c>
      <c r="D55" s="313">
        <f>ROUND('USPS Base'!D52*(1+PostalMarkup),2)</f>
        <v>60.25</v>
      </c>
      <c r="E55" s="313">
        <f>ROUND('USPS Base'!E52*(1+PostalMarkup),2)</f>
        <v>74.03</v>
      </c>
      <c r="F55" s="313">
        <f>ROUND('USPS Base'!F52*(1+PostalMarkup),2)</f>
        <v>110.2</v>
      </c>
      <c r="G55" s="313">
        <f>ROUND('USPS Base'!G52*(1+PostalMarkup),2)</f>
        <v>128.23</v>
      </c>
      <c r="H55" s="313">
        <f>ROUND('USPS Base'!H52*(1+PostalMarkup),2)</f>
        <v>146.23</v>
      </c>
      <c r="I55" s="313">
        <f>ROUND('USPS Base'!I52*(1+PostalMarkup),2)</f>
        <v>172.2</v>
      </c>
      <c r="J55" s="313">
        <f>ROUND('USPS Base'!J52*(1+PostalMarkup),2)</f>
        <v>367.51</v>
      </c>
      <c r="K55" s="138"/>
      <c r="L55" s="138"/>
      <c r="M55" s="138"/>
      <c r="N55" s="138"/>
    </row>
    <row r="56" ht="12.75" customHeight="1">
      <c r="A56" s="312">
        <v>51.0</v>
      </c>
      <c r="B56" s="313">
        <f>ROUND('USPS Base'!B53*(1+PostalMarkup),2)</f>
        <v>48.67</v>
      </c>
      <c r="C56" s="313">
        <f>ROUND('USPS Base'!C53*(1+PostalMarkup),2)</f>
        <v>53.61</v>
      </c>
      <c r="D56" s="313">
        <f>ROUND('USPS Base'!D53*(1+PostalMarkup),2)</f>
        <v>61</v>
      </c>
      <c r="E56" s="313">
        <f>ROUND('USPS Base'!E53*(1+PostalMarkup),2)</f>
        <v>74.95</v>
      </c>
      <c r="F56" s="313">
        <f>ROUND('USPS Base'!F53*(1+PostalMarkup),2)</f>
        <v>111.78</v>
      </c>
      <c r="G56" s="313">
        <f>ROUND('USPS Base'!G53*(1+PostalMarkup),2)</f>
        <v>129.97</v>
      </c>
      <c r="H56" s="313">
        <f>ROUND('USPS Base'!H53*(1+PostalMarkup),2)</f>
        <v>148.15</v>
      </c>
      <c r="I56" s="313">
        <f>ROUND('USPS Base'!I53*(1+PostalMarkup),2)</f>
        <v>174.28</v>
      </c>
      <c r="J56" s="313">
        <f>ROUND('USPS Base'!J53*(1+PostalMarkup),2)</f>
        <v>371.94</v>
      </c>
      <c r="K56" s="138"/>
      <c r="L56" s="138"/>
      <c r="M56" s="138"/>
      <c r="N56" s="138"/>
    </row>
    <row r="57" ht="12.75" customHeight="1">
      <c r="A57" s="312">
        <v>52.0</v>
      </c>
      <c r="B57" s="313">
        <f>ROUND('USPS Base'!B54*(1+PostalMarkup),2)</f>
        <v>49.34</v>
      </c>
      <c r="C57" s="313">
        <f>ROUND('USPS Base'!C54*(1+PostalMarkup),2)</f>
        <v>54.29</v>
      </c>
      <c r="D57" s="313">
        <f>ROUND('USPS Base'!D54*(1+PostalMarkup),2)</f>
        <v>61.73</v>
      </c>
      <c r="E57" s="313">
        <f>ROUND('USPS Base'!E54*(1+PostalMarkup),2)</f>
        <v>75.87</v>
      </c>
      <c r="F57" s="313">
        <f>ROUND('USPS Base'!F54*(1+PostalMarkup),2)</f>
        <v>113.32</v>
      </c>
      <c r="G57" s="313">
        <f>ROUND('USPS Base'!G54*(1+PostalMarkup),2)</f>
        <v>131.72</v>
      </c>
      <c r="H57" s="313">
        <f>ROUND('USPS Base'!H54*(1+PostalMarkup),2)</f>
        <v>150.11</v>
      </c>
      <c r="I57" s="313">
        <f>ROUND('USPS Base'!I54*(1+PostalMarkup),2)</f>
        <v>176.43</v>
      </c>
      <c r="J57" s="313">
        <f>ROUND('USPS Base'!J54*(1+PostalMarkup),2)</f>
        <v>376.53</v>
      </c>
      <c r="K57" s="138"/>
      <c r="L57" s="138"/>
      <c r="M57" s="138"/>
      <c r="N57" s="138"/>
    </row>
    <row r="58" ht="12.75" customHeight="1">
      <c r="A58" s="312">
        <v>53.0</v>
      </c>
      <c r="B58" s="313">
        <f>ROUND('USPS Base'!B55*(1+PostalMarkup),2)</f>
        <v>49.98</v>
      </c>
      <c r="C58" s="313">
        <f>ROUND('USPS Base'!C55*(1+PostalMarkup),2)</f>
        <v>54.98</v>
      </c>
      <c r="D58" s="313">
        <f>ROUND('USPS Base'!D55*(1+PostalMarkup),2)</f>
        <v>62.47</v>
      </c>
      <c r="E58" s="313">
        <f>ROUND('USPS Base'!E55*(1+PostalMarkup),2)</f>
        <v>76.75</v>
      </c>
      <c r="F58" s="313">
        <f>ROUND('USPS Base'!F55*(1+PostalMarkup),2)</f>
        <v>114.83</v>
      </c>
      <c r="G58" s="313">
        <f>ROUND('USPS Base'!G55*(1+PostalMarkup),2)</f>
        <v>133.48</v>
      </c>
      <c r="H58" s="313">
        <f>ROUND('USPS Base'!H55*(1+PostalMarkup),2)</f>
        <v>152.13</v>
      </c>
      <c r="I58" s="313">
        <f>ROUND('USPS Base'!I55*(1+PostalMarkup),2)</f>
        <v>178.66</v>
      </c>
      <c r="J58" s="313">
        <f>ROUND('USPS Base'!J55*(1+PostalMarkup),2)</f>
        <v>381.29</v>
      </c>
      <c r="K58" s="138"/>
      <c r="L58" s="138"/>
      <c r="M58" s="138"/>
      <c r="N58" s="138"/>
    </row>
    <row r="59" ht="12.75" customHeight="1">
      <c r="A59" s="312">
        <v>54.0</v>
      </c>
      <c r="B59" s="313">
        <f>ROUND('USPS Base'!B56*(1+PostalMarkup),2)</f>
        <v>50.62</v>
      </c>
      <c r="C59" s="313">
        <f>ROUND('USPS Base'!C56*(1+PostalMarkup),2)</f>
        <v>55.64</v>
      </c>
      <c r="D59" s="313">
        <f>ROUND('USPS Base'!D56*(1+PostalMarkup),2)</f>
        <v>63.18</v>
      </c>
      <c r="E59" s="313">
        <f>ROUND('USPS Base'!E56*(1+PostalMarkup),2)</f>
        <v>77.63</v>
      </c>
      <c r="F59" s="313">
        <f>ROUND('USPS Base'!F56*(1+PostalMarkup),2)</f>
        <v>116.32</v>
      </c>
      <c r="G59" s="313">
        <f>ROUND('USPS Base'!G56*(1+PostalMarkup),2)</f>
        <v>135.21</v>
      </c>
      <c r="H59" s="313">
        <f>ROUND('USPS Base'!H56*(1+PostalMarkup),2)</f>
        <v>154.08</v>
      </c>
      <c r="I59" s="313">
        <f>ROUND('USPS Base'!I56*(1+PostalMarkup),2)</f>
        <v>180.96</v>
      </c>
      <c r="J59" s="313">
        <f>ROUND('USPS Base'!J56*(1+PostalMarkup),2)</f>
        <v>386.2</v>
      </c>
      <c r="K59" s="138"/>
      <c r="L59" s="138"/>
      <c r="M59" s="138"/>
      <c r="N59" s="138"/>
    </row>
    <row r="60" ht="12.75" customHeight="1">
      <c r="A60" s="312">
        <v>55.0</v>
      </c>
      <c r="B60" s="313">
        <f>ROUND('USPS Base'!B57*(1+PostalMarkup),2)</f>
        <v>51.26</v>
      </c>
      <c r="C60" s="313">
        <f>ROUND('USPS Base'!C57*(1+PostalMarkup),2)</f>
        <v>56.3</v>
      </c>
      <c r="D60" s="313">
        <f>ROUND('USPS Base'!D57*(1+PostalMarkup),2)</f>
        <v>63.86</v>
      </c>
      <c r="E60" s="313">
        <f>ROUND('USPS Base'!E57*(1+PostalMarkup),2)</f>
        <v>78.48</v>
      </c>
      <c r="F60" s="313">
        <f>ROUND('USPS Base'!F57*(1+PostalMarkup),2)</f>
        <v>117.77</v>
      </c>
      <c r="G60" s="313">
        <f>ROUND('USPS Base'!G57*(1+PostalMarkup),2)</f>
        <v>136.94</v>
      </c>
      <c r="H60" s="313">
        <f>ROUND('USPS Base'!H57*(1+PostalMarkup),2)</f>
        <v>156.1</v>
      </c>
      <c r="I60" s="313">
        <f>ROUND('USPS Base'!I57*(1+PostalMarkup),2)</f>
        <v>183.22</v>
      </c>
      <c r="J60" s="313">
        <f>ROUND('USPS Base'!J57*(1+PostalMarkup),2)</f>
        <v>391.01</v>
      </c>
      <c r="K60" s="138"/>
      <c r="L60" s="138"/>
      <c r="M60" s="138"/>
      <c r="N60" s="138"/>
    </row>
    <row r="61" ht="12.75" customHeight="1">
      <c r="A61" s="312">
        <v>56.0</v>
      </c>
      <c r="B61" s="313">
        <f>ROUND('USPS Base'!B58*(1+PostalMarkup),2)</f>
        <v>51.89</v>
      </c>
      <c r="C61" s="313">
        <f>ROUND('USPS Base'!C58*(1+PostalMarkup),2)</f>
        <v>56.95</v>
      </c>
      <c r="D61" s="313">
        <f>ROUND('USPS Base'!D58*(1+PostalMarkup),2)</f>
        <v>64.54</v>
      </c>
      <c r="E61" s="313">
        <f>ROUND('USPS Base'!E58*(1+PostalMarkup),2)</f>
        <v>79.32</v>
      </c>
      <c r="F61" s="313">
        <f>ROUND('USPS Base'!F58*(1+PostalMarkup),2)</f>
        <v>119.2</v>
      </c>
      <c r="G61" s="313">
        <f>ROUND('USPS Base'!G58*(1+PostalMarkup),2)</f>
        <v>138.62</v>
      </c>
      <c r="H61" s="313">
        <f>ROUND('USPS Base'!H58*(1+PostalMarkup),2)</f>
        <v>158.03</v>
      </c>
      <c r="I61" s="313">
        <f>ROUND('USPS Base'!I58*(1+PostalMarkup),2)</f>
        <v>185.36</v>
      </c>
      <c r="J61" s="313">
        <f>ROUND('USPS Base'!J58*(1+PostalMarkup),2)</f>
        <v>395.58</v>
      </c>
      <c r="K61" s="138"/>
      <c r="L61" s="138"/>
      <c r="M61" s="138"/>
      <c r="N61" s="138"/>
    </row>
    <row r="62" ht="12.75" customHeight="1">
      <c r="A62" s="312">
        <v>57.0</v>
      </c>
      <c r="B62" s="313">
        <f>ROUND('USPS Base'!B59*(1+PostalMarkup),2)</f>
        <v>52.51</v>
      </c>
      <c r="C62" s="313">
        <f>ROUND('USPS Base'!C59*(1+PostalMarkup),2)</f>
        <v>57.58</v>
      </c>
      <c r="D62" s="313">
        <f>ROUND('USPS Base'!D59*(1+PostalMarkup),2)</f>
        <v>65.19</v>
      </c>
      <c r="E62" s="313">
        <f>ROUND('USPS Base'!E59*(1+PostalMarkup),2)</f>
        <v>80.12</v>
      </c>
      <c r="F62" s="313">
        <f>ROUND('USPS Base'!F59*(1+PostalMarkup),2)</f>
        <v>120.61</v>
      </c>
      <c r="G62" s="313">
        <f>ROUND('USPS Base'!G59*(1+PostalMarkup),2)</f>
        <v>140.15</v>
      </c>
      <c r="H62" s="313">
        <f>ROUND('USPS Base'!H59*(1+PostalMarkup),2)</f>
        <v>159.69</v>
      </c>
      <c r="I62" s="313">
        <f>ROUND('USPS Base'!I59*(1+PostalMarkup),2)</f>
        <v>187.34</v>
      </c>
      <c r="J62" s="313">
        <f>ROUND('USPS Base'!J59*(1+PostalMarkup),2)</f>
        <v>399.8</v>
      </c>
      <c r="K62" s="138"/>
      <c r="L62" s="138"/>
      <c r="M62" s="138"/>
      <c r="N62" s="138"/>
    </row>
    <row r="63" ht="12.75" customHeight="1">
      <c r="A63" s="312">
        <v>58.0</v>
      </c>
      <c r="B63" s="313">
        <f>ROUND('USPS Base'!B60*(1+PostalMarkup),2)</f>
        <v>53.11</v>
      </c>
      <c r="C63" s="313">
        <f>ROUND('USPS Base'!C60*(1+PostalMarkup),2)</f>
        <v>58.2</v>
      </c>
      <c r="D63" s="313">
        <f>ROUND('USPS Base'!D60*(1+PostalMarkup),2)</f>
        <v>65.84</v>
      </c>
      <c r="E63" s="313">
        <f>ROUND('USPS Base'!E60*(1+PostalMarkup),2)</f>
        <v>80.9</v>
      </c>
      <c r="F63" s="313">
        <f>ROUND('USPS Base'!F60*(1+PostalMarkup),2)</f>
        <v>121.98</v>
      </c>
      <c r="G63" s="313">
        <f>ROUND('USPS Base'!G60*(1+PostalMarkup),2)</f>
        <v>141.71</v>
      </c>
      <c r="H63" s="313">
        <f>ROUND('USPS Base'!H60*(1+PostalMarkup),2)</f>
        <v>161.45</v>
      </c>
      <c r="I63" s="313">
        <f>ROUND('USPS Base'!I60*(1+PostalMarkup),2)</f>
        <v>189.39</v>
      </c>
      <c r="J63" s="313">
        <f>ROUND('USPS Base'!J60*(1+PostalMarkup),2)</f>
        <v>404.19</v>
      </c>
      <c r="K63" s="138"/>
      <c r="L63" s="138"/>
      <c r="M63" s="138"/>
      <c r="N63" s="138"/>
    </row>
    <row r="64" ht="12.75" customHeight="1">
      <c r="A64" s="312">
        <v>59.0</v>
      </c>
      <c r="B64" s="313">
        <f>ROUND('USPS Base'!B61*(1+PostalMarkup),2)</f>
        <v>53.72</v>
      </c>
      <c r="C64" s="313">
        <f>ROUND('USPS Base'!C61*(1+PostalMarkup),2)</f>
        <v>58.82</v>
      </c>
      <c r="D64" s="313">
        <f>ROUND('USPS Base'!D61*(1+PostalMarkup),2)</f>
        <v>66.46</v>
      </c>
      <c r="E64" s="313">
        <f>ROUND('USPS Base'!E61*(1+PostalMarkup),2)</f>
        <v>81.66</v>
      </c>
      <c r="F64" s="313">
        <f>ROUND('USPS Base'!F61*(1+PostalMarkup),2)</f>
        <v>123.33</v>
      </c>
      <c r="G64" s="313">
        <f>ROUND('USPS Base'!G61*(1+PostalMarkup),2)</f>
        <v>143.22</v>
      </c>
      <c r="H64" s="313">
        <f>ROUND('USPS Base'!H61*(1+PostalMarkup),2)</f>
        <v>163.1</v>
      </c>
      <c r="I64" s="313">
        <f>ROUND('USPS Base'!I61*(1+PostalMarkup),2)</f>
        <v>191.39</v>
      </c>
      <c r="J64" s="313">
        <f>ROUND('USPS Base'!J61*(1+PostalMarkup),2)</f>
        <v>408.47</v>
      </c>
      <c r="K64" s="138"/>
      <c r="L64" s="138"/>
      <c r="M64" s="138"/>
      <c r="N64" s="138"/>
    </row>
    <row r="65" ht="12.75" customHeight="1">
      <c r="A65" s="312">
        <v>60.0</v>
      </c>
      <c r="B65" s="313">
        <f>ROUND('USPS Base'!B62*(1+PostalMarkup),2)</f>
        <v>54.31</v>
      </c>
      <c r="C65" s="313">
        <f>ROUND('USPS Base'!C62*(1+PostalMarkup),2)</f>
        <v>59.41</v>
      </c>
      <c r="D65" s="313">
        <f>ROUND('USPS Base'!D62*(1+PostalMarkup),2)</f>
        <v>67.07</v>
      </c>
      <c r="E65" s="313">
        <f>ROUND('USPS Base'!E62*(1+PostalMarkup),2)</f>
        <v>82.41</v>
      </c>
      <c r="F65" s="313">
        <f>ROUND('USPS Base'!F62*(1+PostalMarkup),2)</f>
        <v>124.65</v>
      </c>
      <c r="G65" s="313">
        <f>ROUND('USPS Base'!G62*(1+PostalMarkup),2)</f>
        <v>144.7</v>
      </c>
      <c r="H65" s="313">
        <f>ROUND('USPS Base'!H62*(1+PostalMarkup),2)</f>
        <v>164.75</v>
      </c>
      <c r="I65" s="313">
        <f>ROUND('USPS Base'!I62*(1+PostalMarkup),2)</f>
        <v>193.35</v>
      </c>
      <c r="J65" s="313">
        <f>ROUND('USPS Base'!J62*(1+PostalMarkup),2)</f>
        <v>412.63</v>
      </c>
      <c r="K65" s="138"/>
      <c r="L65" s="138"/>
      <c r="M65" s="138"/>
      <c r="N65" s="138"/>
    </row>
    <row r="66" ht="12.75" customHeight="1">
      <c r="A66" s="312">
        <v>61.0</v>
      </c>
      <c r="B66" s="313">
        <f>ROUND('USPS Base'!B63*(1+PostalMarkup),2)</f>
        <v>54.9</v>
      </c>
      <c r="C66" s="313">
        <f>ROUND('USPS Base'!C63*(1+PostalMarkup),2)</f>
        <v>60</v>
      </c>
      <c r="D66" s="313">
        <f>ROUND('USPS Base'!D63*(1+PostalMarkup),2)</f>
        <v>67.64</v>
      </c>
      <c r="E66" s="313">
        <f>ROUND('USPS Base'!E63*(1+PostalMarkup),2)</f>
        <v>83.13</v>
      </c>
      <c r="F66" s="313">
        <f>ROUND('USPS Base'!F63*(1+PostalMarkup),2)</f>
        <v>125.94</v>
      </c>
      <c r="G66" s="313">
        <f>ROUND('USPS Base'!G63*(1+PostalMarkup),2)</f>
        <v>146.28</v>
      </c>
      <c r="H66" s="313">
        <f>ROUND('USPS Base'!H63*(1+PostalMarkup),2)</f>
        <v>166.62</v>
      </c>
      <c r="I66" s="313">
        <f>ROUND('USPS Base'!I63*(1+PostalMarkup),2)</f>
        <v>195.68</v>
      </c>
      <c r="J66" s="313">
        <f>ROUND('USPS Base'!J63*(1+PostalMarkup),2)</f>
        <v>417.62</v>
      </c>
      <c r="K66" s="138"/>
      <c r="L66" s="138"/>
      <c r="M66" s="138"/>
      <c r="N66" s="138"/>
    </row>
    <row r="67" ht="12.75" customHeight="1">
      <c r="A67" s="312">
        <v>62.0</v>
      </c>
      <c r="B67" s="313">
        <f>ROUND('USPS Base'!B64*(1+PostalMarkup),2)</f>
        <v>55.48</v>
      </c>
      <c r="C67" s="313">
        <f>ROUND('USPS Base'!C64*(1+PostalMarkup),2)</f>
        <v>60.58</v>
      </c>
      <c r="D67" s="313">
        <f>ROUND('USPS Base'!D64*(1+PostalMarkup),2)</f>
        <v>68.22</v>
      </c>
      <c r="E67" s="313">
        <f>ROUND('USPS Base'!E64*(1+PostalMarkup),2)</f>
        <v>83.84</v>
      </c>
      <c r="F67" s="313">
        <f>ROUND('USPS Base'!F64*(1+PostalMarkup),2)</f>
        <v>127.19</v>
      </c>
      <c r="G67" s="313">
        <f>ROUND('USPS Base'!G64*(1+PostalMarkup),2)</f>
        <v>147.86</v>
      </c>
      <c r="H67" s="313">
        <f>ROUND('USPS Base'!H64*(1+PostalMarkup),2)</f>
        <v>168.51</v>
      </c>
      <c r="I67" s="313">
        <f>ROUND('USPS Base'!I64*(1+PostalMarkup),2)</f>
        <v>198.15</v>
      </c>
      <c r="J67" s="313">
        <f>ROUND('USPS Base'!J64*(1+PostalMarkup),2)</f>
        <v>422.87</v>
      </c>
      <c r="K67" s="138"/>
      <c r="L67" s="138"/>
      <c r="M67" s="138"/>
      <c r="N67" s="138"/>
    </row>
    <row r="68" ht="12.75" customHeight="1">
      <c r="A68" s="312">
        <v>63.0</v>
      </c>
      <c r="B68" s="313">
        <f>ROUND('USPS Base'!B65*(1+PostalMarkup),2)</f>
        <v>56.04</v>
      </c>
      <c r="C68" s="313">
        <f>ROUND('USPS Base'!C65*(1+PostalMarkup),2)</f>
        <v>61.15</v>
      </c>
      <c r="D68" s="313">
        <f>ROUND('USPS Base'!D65*(1+PostalMarkup),2)</f>
        <v>68.77</v>
      </c>
      <c r="E68" s="313">
        <f>ROUND('USPS Base'!E65*(1+PostalMarkup),2)</f>
        <v>84.5</v>
      </c>
      <c r="F68" s="313">
        <f>ROUND('USPS Base'!F65*(1+PostalMarkup),2)</f>
        <v>128.43</v>
      </c>
      <c r="G68" s="313">
        <f>ROUND('USPS Base'!G65*(1+PostalMarkup),2)</f>
        <v>149.27</v>
      </c>
      <c r="H68" s="313">
        <f>ROUND('USPS Base'!H65*(1+PostalMarkup),2)</f>
        <v>170.11</v>
      </c>
      <c r="I68" s="313">
        <f>ROUND('USPS Base'!I65*(1+PostalMarkup),2)</f>
        <v>200.59</v>
      </c>
      <c r="J68" s="313">
        <f>ROUND('USPS Base'!J65*(1+PostalMarkup),2)</f>
        <v>428.1</v>
      </c>
      <c r="K68" s="138"/>
      <c r="L68" s="138"/>
      <c r="M68" s="138"/>
      <c r="N68" s="138"/>
    </row>
    <row r="69" ht="12.75" customHeight="1">
      <c r="A69" s="312">
        <v>64.0</v>
      </c>
      <c r="B69" s="313">
        <f>ROUND('USPS Base'!B66*(1+PostalMarkup),2)</f>
        <v>56.61</v>
      </c>
      <c r="C69" s="313">
        <f>ROUND('USPS Base'!C66*(1+PostalMarkup),2)</f>
        <v>61.7</v>
      </c>
      <c r="D69" s="313">
        <f>ROUND('USPS Base'!D66*(1+PostalMarkup),2)</f>
        <v>69.31</v>
      </c>
      <c r="E69" s="313">
        <f>ROUND('USPS Base'!E66*(1+PostalMarkup),2)</f>
        <v>85.17</v>
      </c>
      <c r="F69" s="313">
        <f>ROUND('USPS Base'!F66*(1+PostalMarkup),2)</f>
        <v>129.64</v>
      </c>
      <c r="G69" s="313">
        <f>ROUND('USPS Base'!G66*(1+PostalMarkup),2)</f>
        <v>150.67</v>
      </c>
      <c r="H69" s="313">
        <f>ROUND('USPS Base'!H66*(1+PostalMarkup),2)</f>
        <v>171.7</v>
      </c>
      <c r="I69" s="313">
        <f>ROUND('USPS Base'!I66*(1+PostalMarkup),2)</f>
        <v>203.03</v>
      </c>
      <c r="J69" s="313">
        <f>ROUND('USPS Base'!J66*(1+PostalMarkup),2)</f>
        <v>433.3</v>
      </c>
      <c r="K69" s="138"/>
      <c r="L69" s="138"/>
      <c r="M69" s="138"/>
      <c r="N69" s="138"/>
    </row>
    <row r="70" ht="12.75" customHeight="1">
      <c r="A70" s="312">
        <v>65.0</v>
      </c>
      <c r="B70" s="313">
        <f>ROUND('USPS Base'!B67*(1+PostalMarkup),2)</f>
        <v>57.17</v>
      </c>
      <c r="C70" s="313">
        <f>ROUND('USPS Base'!C67*(1+PostalMarkup),2)</f>
        <v>62.24</v>
      </c>
      <c r="D70" s="313">
        <f>ROUND('USPS Base'!D67*(1+PostalMarkup),2)</f>
        <v>69.83</v>
      </c>
      <c r="E70" s="313">
        <f>ROUND('USPS Base'!E67*(1+PostalMarkup),2)</f>
        <v>85.8</v>
      </c>
      <c r="F70" s="313">
        <f>ROUND('USPS Base'!F67*(1+PostalMarkup),2)</f>
        <v>130.81</v>
      </c>
      <c r="G70" s="313">
        <f>ROUND('USPS Base'!G67*(1+PostalMarkup),2)</f>
        <v>152.05</v>
      </c>
      <c r="H70" s="313">
        <f>ROUND('USPS Base'!H67*(1+PostalMarkup),2)</f>
        <v>173.29</v>
      </c>
      <c r="I70" s="313">
        <f>ROUND('USPS Base'!I67*(1+PostalMarkup),2)</f>
        <v>205.46</v>
      </c>
      <c r="J70" s="313">
        <f>ROUND('USPS Base'!J67*(1+PostalMarkup),2)</f>
        <v>438.48</v>
      </c>
      <c r="K70" s="138"/>
      <c r="L70" s="138"/>
      <c r="M70" s="138"/>
      <c r="N70" s="138"/>
    </row>
    <row r="71" ht="12.75" customHeight="1">
      <c r="A71" s="312">
        <v>66.0</v>
      </c>
      <c r="B71" s="313">
        <f>ROUND('USPS Base'!B68*(1+PostalMarkup),2)</f>
        <v>57.72</v>
      </c>
      <c r="C71" s="313">
        <f>ROUND('USPS Base'!C68*(1+PostalMarkup),2)</f>
        <v>62.76</v>
      </c>
      <c r="D71" s="313">
        <f>ROUND('USPS Base'!D68*(1+PostalMarkup),2)</f>
        <v>70.32</v>
      </c>
      <c r="E71" s="313">
        <f>ROUND('USPS Base'!E68*(1+PostalMarkup),2)</f>
        <v>86.41</v>
      </c>
      <c r="F71" s="313">
        <f>ROUND('USPS Base'!F68*(1+PostalMarkup),2)</f>
        <v>131.96</v>
      </c>
      <c r="G71" s="313">
        <f>ROUND('USPS Base'!G68*(1+PostalMarkup),2)</f>
        <v>153.39</v>
      </c>
      <c r="H71" s="313">
        <f>ROUND('USPS Base'!H68*(1+PostalMarkup),2)</f>
        <v>174.81</v>
      </c>
      <c r="I71" s="313">
        <f>ROUND('USPS Base'!I68*(1+PostalMarkup),2)</f>
        <v>207.94</v>
      </c>
      <c r="J71" s="313">
        <f>ROUND('USPS Base'!J68*(1+PostalMarkup),2)</f>
        <v>443.79</v>
      </c>
      <c r="K71" s="138"/>
      <c r="L71" s="138"/>
      <c r="M71" s="138"/>
      <c r="N71" s="138"/>
    </row>
    <row r="72" ht="12.75" customHeight="1">
      <c r="A72" s="312">
        <v>67.0</v>
      </c>
      <c r="B72" s="313">
        <f>ROUND('USPS Base'!B69*(1+PostalMarkup),2)</f>
        <v>58.25</v>
      </c>
      <c r="C72" s="313">
        <f>ROUND('USPS Base'!C69*(1+PostalMarkup),2)</f>
        <v>63.27</v>
      </c>
      <c r="D72" s="313">
        <f>ROUND('USPS Base'!D69*(1+PostalMarkup),2)</f>
        <v>70.81</v>
      </c>
      <c r="E72" s="313">
        <f>ROUND('USPS Base'!E69*(1+PostalMarkup),2)</f>
        <v>87.01</v>
      </c>
      <c r="F72" s="313">
        <f>ROUND('USPS Base'!F69*(1+PostalMarkup),2)</f>
        <v>133.09</v>
      </c>
      <c r="G72" s="313">
        <f>ROUND('USPS Base'!G69*(1+PostalMarkup),2)</f>
        <v>154.73</v>
      </c>
      <c r="H72" s="313">
        <f>ROUND('USPS Base'!H69*(1+PostalMarkup),2)</f>
        <v>176.38</v>
      </c>
      <c r="I72" s="313">
        <f>ROUND('USPS Base'!I69*(1+PostalMarkup),2)</f>
        <v>210.27</v>
      </c>
      <c r="J72" s="313">
        <f>ROUND('USPS Base'!J69*(1+PostalMarkup),2)</f>
        <v>448.74</v>
      </c>
      <c r="K72" s="138"/>
      <c r="L72" s="138"/>
      <c r="M72" s="138"/>
      <c r="N72" s="138"/>
    </row>
    <row r="73" ht="12.75" customHeight="1">
      <c r="A73" s="312">
        <v>68.0</v>
      </c>
      <c r="B73" s="313">
        <f>ROUND('USPS Base'!B70*(1+PostalMarkup),2)</f>
        <v>58.79</v>
      </c>
      <c r="C73" s="313">
        <f>ROUND('USPS Base'!C70*(1+PostalMarkup),2)</f>
        <v>63.78</v>
      </c>
      <c r="D73" s="313">
        <f>ROUND('USPS Base'!D70*(1+PostalMarkup),2)</f>
        <v>71.28</v>
      </c>
      <c r="E73" s="313">
        <f>ROUND('USPS Base'!E70*(1+PostalMarkup),2)</f>
        <v>87.58</v>
      </c>
      <c r="F73" s="313">
        <f>ROUND('USPS Base'!F70*(1+PostalMarkup),2)</f>
        <v>134.18</v>
      </c>
      <c r="G73" s="313">
        <f>ROUND('USPS Base'!G70*(1+PostalMarkup),2)</f>
        <v>156.09</v>
      </c>
      <c r="H73" s="313">
        <f>ROUND('USPS Base'!H70*(1+PostalMarkup),2)</f>
        <v>177.99</v>
      </c>
      <c r="I73" s="313">
        <f>ROUND('USPS Base'!I70*(1+PostalMarkup),2)</f>
        <v>212.5</v>
      </c>
      <c r="J73" s="313">
        <f>ROUND('USPS Base'!J70*(1+PostalMarkup),2)</f>
        <v>453.5</v>
      </c>
      <c r="K73" s="138"/>
      <c r="L73" s="138"/>
      <c r="M73" s="138"/>
      <c r="N73" s="138"/>
    </row>
    <row r="74" ht="12.75" customHeight="1">
      <c r="A74" s="312">
        <v>69.0</v>
      </c>
      <c r="B74" s="313">
        <f>ROUND('USPS Base'!B71*(1+PostalMarkup),2)</f>
        <v>59.32</v>
      </c>
      <c r="C74" s="313">
        <f>ROUND('USPS Base'!C71*(1+PostalMarkup),2)</f>
        <v>64.29</v>
      </c>
      <c r="D74" s="313">
        <f>ROUND('USPS Base'!D71*(1+PostalMarkup),2)</f>
        <v>71.73</v>
      </c>
      <c r="E74" s="313">
        <f>ROUND('USPS Base'!E71*(1+PostalMarkup),2)</f>
        <v>88.14</v>
      </c>
      <c r="F74" s="313">
        <f>ROUND('USPS Base'!F71*(1+PostalMarkup),2)</f>
        <v>135.25</v>
      </c>
      <c r="G74" s="313">
        <f>ROUND('USPS Base'!G71*(1+PostalMarkup),2)</f>
        <v>157.42</v>
      </c>
      <c r="H74" s="313">
        <f>ROUND('USPS Base'!H71*(1+PostalMarkup),2)</f>
        <v>179.58</v>
      </c>
      <c r="I74" s="313">
        <f>ROUND('USPS Base'!I71*(1+PostalMarkup),2)</f>
        <v>214.73</v>
      </c>
      <c r="J74" s="313">
        <f>ROUND('USPS Base'!J71*(1+PostalMarkup),2)</f>
        <v>458.26</v>
      </c>
      <c r="K74" s="138"/>
      <c r="L74" s="138"/>
      <c r="M74" s="138"/>
      <c r="N74" s="138"/>
    </row>
    <row r="75" ht="12.75" customHeight="1">
      <c r="A75" s="312">
        <v>70.0</v>
      </c>
      <c r="B75" s="313">
        <f>ROUND('USPS Base'!B72*(1+PostalMarkup),2)</f>
        <v>59.82</v>
      </c>
      <c r="C75" s="313">
        <f>ROUND('USPS Base'!C72*(1+PostalMarkup),2)</f>
        <v>64.77</v>
      </c>
      <c r="D75" s="313">
        <f>ROUND('USPS Base'!D72*(1+PostalMarkup),2)</f>
        <v>72.15</v>
      </c>
      <c r="E75" s="313">
        <f>ROUND('USPS Base'!E72*(1+PostalMarkup),2)</f>
        <v>88.67</v>
      </c>
      <c r="F75" s="313">
        <f>ROUND('USPS Base'!F72*(1+PostalMarkup),2)</f>
        <v>136.3</v>
      </c>
      <c r="G75" s="313">
        <f>ROUND('USPS Base'!G72*(1+PostalMarkup),2)</f>
        <v>158.72</v>
      </c>
      <c r="H75" s="313">
        <f>ROUND('USPS Base'!H72*(1+PostalMarkup),2)</f>
        <v>181.14</v>
      </c>
      <c r="I75" s="313">
        <f>ROUND('USPS Base'!I72*(1+PostalMarkup),2)</f>
        <v>216.99</v>
      </c>
      <c r="J75" s="313">
        <f>ROUND('USPS Base'!J72*(1+PostalMarkup),2)</f>
        <v>463.09</v>
      </c>
      <c r="K75" s="138"/>
      <c r="L75" s="138"/>
    </row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6:J75">
    <cfRule type="expression" dxfId="0" priority="1">
      <formula>MOD(ROW(),2)=0</formula>
    </cfRule>
  </conditionalFormatting>
  <conditionalFormatting sqref="M6:V10">
    <cfRule type="expression" dxfId="0" priority="2">
      <formula>MOD(ROW(),2)=0</formula>
    </cfRule>
  </conditionalFormatting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/>
  </sheetPr>
  <sheetViews>
    <sheetView workbookViewId="0"/>
  </sheetViews>
  <sheetFormatPr customHeight="1" defaultColWidth="12.63" defaultRowHeight="15.0"/>
  <cols>
    <col customWidth="1" min="1" max="1" width="10.38"/>
    <col customWidth="1" min="2" max="26" width="8.63"/>
  </cols>
  <sheetData>
    <row r="1" ht="12.75" customHeight="1">
      <c r="A1" s="287" t="s">
        <v>153</v>
      </c>
    </row>
    <row r="2" ht="12.75" customHeight="1">
      <c r="A2" s="287"/>
    </row>
    <row r="3" ht="12.75" customHeight="1">
      <c r="A3" s="314" t="s">
        <v>154</v>
      </c>
      <c r="B3" s="194" t="s">
        <v>70</v>
      </c>
    </row>
    <row r="4" ht="12.75" customHeight="1">
      <c r="A4" s="5">
        <v>1.0</v>
      </c>
      <c r="B4" s="208">
        <f>ROUND('USPS Base'!AA2*(1+PostalMarkup),2)</f>
        <v>5.06</v>
      </c>
    </row>
    <row r="5" ht="12.75" customHeight="1">
      <c r="A5" s="9">
        <v>2.0</v>
      </c>
      <c r="B5" s="210">
        <f>ROUND('USPS Base'!AA3*(1+PostalMarkup),2)</f>
        <v>5.92</v>
      </c>
    </row>
    <row r="6" ht="12.75" customHeight="1">
      <c r="A6" s="13">
        <v>3.0</v>
      </c>
      <c r="B6" s="212">
        <f>ROUND('USPS Base'!AA4*(1+PostalMarkup),2)</f>
        <v>6.79</v>
      </c>
    </row>
    <row r="7" ht="12.75" customHeight="1">
      <c r="A7" s="13">
        <v>4.0</v>
      </c>
      <c r="B7" s="212">
        <f>ROUND('USPS Base'!AA5*(1+PostalMarkup),2)</f>
        <v>7.65</v>
      </c>
    </row>
    <row r="8" ht="12.75" customHeight="1">
      <c r="A8" s="16">
        <v>5.0</v>
      </c>
      <c r="B8" s="215">
        <f>ROUND('USPS Base'!AA6*(1+PostalMarkup),2)</f>
        <v>8.51</v>
      </c>
    </row>
    <row r="9" ht="12.75" customHeight="1">
      <c r="A9" s="19">
        <v>6.0</v>
      </c>
      <c r="B9" s="217">
        <f>ROUND('USPS Base'!AA7*(1+PostalMarkup),2)</f>
        <v>9.37</v>
      </c>
    </row>
    <row r="10" ht="12.75" customHeight="1">
      <c r="A10" s="23">
        <v>7.0</v>
      </c>
      <c r="B10" s="220">
        <f>ROUND('USPS Base'!AA8*(1+PostalMarkup),2)</f>
        <v>10.24</v>
      </c>
    </row>
    <row r="11" ht="12.75" customHeight="1">
      <c r="A11" s="19">
        <v>8.0</v>
      </c>
      <c r="B11" s="220">
        <f>ROUND('USPS Base'!AA9*(1+PostalMarkup),2)</f>
        <v>11.1</v>
      </c>
    </row>
    <row r="12" ht="12.75" customHeight="1">
      <c r="A12" s="19">
        <v>9.0</v>
      </c>
      <c r="B12" s="220">
        <f>ROUND('USPS Base'!AA10*(1+PostalMarkup),2)</f>
        <v>11.96</v>
      </c>
    </row>
    <row r="13" ht="12.75" customHeight="1">
      <c r="A13" s="27">
        <v>10.0</v>
      </c>
      <c r="B13" s="220">
        <f>ROUND('USPS Base'!AA11*(1+PostalMarkup),2)</f>
        <v>12.82</v>
      </c>
    </row>
    <row r="14" ht="12.75" customHeight="1">
      <c r="A14" s="13">
        <v>11.0</v>
      </c>
      <c r="B14" s="210">
        <f>ROUND('USPS Base'!AA12*(1+PostalMarkup),2)</f>
        <v>13.69</v>
      </c>
    </row>
    <row r="15" ht="12.75" customHeight="1">
      <c r="A15" s="13">
        <v>12.0</v>
      </c>
      <c r="B15" s="212">
        <f>ROUND('USPS Base'!AA13*(1+PostalMarkup),2)</f>
        <v>14.55</v>
      </c>
    </row>
    <row r="16" ht="12.75" customHeight="1">
      <c r="A16" s="13">
        <v>13.0</v>
      </c>
      <c r="B16" s="212">
        <f>ROUND('USPS Base'!AA14*(1+PostalMarkup),2)</f>
        <v>15.41</v>
      </c>
    </row>
    <row r="17" ht="12.75" customHeight="1">
      <c r="A17" s="13">
        <v>14.0</v>
      </c>
      <c r="B17" s="212">
        <f>ROUND('USPS Base'!AA15*(1+PostalMarkup),2)</f>
        <v>16.27</v>
      </c>
    </row>
    <row r="18" ht="12.75" customHeight="1">
      <c r="A18" s="13">
        <v>15.0</v>
      </c>
      <c r="B18" s="215">
        <f>ROUND('USPS Base'!AA16*(1+PostalMarkup),2)</f>
        <v>17.14</v>
      </c>
    </row>
    <row r="19" ht="12.75" customHeight="1">
      <c r="A19" s="31">
        <v>16.0</v>
      </c>
      <c r="B19" s="217">
        <f>ROUND('USPS Base'!AA17*(1+PostalMarkup),2)</f>
        <v>18</v>
      </c>
    </row>
    <row r="20" ht="12.75" customHeight="1">
      <c r="A20" s="19">
        <v>17.0</v>
      </c>
      <c r="B20" s="220">
        <f>ROUND('USPS Base'!AA18*(1+PostalMarkup),2)</f>
        <v>18.86</v>
      </c>
    </row>
    <row r="21" ht="12.75" customHeight="1">
      <c r="A21" s="19">
        <v>18.0</v>
      </c>
      <c r="B21" s="220">
        <f>ROUND('USPS Base'!AA19*(1+PostalMarkup),2)</f>
        <v>19.72</v>
      </c>
    </row>
    <row r="22" ht="12.75" customHeight="1">
      <c r="A22" s="19">
        <v>19.0</v>
      </c>
      <c r="B22" s="220">
        <f>ROUND('USPS Base'!AA20*(1+PostalMarkup),2)</f>
        <v>20.59</v>
      </c>
    </row>
    <row r="23" ht="12.75" customHeight="1">
      <c r="A23" s="19">
        <v>20.0</v>
      </c>
      <c r="B23" s="223">
        <f>ROUND('USPS Base'!AA21*(1+PostalMarkup),2)</f>
        <v>21.45</v>
      </c>
    </row>
    <row r="24" ht="12.75" customHeight="1">
      <c r="A24" s="32">
        <v>21.0</v>
      </c>
      <c r="B24" s="210">
        <f>ROUND('USPS Base'!AA22*(1+PostalMarkup),2)</f>
        <v>22.31</v>
      </c>
    </row>
    <row r="25" ht="12.75" customHeight="1">
      <c r="A25" s="13">
        <v>22.0</v>
      </c>
      <c r="B25" s="212">
        <f>ROUND('USPS Base'!AA23*(1+PostalMarkup),2)</f>
        <v>23.17</v>
      </c>
    </row>
    <row r="26" ht="12.75" customHeight="1">
      <c r="A26" s="13">
        <v>23.0</v>
      </c>
      <c r="B26" s="212">
        <f>ROUND('USPS Base'!AA24*(1+PostalMarkup),2)</f>
        <v>24.04</v>
      </c>
    </row>
    <row r="27" ht="12.75" customHeight="1">
      <c r="A27" s="13">
        <v>24.0</v>
      </c>
      <c r="B27" s="212">
        <f>ROUND('USPS Base'!AA25*(1+PostalMarkup),2)</f>
        <v>24.9</v>
      </c>
    </row>
    <row r="28" ht="12.75" customHeight="1">
      <c r="A28" s="16">
        <v>25.0</v>
      </c>
      <c r="B28" s="215">
        <f>ROUND('USPS Base'!AA26*(1+PostalMarkup),2)</f>
        <v>25.76</v>
      </c>
    </row>
    <row r="29" ht="12.75" customHeight="1">
      <c r="A29" s="19">
        <v>26.0</v>
      </c>
      <c r="B29" s="217">
        <f>ROUND('USPS Base'!AA27*(1+PostalMarkup),2)</f>
        <v>26.62</v>
      </c>
    </row>
    <row r="30" ht="12.75" customHeight="1">
      <c r="A30" s="23">
        <v>27.0</v>
      </c>
      <c r="B30" s="220">
        <f>ROUND('USPS Base'!AA28*(1+PostalMarkup),2)</f>
        <v>27.49</v>
      </c>
    </row>
    <row r="31" ht="12.75" customHeight="1">
      <c r="A31" s="23">
        <v>28.0</v>
      </c>
      <c r="B31" s="220">
        <f>ROUND('USPS Base'!AA29*(1+PostalMarkup),2)</f>
        <v>28.35</v>
      </c>
    </row>
    <row r="32" ht="12.75" customHeight="1">
      <c r="A32" s="23">
        <v>29.0</v>
      </c>
      <c r="B32" s="220">
        <f>ROUND('USPS Base'!AA30*(1+PostalMarkup),2)</f>
        <v>29.21</v>
      </c>
    </row>
    <row r="33" ht="12.75" customHeight="1">
      <c r="A33" s="23">
        <v>30.0</v>
      </c>
      <c r="B33" s="223">
        <f>ROUND('USPS Base'!AA31*(1+PostalMarkup),2)</f>
        <v>30.07</v>
      </c>
    </row>
    <row r="34" ht="12.75" customHeight="1">
      <c r="A34" s="9">
        <v>31.0</v>
      </c>
      <c r="B34" s="210">
        <f>ROUND('USPS Base'!AA32*(1+PostalMarkup),2)</f>
        <v>30.94</v>
      </c>
    </row>
    <row r="35" ht="12.75" customHeight="1">
      <c r="A35" s="33">
        <v>32.0</v>
      </c>
      <c r="B35" s="212">
        <f>ROUND('USPS Base'!AA33*(1+PostalMarkup),2)</f>
        <v>31.8</v>
      </c>
    </row>
    <row r="36" ht="12.75" customHeight="1">
      <c r="A36" s="33">
        <v>33.0</v>
      </c>
      <c r="B36" s="212">
        <f>ROUND('USPS Base'!AA34*(1+PostalMarkup),2)</f>
        <v>32.66</v>
      </c>
    </row>
    <row r="37" ht="12.75" customHeight="1">
      <c r="A37" s="33">
        <v>34.0</v>
      </c>
      <c r="B37" s="212">
        <f>ROUND('USPS Base'!AA35*(1+PostalMarkup),2)</f>
        <v>33.52</v>
      </c>
    </row>
    <row r="38" ht="12.75" customHeight="1">
      <c r="A38" s="16">
        <v>35.0</v>
      </c>
      <c r="B38" s="215">
        <f>ROUND('USPS Base'!AA36*(1+PostalMarkup),2)</f>
        <v>34.39</v>
      </c>
    </row>
    <row r="39" ht="12.75" customHeight="1">
      <c r="A39" s="5">
        <v>36.0</v>
      </c>
      <c r="B39" s="208">
        <f>ROUND('USPS Base'!AA37*(1+PostalMarkup),2)</f>
        <v>35.25</v>
      </c>
    </row>
    <row r="40" ht="12.75" customHeight="1">
      <c r="A40" s="9">
        <v>37.0</v>
      </c>
      <c r="B40" s="210">
        <f>ROUND('USPS Base'!AA38*(1+PostalMarkup),2)</f>
        <v>36.11</v>
      </c>
    </row>
    <row r="41" ht="12.75" customHeight="1">
      <c r="A41" s="13">
        <v>38.0</v>
      </c>
      <c r="B41" s="212">
        <f>ROUND('USPS Base'!AA39*(1+PostalMarkup),2)</f>
        <v>36.97</v>
      </c>
    </row>
    <row r="42" ht="12.75" customHeight="1">
      <c r="A42" s="13">
        <v>39.0</v>
      </c>
      <c r="B42" s="212">
        <f>ROUND('USPS Base'!AA40*(1+PostalMarkup),2)</f>
        <v>37.84</v>
      </c>
    </row>
    <row r="43" ht="12.75" customHeight="1">
      <c r="A43" s="16">
        <v>40.0</v>
      </c>
      <c r="B43" s="215">
        <f>ROUND('USPS Base'!AA41*(1+PostalMarkup),2)</f>
        <v>38.7</v>
      </c>
    </row>
    <row r="44" ht="12.75" customHeight="1">
      <c r="A44" s="19">
        <v>41.0</v>
      </c>
      <c r="B44" s="217">
        <f>ROUND('USPS Base'!AA42*(1+PostalMarkup),2)</f>
        <v>39.56</v>
      </c>
    </row>
    <row r="45" ht="12.75" customHeight="1">
      <c r="A45" s="23">
        <v>42.0</v>
      </c>
      <c r="B45" s="220">
        <f>ROUND('USPS Base'!AA43*(1+PostalMarkup),2)</f>
        <v>40.42</v>
      </c>
    </row>
    <row r="46" ht="12.75" customHeight="1">
      <c r="A46" s="19">
        <v>43.0</v>
      </c>
      <c r="B46" s="220">
        <f>ROUND('USPS Base'!AA44*(1+PostalMarkup),2)</f>
        <v>41.29</v>
      </c>
    </row>
    <row r="47" ht="12.75" customHeight="1">
      <c r="A47" s="19">
        <v>44.0</v>
      </c>
      <c r="B47" s="220">
        <f>ROUND('USPS Base'!AA45*(1+PostalMarkup),2)</f>
        <v>42.15</v>
      </c>
    </row>
    <row r="48" ht="12.75" customHeight="1">
      <c r="A48" s="27">
        <v>45.0</v>
      </c>
      <c r="B48" s="220">
        <f>ROUND('USPS Base'!AA46*(1+PostalMarkup),2)</f>
        <v>43.01</v>
      </c>
    </row>
    <row r="49" ht="12.75" customHeight="1">
      <c r="A49" s="13">
        <v>46.0</v>
      </c>
      <c r="B49" s="210">
        <f>ROUND('USPS Base'!AA47*(1+PostalMarkup),2)</f>
        <v>43.87</v>
      </c>
    </row>
    <row r="50" ht="12.75" customHeight="1">
      <c r="A50" s="13">
        <v>47.0</v>
      </c>
      <c r="B50" s="212">
        <f>ROUND('USPS Base'!AA48*(1+PostalMarkup),2)</f>
        <v>44.74</v>
      </c>
    </row>
    <row r="51" ht="12.75" customHeight="1">
      <c r="A51" s="13">
        <v>48.0</v>
      </c>
      <c r="B51" s="212">
        <f>ROUND('USPS Base'!AA49*(1+PostalMarkup),2)</f>
        <v>45.6</v>
      </c>
    </row>
    <row r="52" ht="12.75" customHeight="1">
      <c r="A52" s="13">
        <v>49.0</v>
      </c>
      <c r="B52" s="212">
        <f>ROUND('USPS Base'!AA50*(1+PostalMarkup),2)</f>
        <v>46.46</v>
      </c>
    </row>
    <row r="53" ht="12.75" customHeight="1">
      <c r="A53" s="13">
        <v>50.0</v>
      </c>
      <c r="B53" s="215">
        <f>ROUND('USPS Base'!AA51*(1+PostalMarkup),2)</f>
        <v>47.32</v>
      </c>
    </row>
    <row r="54" ht="12.75" customHeight="1">
      <c r="A54" s="31">
        <v>51.0</v>
      </c>
      <c r="B54" s="217">
        <f>ROUND('USPS Base'!AA52*(1+PostalMarkup),2)</f>
        <v>48.19</v>
      </c>
    </row>
    <row r="55" ht="12.75" customHeight="1">
      <c r="A55" s="19">
        <v>52.0</v>
      </c>
      <c r="B55" s="220">
        <f>ROUND('USPS Base'!AA53*(1+PostalMarkup),2)</f>
        <v>49.05</v>
      </c>
    </row>
    <row r="56" ht="12.75" customHeight="1">
      <c r="A56" s="19">
        <v>53.0</v>
      </c>
      <c r="B56" s="220">
        <f>ROUND('USPS Base'!AA54*(1+PostalMarkup),2)</f>
        <v>49.91</v>
      </c>
    </row>
    <row r="57" ht="12.75" customHeight="1">
      <c r="A57" s="19">
        <v>54.0</v>
      </c>
      <c r="B57" s="220">
        <f>ROUND('USPS Base'!AA55*(1+PostalMarkup),2)</f>
        <v>50.77</v>
      </c>
    </row>
    <row r="58" ht="12.75" customHeight="1">
      <c r="A58" s="19">
        <v>55.0</v>
      </c>
      <c r="B58" s="223">
        <f>ROUND('USPS Base'!AA56*(1+PostalMarkup),2)</f>
        <v>51.64</v>
      </c>
    </row>
    <row r="59" ht="12.75" customHeight="1">
      <c r="A59" s="32">
        <v>56.0</v>
      </c>
      <c r="B59" s="210">
        <f>ROUND('USPS Base'!AA57*(1+PostalMarkup),2)</f>
        <v>52.5</v>
      </c>
    </row>
    <row r="60" ht="12.75" customHeight="1">
      <c r="A60" s="13">
        <v>57.0</v>
      </c>
      <c r="B60" s="212">
        <f>ROUND('USPS Base'!AA58*(1+PostalMarkup),2)</f>
        <v>53.36</v>
      </c>
    </row>
    <row r="61" ht="12.75" customHeight="1">
      <c r="A61" s="13">
        <v>58.0</v>
      </c>
      <c r="B61" s="212">
        <f>ROUND('USPS Base'!AA59*(1+PostalMarkup),2)</f>
        <v>54.22</v>
      </c>
    </row>
    <row r="62" ht="12.75" customHeight="1">
      <c r="A62" s="13">
        <v>59.0</v>
      </c>
      <c r="B62" s="212">
        <f>ROUND('USPS Base'!AA60*(1+PostalMarkup),2)</f>
        <v>55.09</v>
      </c>
    </row>
    <row r="63" ht="12.75" customHeight="1">
      <c r="A63" s="16">
        <v>60.0</v>
      </c>
      <c r="B63" s="215">
        <f>ROUND('USPS Base'!AA61*(1+PostalMarkup),2)</f>
        <v>55.95</v>
      </c>
    </row>
    <row r="64" ht="12.75" customHeight="1">
      <c r="A64" s="19">
        <v>61.0</v>
      </c>
      <c r="B64" s="217">
        <f>ROUND('USPS Base'!AA62*(1+PostalMarkup),2)</f>
        <v>56.81</v>
      </c>
    </row>
    <row r="65" ht="12.75" customHeight="1">
      <c r="A65" s="23">
        <v>62.0</v>
      </c>
      <c r="B65" s="220">
        <f>ROUND('USPS Base'!AA63*(1+PostalMarkup),2)</f>
        <v>57.67</v>
      </c>
    </row>
    <row r="66" ht="12.75" customHeight="1">
      <c r="A66" s="23">
        <v>63.0</v>
      </c>
      <c r="B66" s="220">
        <f>ROUND('USPS Base'!AA64*(1+PostalMarkup),2)</f>
        <v>58.54</v>
      </c>
    </row>
    <row r="67" ht="12.75" customHeight="1">
      <c r="A67" s="23">
        <v>64.0</v>
      </c>
      <c r="B67" s="220">
        <f>ROUND('USPS Base'!AA65*(1+PostalMarkup),2)</f>
        <v>59.4</v>
      </c>
    </row>
    <row r="68" ht="12.75" customHeight="1">
      <c r="A68" s="23">
        <v>65.0</v>
      </c>
      <c r="B68" s="223">
        <f>ROUND('USPS Base'!AA66*(1+PostalMarkup),2)</f>
        <v>60.26</v>
      </c>
    </row>
    <row r="69" ht="12.75" customHeight="1">
      <c r="A69" s="9">
        <v>66.0</v>
      </c>
      <c r="B69" s="210">
        <f>ROUND('USPS Base'!AA67*(1+PostalMarkup),2)</f>
        <v>61.12</v>
      </c>
    </row>
    <row r="70" ht="12.75" customHeight="1">
      <c r="A70" s="33">
        <v>67.0</v>
      </c>
      <c r="B70" s="212">
        <f>ROUND('USPS Base'!AA68*(1+PostalMarkup),2)</f>
        <v>61.99</v>
      </c>
    </row>
    <row r="71" ht="12.75" customHeight="1">
      <c r="A71" s="33">
        <v>68.0</v>
      </c>
      <c r="B71" s="212">
        <f>ROUND('USPS Base'!AA69*(1+PostalMarkup),2)</f>
        <v>62.85</v>
      </c>
    </row>
    <row r="72" ht="12.75" customHeight="1">
      <c r="A72" s="33">
        <v>69.0</v>
      </c>
      <c r="B72" s="212">
        <f>ROUND('USPS Base'!AA70*(1+PostalMarkup),2)</f>
        <v>63.71</v>
      </c>
    </row>
    <row r="73" ht="12.75" customHeight="1">
      <c r="A73" s="16">
        <v>70.0</v>
      </c>
      <c r="B73" s="215">
        <f>ROUND('USPS Base'!AA71*(1+PostalMarkup),2)</f>
        <v>64.57</v>
      </c>
    </row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EAADB"/>
    <pageSetUpPr/>
  </sheetPr>
  <sheetViews>
    <sheetView workbookViewId="0"/>
  </sheetViews>
  <sheetFormatPr customHeight="1" defaultColWidth="12.63" defaultRowHeight="15.0"/>
  <cols>
    <col customWidth="1" min="1" max="2" width="11.0"/>
    <col customWidth="1" min="3" max="4" width="8.63"/>
    <col customWidth="1" min="5" max="5" width="12.25"/>
    <col customWidth="1" min="6" max="6" width="10.75"/>
    <col customWidth="1" min="7" max="7" width="14.75"/>
    <col customWidth="1" min="8" max="8" width="11.63"/>
    <col customWidth="1" min="9" max="26" width="8.63"/>
  </cols>
  <sheetData>
    <row r="1" ht="12.75" customHeight="1">
      <c r="C1" s="278" t="s">
        <v>118</v>
      </c>
    </row>
    <row r="2" ht="12.75" customHeight="1">
      <c r="C2" s="270" t="s">
        <v>155</v>
      </c>
    </row>
    <row r="3" ht="12.75" customHeight="1">
      <c r="A3" s="315" t="s">
        <v>1</v>
      </c>
      <c r="B3" s="315"/>
      <c r="C3" s="316" t="s">
        <v>156</v>
      </c>
      <c r="D3" s="316" t="s">
        <v>157</v>
      </c>
      <c r="E3" s="316" t="s">
        <v>158</v>
      </c>
      <c r="F3" s="316" t="s">
        <v>159</v>
      </c>
      <c r="G3" s="316" t="s">
        <v>160</v>
      </c>
      <c r="H3" s="316" t="s">
        <v>161</v>
      </c>
      <c r="I3" s="316" t="s">
        <v>162</v>
      </c>
      <c r="J3" s="316" t="s">
        <v>163</v>
      </c>
      <c r="K3" s="316" t="s">
        <v>164</v>
      </c>
      <c r="L3" s="316" t="s">
        <v>165</v>
      </c>
      <c r="M3" s="316" t="s">
        <v>166</v>
      </c>
      <c r="N3" s="316" t="s">
        <v>167</v>
      </c>
      <c r="O3" s="316" t="s">
        <v>168</v>
      </c>
      <c r="P3" s="316" t="s">
        <v>169</v>
      </c>
      <c r="Q3" s="316" t="s">
        <v>170</v>
      </c>
      <c r="R3" s="316" t="s">
        <v>171</v>
      </c>
      <c r="S3" s="316" t="s">
        <v>172</v>
      </c>
      <c r="T3" s="316" t="s">
        <v>173</v>
      </c>
      <c r="U3" s="316" t="s">
        <v>174</v>
      </c>
      <c r="V3" s="316" t="s">
        <v>175</v>
      </c>
    </row>
    <row r="4" ht="12.75" customHeight="1">
      <c r="A4" s="317" t="s">
        <v>176</v>
      </c>
      <c r="B4" s="318" t="s">
        <v>177</v>
      </c>
      <c r="C4" s="316">
        <v>1.0</v>
      </c>
      <c r="D4" s="316">
        <v>2.0</v>
      </c>
      <c r="E4" s="316">
        <v>3.0</v>
      </c>
      <c r="F4" s="316">
        <v>4.0</v>
      </c>
      <c r="G4" s="316">
        <v>5.0</v>
      </c>
      <c r="H4" s="316">
        <v>6.0</v>
      </c>
      <c r="I4" s="316">
        <v>7.0</v>
      </c>
      <c r="J4" s="316">
        <v>8.0</v>
      </c>
      <c r="K4" s="316">
        <v>9.0</v>
      </c>
      <c r="L4" s="316">
        <v>10.0</v>
      </c>
      <c r="M4" s="316">
        <v>11.0</v>
      </c>
      <c r="N4" s="316">
        <v>12.0</v>
      </c>
      <c r="O4" s="316">
        <v>13.0</v>
      </c>
      <c r="P4" s="316">
        <v>14.0</v>
      </c>
      <c r="Q4" s="316">
        <v>15.0</v>
      </c>
      <c r="R4" s="316">
        <v>16.0</v>
      </c>
      <c r="S4" s="316">
        <v>17.0</v>
      </c>
      <c r="T4" s="316">
        <v>18.0</v>
      </c>
      <c r="U4" s="316">
        <v>19.0</v>
      </c>
      <c r="V4" s="316">
        <v>20.0</v>
      </c>
    </row>
    <row r="5" ht="12.75" customHeight="1">
      <c r="A5" s="297">
        <v>1.0</v>
      </c>
      <c r="B5" s="319">
        <f t="shared" ref="B5:B26" si="1">ROUND(A5/16,4)</f>
        <v>0.0625</v>
      </c>
      <c r="C5" s="298">
        <f>ROUND('USPS Base'!AD2*(1+PostalMarkup),2)</f>
        <v>20.53</v>
      </c>
      <c r="D5" s="298">
        <f>ROUND('USPS Base'!AE2*(1+PostalMarkup),2)</f>
        <v>20.76</v>
      </c>
      <c r="E5" s="298">
        <f>ROUND('USPS Base'!AF2*(1+PostalMarkup),2)</f>
        <v>23</v>
      </c>
      <c r="F5" s="298">
        <f>ROUND('USPS Base'!AG2*(1+PostalMarkup),2)</f>
        <v>21.91</v>
      </c>
      <c r="G5" s="298">
        <f>ROUND('USPS Base'!AH2*(1+PostalMarkup),2)</f>
        <v>21.91</v>
      </c>
      <c r="H5" s="298">
        <f>ROUND('USPS Base'!AI2*(1+PostalMarkup),2)</f>
        <v>21.91</v>
      </c>
      <c r="I5" s="298">
        <f>ROUND('USPS Base'!AJ2*(1+PostalMarkup),2)</f>
        <v>22.2</v>
      </c>
      <c r="J5" s="298">
        <f>ROUND('USPS Base'!AK2*(1+PostalMarkup),2)</f>
        <v>24.55</v>
      </c>
      <c r="K5" s="298">
        <f>ROUND('USPS Base'!AL2*(1+PostalMarkup),2)</f>
        <v>25.88</v>
      </c>
      <c r="L5" s="298">
        <f>ROUND('USPS Base'!AM2*(1+PostalMarkup),2)</f>
        <v>22.25</v>
      </c>
      <c r="M5" s="298">
        <f>ROUND('USPS Base'!AN2*(1+PostalMarkup),2)</f>
        <v>27.37</v>
      </c>
      <c r="N5" s="298">
        <f>ROUND('USPS Base'!AO2*(1+PostalMarkup),2)</f>
        <v>25.99</v>
      </c>
      <c r="O5" s="298">
        <f>ROUND('USPS Base'!AP2*(1+PostalMarkup),2)</f>
        <v>28</v>
      </c>
      <c r="P5" s="298">
        <f>ROUND('USPS Base'!AQ2*(1+PostalMarkup),2)</f>
        <v>22.89</v>
      </c>
      <c r="Q5" s="298">
        <f>ROUND('USPS Base'!AR2*(1+PostalMarkup),2)</f>
        <v>25.36</v>
      </c>
      <c r="R5" s="298">
        <f>ROUND('USPS Base'!AS2*(1+PostalMarkup),2)</f>
        <v>23.69</v>
      </c>
      <c r="S5" s="298">
        <f>ROUND('USPS Base'!AT2*(1+PostalMarkup),2)</f>
        <v>24.21</v>
      </c>
      <c r="T5" s="298">
        <f>ROUND('USPS Base'!AU2*(1+PostalMarkup),2)</f>
        <v>25.13</v>
      </c>
      <c r="U5" s="298">
        <f>ROUND('USPS Base'!AV2*(1+PostalMarkup),2)</f>
        <v>23.63</v>
      </c>
      <c r="V5" s="298">
        <f>ROUND('USPS Base'!AW2*(1+PostalMarkup),2)</f>
        <v>24.15</v>
      </c>
    </row>
    <row r="6" ht="12.75" customHeight="1">
      <c r="A6" s="297">
        <v>2.0</v>
      </c>
      <c r="B6" s="319">
        <f t="shared" si="1"/>
        <v>0.125</v>
      </c>
      <c r="C6" s="298">
        <f>ROUND('USPS Base'!AD3*(1+PostalMarkup),2)</f>
        <v>20.53</v>
      </c>
      <c r="D6" s="298">
        <f>ROUND('USPS Base'!AE3*(1+PostalMarkup),2)</f>
        <v>20.76</v>
      </c>
      <c r="E6" s="298">
        <f>ROUND('USPS Base'!AF3*(1+PostalMarkup),2)</f>
        <v>23</v>
      </c>
      <c r="F6" s="298">
        <f>ROUND('USPS Base'!AG3*(1+PostalMarkup),2)</f>
        <v>21.91</v>
      </c>
      <c r="G6" s="298">
        <f>ROUND('USPS Base'!AH3*(1+PostalMarkup),2)</f>
        <v>21.91</v>
      </c>
      <c r="H6" s="298">
        <f>ROUND('USPS Base'!AI3*(1+PostalMarkup),2)</f>
        <v>21.91</v>
      </c>
      <c r="I6" s="298">
        <f>ROUND('USPS Base'!AJ3*(1+PostalMarkup),2)</f>
        <v>22.2</v>
      </c>
      <c r="J6" s="298">
        <f>ROUND('USPS Base'!AK3*(1+PostalMarkup),2)</f>
        <v>24.55</v>
      </c>
      <c r="K6" s="298">
        <f>ROUND('USPS Base'!AL3*(1+PostalMarkup),2)</f>
        <v>25.88</v>
      </c>
      <c r="L6" s="298">
        <f>ROUND('USPS Base'!AM3*(1+PostalMarkup),2)</f>
        <v>22.25</v>
      </c>
      <c r="M6" s="298">
        <f>ROUND('USPS Base'!AN3*(1+PostalMarkup),2)</f>
        <v>27.37</v>
      </c>
      <c r="N6" s="298">
        <f>ROUND('USPS Base'!AO3*(1+PostalMarkup),2)</f>
        <v>25.99</v>
      </c>
      <c r="O6" s="298">
        <f>ROUND('USPS Base'!AP3*(1+PostalMarkup),2)</f>
        <v>28</v>
      </c>
      <c r="P6" s="298">
        <f>ROUND('USPS Base'!AQ3*(1+PostalMarkup),2)</f>
        <v>22.89</v>
      </c>
      <c r="Q6" s="298">
        <f>ROUND('USPS Base'!AR3*(1+PostalMarkup),2)</f>
        <v>25.36</v>
      </c>
      <c r="R6" s="298">
        <f>ROUND('USPS Base'!AS3*(1+PostalMarkup),2)</f>
        <v>23.69</v>
      </c>
      <c r="S6" s="298">
        <f>ROUND('USPS Base'!AT3*(1+PostalMarkup),2)</f>
        <v>24.21</v>
      </c>
      <c r="T6" s="298">
        <f>ROUND('USPS Base'!AU3*(1+PostalMarkup),2)</f>
        <v>25.13</v>
      </c>
      <c r="U6" s="298">
        <f>ROUND('USPS Base'!AV3*(1+PostalMarkup),2)</f>
        <v>23.63</v>
      </c>
      <c r="V6" s="298">
        <f>ROUND('USPS Base'!AW3*(1+PostalMarkup),2)</f>
        <v>24.15</v>
      </c>
    </row>
    <row r="7" ht="12.75" customHeight="1">
      <c r="A7" s="297">
        <v>3.0</v>
      </c>
      <c r="B7" s="319">
        <f t="shared" si="1"/>
        <v>0.1875</v>
      </c>
      <c r="C7" s="298">
        <f>ROUND('USPS Base'!AD4*(1+PostalMarkup),2)</f>
        <v>20.53</v>
      </c>
      <c r="D7" s="298">
        <f>ROUND('USPS Base'!AE4*(1+PostalMarkup),2)</f>
        <v>20.76</v>
      </c>
      <c r="E7" s="298">
        <f>ROUND('USPS Base'!AF4*(1+PostalMarkup),2)</f>
        <v>23</v>
      </c>
      <c r="F7" s="298">
        <f>ROUND('USPS Base'!AG4*(1+PostalMarkup),2)</f>
        <v>21.91</v>
      </c>
      <c r="G7" s="298">
        <f>ROUND('USPS Base'!AH4*(1+PostalMarkup),2)</f>
        <v>21.91</v>
      </c>
      <c r="H7" s="298">
        <f>ROUND('USPS Base'!AI4*(1+PostalMarkup),2)</f>
        <v>21.91</v>
      </c>
      <c r="I7" s="298">
        <f>ROUND('USPS Base'!AJ4*(1+PostalMarkup),2)</f>
        <v>22.2</v>
      </c>
      <c r="J7" s="298">
        <f>ROUND('USPS Base'!AK4*(1+PostalMarkup),2)</f>
        <v>24.55</v>
      </c>
      <c r="K7" s="298">
        <f>ROUND('USPS Base'!AL4*(1+PostalMarkup),2)</f>
        <v>25.88</v>
      </c>
      <c r="L7" s="298">
        <f>ROUND('USPS Base'!AM4*(1+PostalMarkup),2)</f>
        <v>22.25</v>
      </c>
      <c r="M7" s="298">
        <f>ROUND('USPS Base'!AN4*(1+PostalMarkup),2)</f>
        <v>27.37</v>
      </c>
      <c r="N7" s="298">
        <f>ROUND('USPS Base'!AO4*(1+PostalMarkup),2)</f>
        <v>25.99</v>
      </c>
      <c r="O7" s="298">
        <f>ROUND('USPS Base'!AP4*(1+PostalMarkup),2)</f>
        <v>28</v>
      </c>
      <c r="P7" s="298">
        <f>ROUND('USPS Base'!AQ4*(1+PostalMarkup),2)</f>
        <v>22.89</v>
      </c>
      <c r="Q7" s="298">
        <f>ROUND('USPS Base'!AR4*(1+PostalMarkup),2)</f>
        <v>25.36</v>
      </c>
      <c r="R7" s="298">
        <f>ROUND('USPS Base'!AS4*(1+PostalMarkup),2)</f>
        <v>23.69</v>
      </c>
      <c r="S7" s="298">
        <f>ROUND('USPS Base'!AT4*(1+PostalMarkup),2)</f>
        <v>24.21</v>
      </c>
      <c r="T7" s="298">
        <f>ROUND('USPS Base'!AU4*(1+PostalMarkup),2)</f>
        <v>25.13</v>
      </c>
      <c r="U7" s="298">
        <f>ROUND('USPS Base'!AV4*(1+PostalMarkup),2)</f>
        <v>23.63</v>
      </c>
      <c r="V7" s="298">
        <f>ROUND('USPS Base'!AW4*(1+PostalMarkup),2)</f>
        <v>24.15</v>
      </c>
    </row>
    <row r="8" ht="12.75" customHeight="1">
      <c r="A8" s="297">
        <v>4.0</v>
      </c>
      <c r="B8" s="319">
        <f t="shared" si="1"/>
        <v>0.25</v>
      </c>
      <c r="C8" s="298">
        <f>ROUND('USPS Base'!AD5*(1+PostalMarkup),2)</f>
        <v>20.53</v>
      </c>
      <c r="D8" s="298">
        <f>ROUND('USPS Base'!AE5*(1+PostalMarkup),2)</f>
        <v>20.76</v>
      </c>
      <c r="E8" s="298">
        <f>ROUND('USPS Base'!AF5*(1+PostalMarkup),2)</f>
        <v>23</v>
      </c>
      <c r="F8" s="298">
        <f>ROUND('USPS Base'!AG5*(1+PostalMarkup),2)</f>
        <v>21.91</v>
      </c>
      <c r="G8" s="298">
        <f>ROUND('USPS Base'!AH5*(1+PostalMarkup),2)</f>
        <v>21.91</v>
      </c>
      <c r="H8" s="298">
        <f>ROUND('USPS Base'!AI5*(1+PostalMarkup),2)</f>
        <v>21.91</v>
      </c>
      <c r="I8" s="298">
        <f>ROUND('USPS Base'!AJ5*(1+PostalMarkup),2)</f>
        <v>22.2</v>
      </c>
      <c r="J8" s="298">
        <f>ROUND('USPS Base'!AK5*(1+PostalMarkup),2)</f>
        <v>24.55</v>
      </c>
      <c r="K8" s="298">
        <f>ROUND('USPS Base'!AL5*(1+PostalMarkup),2)</f>
        <v>25.88</v>
      </c>
      <c r="L8" s="298">
        <f>ROUND('USPS Base'!AM5*(1+PostalMarkup),2)</f>
        <v>22.25</v>
      </c>
      <c r="M8" s="298">
        <f>ROUND('USPS Base'!AN5*(1+PostalMarkup),2)</f>
        <v>27.37</v>
      </c>
      <c r="N8" s="298">
        <f>ROUND('USPS Base'!AO5*(1+PostalMarkup),2)</f>
        <v>25.99</v>
      </c>
      <c r="O8" s="298">
        <f>ROUND('USPS Base'!AP5*(1+PostalMarkup),2)</f>
        <v>28</v>
      </c>
      <c r="P8" s="298">
        <f>ROUND('USPS Base'!AQ5*(1+PostalMarkup),2)</f>
        <v>22.89</v>
      </c>
      <c r="Q8" s="298">
        <f>ROUND('USPS Base'!AR5*(1+PostalMarkup),2)</f>
        <v>25.36</v>
      </c>
      <c r="R8" s="298">
        <f>ROUND('USPS Base'!AS5*(1+PostalMarkup),2)</f>
        <v>23.69</v>
      </c>
      <c r="S8" s="298">
        <f>ROUND('USPS Base'!AT5*(1+PostalMarkup),2)</f>
        <v>24.21</v>
      </c>
      <c r="T8" s="298">
        <f>ROUND('USPS Base'!AU5*(1+PostalMarkup),2)</f>
        <v>25.13</v>
      </c>
      <c r="U8" s="298">
        <f>ROUND('USPS Base'!AV5*(1+PostalMarkup),2)</f>
        <v>23.63</v>
      </c>
      <c r="V8" s="298">
        <f>ROUND('USPS Base'!AW5*(1+PostalMarkup),2)</f>
        <v>24.15</v>
      </c>
    </row>
    <row r="9" ht="12.75" customHeight="1">
      <c r="A9" s="297">
        <v>5.0</v>
      </c>
      <c r="B9" s="319">
        <f t="shared" si="1"/>
        <v>0.3125</v>
      </c>
      <c r="C9" s="298">
        <f>ROUND('USPS Base'!AD6*(1+PostalMarkup),2)</f>
        <v>20.53</v>
      </c>
      <c r="D9" s="298">
        <f>ROUND('USPS Base'!AE6*(1+PostalMarkup),2)</f>
        <v>20.76</v>
      </c>
      <c r="E9" s="298">
        <f>ROUND('USPS Base'!AF6*(1+PostalMarkup),2)</f>
        <v>23</v>
      </c>
      <c r="F9" s="298">
        <f>ROUND('USPS Base'!AG6*(1+PostalMarkup),2)</f>
        <v>21.91</v>
      </c>
      <c r="G9" s="298">
        <f>ROUND('USPS Base'!AH6*(1+PostalMarkup),2)</f>
        <v>21.91</v>
      </c>
      <c r="H9" s="298">
        <f>ROUND('USPS Base'!AI6*(1+PostalMarkup),2)</f>
        <v>21.91</v>
      </c>
      <c r="I9" s="298">
        <f>ROUND('USPS Base'!AJ6*(1+PostalMarkup),2)</f>
        <v>22.2</v>
      </c>
      <c r="J9" s="298">
        <f>ROUND('USPS Base'!AK6*(1+PostalMarkup),2)</f>
        <v>24.55</v>
      </c>
      <c r="K9" s="298">
        <f>ROUND('USPS Base'!AL6*(1+PostalMarkup),2)</f>
        <v>25.88</v>
      </c>
      <c r="L9" s="298">
        <f>ROUND('USPS Base'!AM6*(1+PostalMarkup),2)</f>
        <v>22.25</v>
      </c>
      <c r="M9" s="298">
        <f>ROUND('USPS Base'!AN6*(1+PostalMarkup),2)</f>
        <v>27.37</v>
      </c>
      <c r="N9" s="298">
        <f>ROUND('USPS Base'!AO6*(1+PostalMarkup),2)</f>
        <v>25.99</v>
      </c>
      <c r="O9" s="298">
        <f>ROUND('USPS Base'!AP6*(1+PostalMarkup),2)</f>
        <v>28</v>
      </c>
      <c r="P9" s="298">
        <f>ROUND('USPS Base'!AQ6*(1+PostalMarkup),2)</f>
        <v>22.89</v>
      </c>
      <c r="Q9" s="298">
        <f>ROUND('USPS Base'!AR6*(1+PostalMarkup),2)</f>
        <v>25.36</v>
      </c>
      <c r="R9" s="298">
        <f>ROUND('USPS Base'!AS6*(1+PostalMarkup),2)</f>
        <v>23.69</v>
      </c>
      <c r="S9" s="298">
        <f>ROUND('USPS Base'!AT6*(1+PostalMarkup),2)</f>
        <v>24.21</v>
      </c>
      <c r="T9" s="298">
        <f>ROUND('USPS Base'!AU6*(1+PostalMarkup),2)</f>
        <v>25.13</v>
      </c>
      <c r="U9" s="298">
        <f>ROUND('USPS Base'!AV6*(1+PostalMarkup),2)</f>
        <v>23.63</v>
      </c>
      <c r="V9" s="298">
        <f>ROUND('USPS Base'!AW6*(1+PostalMarkup),2)</f>
        <v>24.15</v>
      </c>
    </row>
    <row r="10" ht="12.75" customHeight="1">
      <c r="A10" s="297">
        <v>6.0</v>
      </c>
      <c r="B10" s="319">
        <f t="shared" si="1"/>
        <v>0.375</v>
      </c>
      <c r="C10" s="298">
        <f>ROUND('USPS Base'!AD7*(1+PostalMarkup),2)</f>
        <v>20.53</v>
      </c>
      <c r="D10" s="298">
        <f>ROUND('USPS Base'!AE7*(1+PostalMarkup),2)</f>
        <v>20.76</v>
      </c>
      <c r="E10" s="298">
        <f>ROUND('USPS Base'!AF7*(1+PostalMarkup),2)</f>
        <v>23</v>
      </c>
      <c r="F10" s="298">
        <f>ROUND('USPS Base'!AG7*(1+PostalMarkup),2)</f>
        <v>21.91</v>
      </c>
      <c r="G10" s="298">
        <f>ROUND('USPS Base'!AH7*(1+PostalMarkup),2)</f>
        <v>21.91</v>
      </c>
      <c r="H10" s="298">
        <f>ROUND('USPS Base'!AI7*(1+PostalMarkup),2)</f>
        <v>21.91</v>
      </c>
      <c r="I10" s="298">
        <f>ROUND('USPS Base'!AJ7*(1+PostalMarkup),2)</f>
        <v>22.2</v>
      </c>
      <c r="J10" s="298">
        <f>ROUND('USPS Base'!AK7*(1+PostalMarkup),2)</f>
        <v>24.55</v>
      </c>
      <c r="K10" s="298">
        <f>ROUND('USPS Base'!AL7*(1+PostalMarkup),2)</f>
        <v>25.88</v>
      </c>
      <c r="L10" s="298">
        <f>ROUND('USPS Base'!AM7*(1+PostalMarkup),2)</f>
        <v>22.25</v>
      </c>
      <c r="M10" s="298">
        <f>ROUND('USPS Base'!AN7*(1+PostalMarkup),2)</f>
        <v>27.37</v>
      </c>
      <c r="N10" s="298">
        <f>ROUND('USPS Base'!AO7*(1+PostalMarkup),2)</f>
        <v>25.99</v>
      </c>
      <c r="O10" s="298">
        <f>ROUND('USPS Base'!AP7*(1+PostalMarkup),2)</f>
        <v>28</v>
      </c>
      <c r="P10" s="298">
        <f>ROUND('USPS Base'!AQ7*(1+PostalMarkup),2)</f>
        <v>22.89</v>
      </c>
      <c r="Q10" s="298">
        <f>ROUND('USPS Base'!AR7*(1+PostalMarkup),2)</f>
        <v>25.36</v>
      </c>
      <c r="R10" s="298">
        <f>ROUND('USPS Base'!AS7*(1+PostalMarkup),2)</f>
        <v>23.69</v>
      </c>
      <c r="S10" s="298">
        <f>ROUND('USPS Base'!AT7*(1+PostalMarkup),2)</f>
        <v>24.21</v>
      </c>
      <c r="T10" s="298">
        <f>ROUND('USPS Base'!AU7*(1+PostalMarkup),2)</f>
        <v>25.13</v>
      </c>
      <c r="U10" s="298">
        <f>ROUND('USPS Base'!AV7*(1+PostalMarkup),2)</f>
        <v>23.63</v>
      </c>
      <c r="V10" s="298">
        <f>ROUND('USPS Base'!AW7*(1+PostalMarkup),2)</f>
        <v>24.15</v>
      </c>
    </row>
    <row r="11" ht="12.75" customHeight="1">
      <c r="A11" s="297">
        <v>7.0</v>
      </c>
      <c r="B11" s="319">
        <f t="shared" si="1"/>
        <v>0.4375</v>
      </c>
      <c r="C11" s="298">
        <f>ROUND('USPS Base'!AD8*(1+PostalMarkup),2)</f>
        <v>20.53</v>
      </c>
      <c r="D11" s="298">
        <f>ROUND('USPS Base'!AE8*(1+PostalMarkup),2)</f>
        <v>20.76</v>
      </c>
      <c r="E11" s="298">
        <f>ROUND('USPS Base'!AF8*(1+PostalMarkup),2)</f>
        <v>23</v>
      </c>
      <c r="F11" s="298">
        <f>ROUND('USPS Base'!AG8*(1+PostalMarkup),2)</f>
        <v>21.91</v>
      </c>
      <c r="G11" s="298">
        <f>ROUND('USPS Base'!AH8*(1+PostalMarkup),2)</f>
        <v>21.91</v>
      </c>
      <c r="H11" s="298">
        <f>ROUND('USPS Base'!AI8*(1+PostalMarkup),2)</f>
        <v>21.91</v>
      </c>
      <c r="I11" s="298">
        <f>ROUND('USPS Base'!AJ8*(1+PostalMarkup),2)</f>
        <v>22.2</v>
      </c>
      <c r="J11" s="298">
        <f>ROUND('USPS Base'!AK8*(1+PostalMarkup),2)</f>
        <v>24.55</v>
      </c>
      <c r="K11" s="298">
        <f>ROUND('USPS Base'!AL8*(1+PostalMarkup),2)</f>
        <v>25.88</v>
      </c>
      <c r="L11" s="298">
        <f>ROUND('USPS Base'!AM8*(1+PostalMarkup),2)</f>
        <v>22.25</v>
      </c>
      <c r="M11" s="298">
        <f>ROUND('USPS Base'!AN8*(1+PostalMarkup),2)</f>
        <v>27.37</v>
      </c>
      <c r="N11" s="298">
        <f>ROUND('USPS Base'!AO8*(1+PostalMarkup),2)</f>
        <v>25.99</v>
      </c>
      <c r="O11" s="298">
        <f>ROUND('USPS Base'!AP8*(1+PostalMarkup),2)</f>
        <v>28</v>
      </c>
      <c r="P11" s="298">
        <f>ROUND('USPS Base'!AQ8*(1+PostalMarkup),2)</f>
        <v>22.89</v>
      </c>
      <c r="Q11" s="298">
        <f>ROUND('USPS Base'!AR8*(1+PostalMarkup),2)</f>
        <v>25.36</v>
      </c>
      <c r="R11" s="298">
        <f>ROUND('USPS Base'!AS8*(1+PostalMarkup),2)</f>
        <v>23.69</v>
      </c>
      <c r="S11" s="298">
        <f>ROUND('USPS Base'!AT8*(1+PostalMarkup),2)</f>
        <v>24.21</v>
      </c>
      <c r="T11" s="298">
        <f>ROUND('USPS Base'!AU8*(1+PostalMarkup),2)</f>
        <v>25.13</v>
      </c>
      <c r="U11" s="298">
        <f>ROUND('USPS Base'!AV8*(1+PostalMarkup),2)</f>
        <v>23.63</v>
      </c>
      <c r="V11" s="298">
        <f>ROUND('USPS Base'!AW8*(1+PostalMarkup),2)</f>
        <v>24.15</v>
      </c>
    </row>
    <row r="12" ht="12.75" customHeight="1">
      <c r="A12" s="297">
        <v>8.0</v>
      </c>
      <c r="B12" s="298">
        <f t="shared" si="1"/>
        <v>0.5</v>
      </c>
      <c r="C12" s="298">
        <f>ROUND('USPS Base'!AD9*(1+PostalMarkup),2)</f>
        <v>20.53</v>
      </c>
      <c r="D12" s="298">
        <f>ROUND('USPS Base'!AE9*(1+PostalMarkup),2)</f>
        <v>20.76</v>
      </c>
      <c r="E12" s="298">
        <f>ROUND('USPS Base'!AF9*(1+PostalMarkup),2)</f>
        <v>23</v>
      </c>
      <c r="F12" s="298">
        <f>ROUND('USPS Base'!AG9*(1+PostalMarkup),2)</f>
        <v>21.91</v>
      </c>
      <c r="G12" s="298">
        <f>ROUND('USPS Base'!AH9*(1+PostalMarkup),2)</f>
        <v>21.91</v>
      </c>
      <c r="H12" s="298">
        <f>ROUND('USPS Base'!AI9*(1+PostalMarkup),2)</f>
        <v>21.91</v>
      </c>
      <c r="I12" s="298">
        <f>ROUND('USPS Base'!AJ9*(1+PostalMarkup),2)</f>
        <v>22.2</v>
      </c>
      <c r="J12" s="298">
        <f>ROUND('USPS Base'!AK9*(1+PostalMarkup),2)</f>
        <v>24.55</v>
      </c>
      <c r="K12" s="298">
        <f>ROUND('USPS Base'!AL9*(1+PostalMarkup),2)</f>
        <v>25.88</v>
      </c>
      <c r="L12" s="298">
        <f>ROUND('USPS Base'!AM9*(1+PostalMarkup),2)</f>
        <v>22.25</v>
      </c>
      <c r="M12" s="298">
        <f>ROUND('USPS Base'!AN9*(1+PostalMarkup),2)</f>
        <v>27.37</v>
      </c>
      <c r="N12" s="298">
        <f>ROUND('USPS Base'!AO9*(1+PostalMarkup),2)</f>
        <v>25.99</v>
      </c>
      <c r="O12" s="298">
        <f>ROUND('USPS Base'!AP9*(1+PostalMarkup),2)</f>
        <v>28</v>
      </c>
      <c r="P12" s="298">
        <f>ROUND('USPS Base'!AQ9*(1+PostalMarkup),2)</f>
        <v>22.89</v>
      </c>
      <c r="Q12" s="298">
        <f>ROUND('USPS Base'!AR9*(1+PostalMarkup),2)</f>
        <v>25.36</v>
      </c>
      <c r="R12" s="298">
        <f>ROUND('USPS Base'!AS9*(1+PostalMarkup),2)</f>
        <v>23.69</v>
      </c>
      <c r="S12" s="298">
        <f>ROUND('USPS Base'!AT9*(1+PostalMarkup),2)</f>
        <v>24.21</v>
      </c>
      <c r="T12" s="298">
        <f>ROUND('USPS Base'!AU9*(1+PostalMarkup),2)</f>
        <v>25.13</v>
      </c>
      <c r="U12" s="298">
        <f>ROUND('USPS Base'!AV9*(1+PostalMarkup),2)</f>
        <v>23.63</v>
      </c>
      <c r="V12" s="298">
        <f>ROUND('USPS Base'!AW9*(1+PostalMarkup),2)</f>
        <v>24.15</v>
      </c>
    </row>
    <row r="13" ht="12.75" customHeight="1">
      <c r="A13" s="297">
        <v>12.0</v>
      </c>
      <c r="B13" s="298">
        <f t="shared" si="1"/>
        <v>0.75</v>
      </c>
      <c r="C13" s="298">
        <f>ROUND('USPS Base'!AD10*(1+PostalMarkup),2)</f>
        <v>20.53</v>
      </c>
      <c r="D13" s="298">
        <f>ROUND('USPS Base'!AE10*(1+PostalMarkup),2)</f>
        <v>20.76</v>
      </c>
      <c r="E13" s="298">
        <f>ROUND('USPS Base'!AF10*(1+PostalMarkup),2)</f>
        <v>23</v>
      </c>
      <c r="F13" s="298">
        <f>ROUND('USPS Base'!AG10*(1+PostalMarkup),2)</f>
        <v>21.91</v>
      </c>
      <c r="G13" s="298">
        <f>ROUND('USPS Base'!AH10*(1+PostalMarkup),2)</f>
        <v>21.91</v>
      </c>
      <c r="H13" s="298">
        <f>ROUND('USPS Base'!AI10*(1+PostalMarkup),2)</f>
        <v>21.91</v>
      </c>
      <c r="I13" s="298">
        <f>ROUND('USPS Base'!AJ10*(1+PostalMarkup),2)</f>
        <v>22.2</v>
      </c>
      <c r="J13" s="298">
        <f>ROUND('USPS Base'!AK10*(1+PostalMarkup),2)</f>
        <v>24.55</v>
      </c>
      <c r="K13" s="298">
        <f>ROUND('USPS Base'!AL10*(1+PostalMarkup),2)</f>
        <v>25.88</v>
      </c>
      <c r="L13" s="298">
        <f>ROUND('USPS Base'!AM10*(1+PostalMarkup),2)</f>
        <v>22.25</v>
      </c>
      <c r="M13" s="298">
        <f>ROUND('USPS Base'!AN10*(1+PostalMarkup),2)</f>
        <v>27.37</v>
      </c>
      <c r="N13" s="298">
        <f>ROUND('USPS Base'!AO10*(1+PostalMarkup),2)</f>
        <v>25.99</v>
      </c>
      <c r="O13" s="298">
        <f>ROUND('USPS Base'!AP10*(1+PostalMarkup),2)</f>
        <v>28</v>
      </c>
      <c r="P13" s="298">
        <f>ROUND('USPS Base'!AQ10*(1+PostalMarkup),2)</f>
        <v>22.89</v>
      </c>
      <c r="Q13" s="298">
        <f>ROUND('USPS Base'!AR10*(1+PostalMarkup),2)</f>
        <v>25.36</v>
      </c>
      <c r="R13" s="298">
        <f>ROUND('USPS Base'!AS10*(1+PostalMarkup),2)</f>
        <v>23.69</v>
      </c>
      <c r="S13" s="298">
        <f>ROUND('USPS Base'!AT10*(1+PostalMarkup),2)</f>
        <v>24.21</v>
      </c>
      <c r="T13" s="298">
        <f>ROUND('USPS Base'!AU10*(1+PostalMarkup),2)</f>
        <v>25.13</v>
      </c>
      <c r="U13" s="298">
        <f>ROUND('USPS Base'!AV10*(1+PostalMarkup),2)</f>
        <v>23.63</v>
      </c>
      <c r="V13" s="298">
        <f>ROUND('USPS Base'!AW10*(1+PostalMarkup),2)</f>
        <v>24.15</v>
      </c>
    </row>
    <row r="14" ht="12.75" customHeight="1">
      <c r="A14" s="297">
        <v>16.0</v>
      </c>
      <c r="B14" s="298">
        <f t="shared" si="1"/>
        <v>1</v>
      </c>
      <c r="C14" s="298">
        <f>ROUND('USPS Base'!AD11*(1+PostalMarkup),2)</f>
        <v>20.53</v>
      </c>
      <c r="D14" s="298">
        <f>ROUND('USPS Base'!AE11*(1+PostalMarkup),2)</f>
        <v>20.76</v>
      </c>
      <c r="E14" s="298">
        <f>ROUND('USPS Base'!AF11*(1+PostalMarkup),2)</f>
        <v>23</v>
      </c>
      <c r="F14" s="298">
        <f>ROUND('USPS Base'!AG11*(1+PostalMarkup),2)</f>
        <v>21.91</v>
      </c>
      <c r="G14" s="298">
        <f>ROUND('USPS Base'!AH11*(1+PostalMarkup),2)</f>
        <v>21.91</v>
      </c>
      <c r="H14" s="298">
        <f>ROUND('USPS Base'!AI11*(1+PostalMarkup),2)</f>
        <v>21.91</v>
      </c>
      <c r="I14" s="298">
        <f>ROUND('USPS Base'!AJ11*(1+PostalMarkup),2)</f>
        <v>22.2</v>
      </c>
      <c r="J14" s="298">
        <f>ROUND('USPS Base'!AK11*(1+PostalMarkup),2)</f>
        <v>24.55</v>
      </c>
      <c r="K14" s="298">
        <f>ROUND('USPS Base'!AL11*(1+PostalMarkup),2)</f>
        <v>25.88</v>
      </c>
      <c r="L14" s="298">
        <f>ROUND('USPS Base'!AM11*(1+PostalMarkup),2)</f>
        <v>22.25</v>
      </c>
      <c r="M14" s="298">
        <f>ROUND('USPS Base'!AN11*(1+PostalMarkup),2)</f>
        <v>27.37</v>
      </c>
      <c r="N14" s="298">
        <f>ROUND('USPS Base'!AO11*(1+PostalMarkup),2)</f>
        <v>25.99</v>
      </c>
      <c r="O14" s="298">
        <f>ROUND('USPS Base'!AP11*(1+PostalMarkup),2)</f>
        <v>28</v>
      </c>
      <c r="P14" s="298">
        <f>ROUND('USPS Base'!AQ11*(1+PostalMarkup),2)</f>
        <v>22.89</v>
      </c>
      <c r="Q14" s="298">
        <f>ROUND('USPS Base'!AR11*(1+PostalMarkup),2)</f>
        <v>25.36</v>
      </c>
      <c r="R14" s="298">
        <f>ROUND('USPS Base'!AS11*(1+PostalMarkup),2)</f>
        <v>23.69</v>
      </c>
      <c r="S14" s="298">
        <f>ROUND('USPS Base'!AT11*(1+PostalMarkup),2)</f>
        <v>24.21</v>
      </c>
      <c r="T14" s="298">
        <f>ROUND('USPS Base'!AU11*(1+PostalMarkup),2)</f>
        <v>25.13</v>
      </c>
      <c r="U14" s="298">
        <f>ROUND('USPS Base'!AV11*(1+PostalMarkup),2)</f>
        <v>23.63</v>
      </c>
      <c r="V14" s="298">
        <f>ROUND('USPS Base'!AW11*(1+PostalMarkup),2)</f>
        <v>24.15</v>
      </c>
    </row>
    <row r="15" ht="12.75" customHeight="1">
      <c r="A15" s="297">
        <v>20.0</v>
      </c>
      <c r="B15" s="298">
        <f t="shared" si="1"/>
        <v>1.25</v>
      </c>
      <c r="C15" s="298">
        <f>ROUND('USPS Base'!AD12*(1+PostalMarkup),2)</f>
        <v>20.53</v>
      </c>
      <c r="D15" s="298">
        <f>ROUND('USPS Base'!AE12*(1+PostalMarkup),2)</f>
        <v>20.76</v>
      </c>
      <c r="E15" s="298">
        <f>ROUND('USPS Base'!AF12*(1+PostalMarkup),2)</f>
        <v>23</v>
      </c>
      <c r="F15" s="298">
        <f>ROUND('USPS Base'!AG12*(1+PostalMarkup),2)</f>
        <v>21.91</v>
      </c>
      <c r="G15" s="298">
        <f>ROUND('USPS Base'!AH12*(1+PostalMarkup),2)</f>
        <v>21.91</v>
      </c>
      <c r="H15" s="298">
        <f>ROUND('USPS Base'!AI12*(1+PostalMarkup),2)</f>
        <v>21.91</v>
      </c>
      <c r="I15" s="298">
        <f>ROUND('USPS Base'!AJ12*(1+PostalMarkup),2)</f>
        <v>22.2</v>
      </c>
      <c r="J15" s="298">
        <f>ROUND('USPS Base'!AK12*(1+PostalMarkup),2)</f>
        <v>24.55</v>
      </c>
      <c r="K15" s="298">
        <f>ROUND('USPS Base'!AL12*(1+PostalMarkup),2)</f>
        <v>25.88</v>
      </c>
      <c r="L15" s="298">
        <f>ROUND('USPS Base'!AM12*(1+PostalMarkup),2)</f>
        <v>22.25</v>
      </c>
      <c r="M15" s="298">
        <f>ROUND('USPS Base'!AN12*(1+PostalMarkup),2)</f>
        <v>27.37</v>
      </c>
      <c r="N15" s="298">
        <f>ROUND('USPS Base'!AO12*(1+PostalMarkup),2)</f>
        <v>25.99</v>
      </c>
      <c r="O15" s="298">
        <f>ROUND('USPS Base'!AP12*(1+PostalMarkup),2)</f>
        <v>28</v>
      </c>
      <c r="P15" s="298">
        <f>ROUND('USPS Base'!AQ12*(1+PostalMarkup),2)</f>
        <v>22.89</v>
      </c>
      <c r="Q15" s="298">
        <f>ROUND('USPS Base'!AR12*(1+PostalMarkup),2)</f>
        <v>25.36</v>
      </c>
      <c r="R15" s="298">
        <f>ROUND('USPS Base'!AS12*(1+PostalMarkup),2)</f>
        <v>23.69</v>
      </c>
      <c r="S15" s="298">
        <f>ROUND('USPS Base'!AT12*(1+PostalMarkup),2)</f>
        <v>24.21</v>
      </c>
      <c r="T15" s="298">
        <f>ROUND('USPS Base'!AU12*(1+PostalMarkup),2)</f>
        <v>25.13</v>
      </c>
      <c r="U15" s="298">
        <f>ROUND('USPS Base'!AV12*(1+PostalMarkup),2)</f>
        <v>23.63</v>
      </c>
      <c r="V15" s="298">
        <f>ROUND('USPS Base'!AW12*(1+PostalMarkup),2)</f>
        <v>24.15</v>
      </c>
    </row>
    <row r="16" ht="12.75" customHeight="1">
      <c r="A16" s="297">
        <v>24.0</v>
      </c>
      <c r="B16" s="298">
        <f t="shared" si="1"/>
        <v>1.5</v>
      </c>
      <c r="C16" s="298">
        <f>ROUND('USPS Base'!AD13*(1+PostalMarkup),2)</f>
        <v>20.53</v>
      </c>
      <c r="D16" s="298">
        <f>ROUND('USPS Base'!AE13*(1+PostalMarkup),2)</f>
        <v>20.76</v>
      </c>
      <c r="E16" s="298">
        <f>ROUND('USPS Base'!AF13*(1+PostalMarkup),2)</f>
        <v>23</v>
      </c>
      <c r="F16" s="298">
        <f>ROUND('USPS Base'!AG13*(1+PostalMarkup),2)</f>
        <v>21.91</v>
      </c>
      <c r="G16" s="298">
        <f>ROUND('USPS Base'!AH13*(1+PostalMarkup),2)</f>
        <v>21.91</v>
      </c>
      <c r="H16" s="298">
        <f>ROUND('USPS Base'!AI13*(1+PostalMarkup),2)</f>
        <v>21.91</v>
      </c>
      <c r="I16" s="298">
        <f>ROUND('USPS Base'!AJ13*(1+PostalMarkup),2)</f>
        <v>22.2</v>
      </c>
      <c r="J16" s="298">
        <f>ROUND('USPS Base'!AK13*(1+PostalMarkup),2)</f>
        <v>24.55</v>
      </c>
      <c r="K16" s="298">
        <f>ROUND('USPS Base'!AL13*(1+PostalMarkup),2)</f>
        <v>25.88</v>
      </c>
      <c r="L16" s="298">
        <f>ROUND('USPS Base'!AM13*(1+PostalMarkup),2)</f>
        <v>22.25</v>
      </c>
      <c r="M16" s="298">
        <f>ROUND('USPS Base'!AN13*(1+PostalMarkup),2)</f>
        <v>27.37</v>
      </c>
      <c r="N16" s="298">
        <f>ROUND('USPS Base'!AO13*(1+PostalMarkup),2)</f>
        <v>25.99</v>
      </c>
      <c r="O16" s="298">
        <f>ROUND('USPS Base'!AP13*(1+PostalMarkup),2)</f>
        <v>28</v>
      </c>
      <c r="P16" s="298">
        <f>ROUND('USPS Base'!AQ13*(1+PostalMarkup),2)</f>
        <v>22.89</v>
      </c>
      <c r="Q16" s="298">
        <f>ROUND('USPS Base'!AR13*(1+PostalMarkup),2)</f>
        <v>25.36</v>
      </c>
      <c r="R16" s="298">
        <f>ROUND('USPS Base'!AS13*(1+PostalMarkup),2)</f>
        <v>23.69</v>
      </c>
      <c r="S16" s="298">
        <f>ROUND('USPS Base'!AT13*(1+PostalMarkup),2)</f>
        <v>24.21</v>
      </c>
      <c r="T16" s="298">
        <f>ROUND('USPS Base'!AU13*(1+PostalMarkup),2)</f>
        <v>25.13</v>
      </c>
      <c r="U16" s="298">
        <f>ROUND('USPS Base'!AV13*(1+PostalMarkup),2)</f>
        <v>23.63</v>
      </c>
      <c r="V16" s="298">
        <f>ROUND('USPS Base'!AW13*(1+PostalMarkup),2)</f>
        <v>24.15</v>
      </c>
    </row>
    <row r="17" ht="12.75" customHeight="1">
      <c r="A17" s="297">
        <v>28.0</v>
      </c>
      <c r="B17" s="298">
        <f t="shared" si="1"/>
        <v>1.75</v>
      </c>
      <c r="C17" s="298">
        <f>ROUND('USPS Base'!AD14*(1+PostalMarkup),2)</f>
        <v>20.53</v>
      </c>
      <c r="D17" s="298">
        <f>ROUND('USPS Base'!AE14*(1+PostalMarkup),2)</f>
        <v>20.76</v>
      </c>
      <c r="E17" s="298">
        <f>ROUND('USPS Base'!AF14*(1+PostalMarkup),2)</f>
        <v>23</v>
      </c>
      <c r="F17" s="298">
        <f>ROUND('USPS Base'!AG14*(1+PostalMarkup),2)</f>
        <v>21.91</v>
      </c>
      <c r="G17" s="298">
        <f>ROUND('USPS Base'!AH14*(1+PostalMarkup),2)</f>
        <v>21.91</v>
      </c>
      <c r="H17" s="298">
        <f>ROUND('USPS Base'!AI14*(1+PostalMarkup),2)</f>
        <v>21.91</v>
      </c>
      <c r="I17" s="298">
        <f>ROUND('USPS Base'!AJ14*(1+PostalMarkup),2)</f>
        <v>22.2</v>
      </c>
      <c r="J17" s="298">
        <f>ROUND('USPS Base'!AK14*(1+PostalMarkup),2)</f>
        <v>24.55</v>
      </c>
      <c r="K17" s="298">
        <f>ROUND('USPS Base'!AL14*(1+PostalMarkup),2)</f>
        <v>25.88</v>
      </c>
      <c r="L17" s="298">
        <f>ROUND('USPS Base'!AM14*(1+PostalMarkup),2)</f>
        <v>22.25</v>
      </c>
      <c r="M17" s="298">
        <f>ROUND('USPS Base'!AN14*(1+PostalMarkup),2)</f>
        <v>27.37</v>
      </c>
      <c r="N17" s="298">
        <f>ROUND('USPS Base'!AO14*(1+PostalMarkup),2)</f>
        <v>25.99</v>
      </c>
      <c r="O17" s="298">
        <f>ROUND('USPS Base'!AP14*(1+PostalMarkup),2)</f>
        <v>28</v>
      </c>
      <c r="P17" s="298">
        <f>ROUND('USPS Base'!AQ14*(1+PostalMarkup),2)</f>
        <v>22.89</v>
      </c>
      <c r="Q17" s="298">
        <f>ROUND('USPS Base'!AR14*(1+PostalMarkup),2)</f>
        <v>25.36</v>
      </c>
      <c r="R17" s="298">
        <f>ROUND('USPS Base'!AS14*(1+PostalMarkup),2)</f>
        <v>23.69</v>
      </c>
      <c r="S17" s="298">
        <f>ROUND('USPS Base'!AT14*(1+PostalMarkup),2)</f>
        <v>24.21</v>
      </c>
      <c r="T17" s="298">
        <f>ROUND('USPS Base'!AU14*(1+PostalMarkup),2)</f>
        <v>25.13</v>
      </c>
      <c r="U17" s="298">
        <f>ROUND('USPS Base'!AV14*(1+PostalMarkup),2)</f>
        <v>23.63</v>
      </c>
      <c r="V17" s="298">
        <f>ROUND('USPS Base'!AW14*(1+PostalMarkup),2)</f>
        <v>24.15</v>
      </c>
    </row>
    <row r="18" ht="12.75" customHeight="1">
      <c r="A18" s="297">
        <v>32.0</v>
      </c>
      <c r="B18" s="298">
        <f t="shared" si="1"/>
        <v>2</v>
      </c>
      <c r="C18" s="298">
        <f>ROUND('USPS Base'!AD15*(1+PostalMarkup),2)</f>
        <v>20.53</v>
      </c>
      <c r="D18" s="298">
        <f>ROUND('USPS Base'!AE15*(1+PostalMarkup),2)</f>
        <v>20.76</v>
      </c>
      <c r="E18" s="298">
        <f>ROUND('USPS Base'!AF15*(1+PostalMarkup),2)</f>
        <v>23</v>
      </c>
      <c r="F18" s="298">
        <f>ROUND('USPS Base'!AG15*(1+PostalMarkup),2)</f>
        <v>21.91</v>
      </c>
      <c r="G18" s="298">
        <f>ROUND('USPS Base'!AH15*(1+PostalMarkup),2)</f>
        <v>21.91</v>
      </c>
      <c r="H18" s="298">
        <f>ROUND('USPS Base'!AI15*(1+PostalMarkup),2)</f>
        <v>21.91</v>
      </c>
      <c r="I18" s="298">
        <f>ROUND('USPS Base'!AJ15*(1+PostalMarkup),2)</f>
        <v>22.2</v>
      </c>
      <c r="J18" s="298">
        <f>ROUND('USPS Base'!AK15*(1+PostalMarkup),2)</f>
        <v>24.55</v>
      </c>
      <c r="K18" s="298">
        <f>ROUND('USPS Base'!AL15*(1+PostalMarkup),2)</f>
        <v>25.88</v>
      </c>
      <c r="L18" s="298">
        <f>ROUND('USPS Base'!AM15*(1+PostalMarkup),2)</f>
        <v>22.25</v>
      </c>
      <c r="M18" s="298">
        <f>ROUND('USPS Base'!AN15*(1+PostalMarkup),2)</f>
        <v>27.37</v>
      </c>
      <c r="N18" s="298">
        <f>ROUND('USPS Base'!AO15*(1+PostalMarkup),2)</f>
        <v>25.99</v>
      </c>
      <c r="O18" s="298">
        <f>ROUND('USPS Base'!AP15*(1+PostalMarkup),2)</f>
        <v>28</v>
      </c>
      <c r="P18" s="298">
        <f>ROUND('USPS Base'!AQ15*(1+PostalMarkup),2)</f>
        <v>22.89</v>
      </c>
      <c r="Q18" s="298">
        <f>ROUND('USPS Base'!AR15*(1+PostalMarkup),2)</f>
        <v>25.36</v>
      </c>
      <c r="R18" s="298">
        <f>ROUND('USPS Base'!AS15*(1+PostalMarkup),2)</f>
        <v>23.69</v>
      </c>
      <c r="S18" s="298">
        <f>ROUND('USPS Base'!AT15*(1+PostalMarkup),2)</f>
        <v>24.21</v>
      </c>
      <c r="T18" s="298">
        <f>ROUND('USPS Base'!AU15*(1+PostalMarkup),2)</f>
        <v>25.13</v>
      </c>
      <c r="U18" s="298">
        <f>ROUND('USPS Base'!AV15*(1+PostalMarkup),2)</f>
        <v>23.63</v>
      </c>
      <c r="V18" s="298">
        <f>ROUND('USPS Base'!AW15*(1+PostalMarkup),2)</f>
        <v>24.15</v>
      </c>
    </row>
    <row r="19" ht="12.75" customHeight="1">
      <c r="A19" s="297">
        <v>36.0</v>
      </c>
      <c r="B19" s="298">
        <f t="shared" si="1"/>
        <v>2.25</v>
      </c>
      <c r="C19" s="298">
        <f>ROUND('USPS Base'!AD16*(1+PostalMarkup),2)</f>
        <v>44.28</v>
      </c>
      <c r="D19" s="298">
        <f>ROUND('USPS Base'!AE16*(1+PostalMarkup),2)</f>
        <v>44.85</v>
      </c>
      <c r="E19" s="298">
        <f>ROUND('USPS Base'!AF16*(1+PostalMarkup),2)</f>
        <v>64.69</v>
      </c>
      <c r="F19" s="298">
        <f>ROUND('USPS Base'!AG16*(1+PostalMarkup),2)</f>
        <v>62.62</v>
      </c>
      <c r="G19" s="298">
        <f>ROUND('USPS Base'!AH16*(1+PostalMarkup),2)</f>
        <v>60.03</v>
      </c>
      <c r="H19" s="298">
        <f>ROUND('USPS Base'!AI16*(1+PostalMarkup),2)</f>
        <v>59.74</v>
      </c>
      <c r="I19" s="298">
        <f>ROUND('USPS Base'!AJ16*(1+PostalMarkup),2)</f>
        <v>56.24</v>
      </c>
      <c r="J19" s="298">
        <f>ROUND('USPS Base'!AK16*(1+PostalMarkup),2)</f>
        <v>57.62</v>
      </c>
      <c r="K19" s="298">
        <f>ROUND('USPS Base'!AL16*(1+PostalMarkup),2)</f>
        <v>62.56</v>
      </c>
      <c r="L19" s="298">
        <f>ROUND('USPS Base'!AM16*(1+PostalMarkup),2)</f>
        <v>57.67</v>
      </c>
      <c r="M19" s="298">
        <f>ROUND('USPS Base'!AN16*(1+PostalMarkup),2)</f>
        <v>64.34</v>
      </c>
      <c r="N19" s="298">
        <f>ROUND('USPS Base'!AO16*(1+PostalMarkup),2)</f>
        <v>75.04</v>
      </c>
      <c r="O19" s="298">
        <f>ROUND('USPS Base'!AP16*(1+PostalMarkup),2)</f>
        <v>64.86</v>
      </c>
      <c r="P19" s="298">
        <f>ROUND('USPS Base'!AQ16*(1+PostalMarkup),2)</f>
        <v>56.12</v>
      </c>
      <c r="Q19" s="298">
        <f>ROUND('USPS Base'!AR16*(1+PostalMarkup),2)</f>
        <v>54.91</v>
      </c>
      <c r="R19" s="298">
        <f>ROUND('USPS Base'!AS16*(1+PostalMarkup),2)</f>
        <v>55.89</v>
      </c>
      <c r="S19" s="298">
        <f>ROUND('USPS Base'!AT16*(1+PostalMarkup),2)</f>
        <v>60.55</v>
      </c>
      <c r="T19" s="298">
        <f>ROUND('USPS Base'!AU16*(1+PostalMarkup),2)</f>
        <v>59.4</v>
      </c>
      <c r="U19" s="298">
        <f>ROUND('USPS Base'!AV16*(1+PostalMarkup),2)</f>
        <v>58.31</v>
      </c>
      <c r="V19" s="298">
        <f>ROUND('USPS Base'!AW16*(1+PostalMarkup),2)</f>
        <v>56.64</v>
      </c>
    </row>
    <row r="20" ht="12.75" customHeight="1">
      <c r="A20" s="297">
        <v>40.0</v>
      </c>
      <c r="B20" s="298">
        <f t="shared" si="1"/>
        <v>2.5</v>
      </c>
      <c r="C20" s="298">
        <f>ROUND('USPS Base'!AD17*(1+PostalMarkup),2)</f>
        <v>44.28</v>
      </c>
      <c r="D20" s="298">
        <f>ROUND('USPS Base'!AE17*(1+PostalMarkup),2)</f>
        <v>44.85</v>
      </c>
      <c r="E20" s="298">
        <f>ROUND('USPS Base'!AF17*(1+PostalMarkup),2)</f>
        <v>64.69</v>
      </c>
      <c r="F20" s="298">
        <f>ROUND('USPS Base'!AG17*(1+PostalMarkup),2)</f>
        <v>62.62</v>
      </c>
      <c r="G20" s="298">
        <f>ROUND('USPS Base'!AH17*(1+PostalMarkup),2)</f>
        <v>60.03</v>
      </c>
      <c r="H20" s="298">
        <f>ROUND('USPS Base'!AI17*(1+PostalMarkup),2)</f>
        <v>59.74</v>
      </c>
      <c r="I20" s="298">
        <f>ROUND('USPS Base'!AJ17*(1+PostalMarkup),2)</f>
        <v>56.24</v>
      </c>
      <c r="J20" s="298">
        <f>ROUND('USPS Base'!AK17*(1+PostalMarkup),2)</f>
        <v>57.62</v>
      </c>
      <c r="K20" s="298">
        <f>ROUND('USPS Base'!AL17*(1+PostalMarkup),2)</f>
        <v>62.56</v>
      </c>
      <c r="L20" s="298">
        <f>ROUND('USPS Base'!AM17*(1+PostalMarkup),2)</f>
        <v>57.67</v>
      </c>
      <c r="M20" s="298">
        <f>ROUND('USPS Base'!AN17*(1+PostalMarkup),2)</f>
        <v>64.34</v>
      </c>
      <c r="N20" s="298">
        <f>ROUND('USPS Base'!AO17*(1+PostalMarkup),2)</f>
        <v>75.04</v>
      </c>
      <c r="O20" s="298">
        <f>ROUND('USPS Base'!AP17*(1+PostalMarkup),2)</f>
        <v>64.86</v>
      </c>
      <c r="P20" s="298">
        <f>ROUND('USPS Base'!AQ17*(1+PostalMarkup),2)</f>
        <v>56.12</v>
      </c>
      <c r="Q20" s="298">
        <f>ROUND('USPS Base'!AR17*(1+PostalMarkup),2)</f>
        <v>54.91</v>
      </c>
      <c r="R20" s="298">
        <f>ROUND('USPS Base'!AS17*(1+PostalMarkup),2)</f>
        <v>55.89</v>
      </c>
      <c r="S20" s="298">
        <f>ROUND('USPS Base'!AT17*(1+PostalMarkup),2)</f>
        <v>60.55</v>
      </c>
      <c r="T20" s="298">
        <f>ROUND('USPS Base'!AU17*(1+PostalMarkup),2)</f>
        <v>59.4</v>
      </c>
      <c r="U20" s="298">
        <f>ROUND('USPS Base'!AV17*(1+PostalMarkup),2)</f>
        <v>58.31</v>
      </c>
      <c r="V20" s="298">
        <f>ROUND('USPS Base'!AW17*(1+PostalMarkup),2)</f>
        <v>56.64</v>
      </c>
    </row>
    <row r="21" ht="12.75" customHeight="1">
      <c r="A21" s="297">
        <v>44.0</v>
      </c>
      <c r="B21" s="298">
        <f t="shared" si="1"/>
        <v>2.75</v>
      </c>
      <c r="C21" s="298">
        <f>ROUND('USPS Base'!AD18*(1+PostalMarkup),2)</f>
        <v>44.28</v>
      </c>
      <c r="D21" s="298">
        <f>ROUND('USPS Base'!AE18*(1+PostalMarkup),2)</f>
        <v>44.85</v>
      </c>
      <c r="E21" s="298">
        <f>ROUND('USPS Base'!AF18*(1+PostalMarkup),2)</f>
        <v>64.69</v>
      </c>
      <c r="F21" s="298">
        <f>ROUND('USPS Base'!AG18*(1+PostalMarkup),2)</f>
        <v>62.62</v>
      </c>
      <c r="G21" s="298">
        <f>ROUND('USPS Base'!AH18*(1+PostalMarkup),2)</f>
        <v>60.03</v>
      </c>
      <c r="H21" s="298">
        <f>ROUND('USPS Base'!AI18*(1+PostalMarkup),2)</f>
        <v>59.74</v>
      </c>
      <c r="I21" s="298">
        <f>ROUND('USPS Base'!AJ18*(1+PostalMarkup),2)</f>
        <v>56.24</v>
      </c>
      <c r="J21" s="298">
        <f>ROUND('USPS Base'!AK18*(1+PostalMarkup),2)</f>
        <v>57.62</v>
      </c>
      <c r="K21" s="298">
        <f>ROUND('USPS Base'!AL18*(1+PostalMarkup),2)</f>
        <v>62.56</v>
      </c>
      <c r="L21" s="298">
        <f>ROUND('USPS Base'!AM18*(1+PostalMarkup),2)</f>
        <v>57.67</v>
      </c>
      <c r="M21" s="298">
        <f>ROUND('USPS Base'!AN18*(1+PostalMarkup),2)</f>
        <v>64.34</v>
      </c>
      <c r="N21" s="298">
        <f>ROUND('USPS Base'!AO18*(1+PostalMarkup),2)</f>
        <v>75.04</v>
      </c>
      <c r="O21" s="298">
        <f>ROUND('USPS Base'!AP18*(1+PostalMarkup),2)</f>
        <v>64.86</v>
      </c>
      <c r="P21" s="298">
        <f>ROUND('USPS Base'!AQ18*(1+PostalMarkup),2)</f>
        <v>56.12</v>
      </c>
      <c r="Q21" s="298">
        <f>ROUND('USPS Base'!AR18*(1+PostalMarkup),2)</f>
        <v>54.91</v>
      </c>
      <c r="R21" s="298">
        <f>ROUND('USPS Base'!AS18*(1+PostalMarkup),2)</f>
        <v>55.89</v>
      </c>
      <c r="S21" s="298">
        <f>ROUND('USPS Base'!AT18*(1+PostalMarkup),2)</f>
        <v>60.55</v>
      </c>
      <c r="T21" s="298">
        <f>ROUND('USPS Base'!AU18*(1+PostalMarkup),2)</f>
        <v>59.4</v>
      </c>
      <c r="U21" s="298">
        <f>ROUND('USPS Base'!AV18*(1+PostalMarkup),2)</f>
        <v>58.31</v>
      </c>
      <c r="V21" s="298">
        <f>ROUND('USPS Base'!AW18*(1+PostalMarkup),2)</f>
        <v>56.64</v>
      </c>
    </row>
    <row r="22" ht="12.75" customHeight="1">
      <c r="A22" s="297">
        <v>48.0</v>
      </c>
      <c r="B22" s="298">
        <f t="shared" si="1"/>
        <v>3</v>
      </c>
      <c r="C22" s="298">
        <f>ROUND('USPS Base'!AD19*(1+PostalMarkup),2)</f>
        <v>44.28</v>
      </c>
      <c r="D22" s="298">
        <f>ROUND('USPS Base'!AE19*(1+PostalMarkup),2)</f>
        <v>44.85</v>
      </c>
      <c r="E22" s="298">
        <f>ROUND('USPS Base'!AF19*(1+PostalMarkup),2)</f>
        <v>64.69</v>
      </c>
      <c r="F22" s="298">
        <f>ROUND('USPS Base'!AG19*(1+PostalMarkup),2)</f>
        <v>62.62</v>
      </c>
      <c r="G22" s="298">
        <f>ROUND('USPS Base'!AH19*(1+PostalMarkup),2)</f>
        <v>60.03</v>
      </c>
      <c r="H22" s="298">
        <f>ROUND('USPS Base'!AI19*(1+PostalMarkup),2)</f>
        <v>59.74</v>
      </c>
      <c r="I22" s="298">
        <f>ROUND('USPS Base'!AJ19*(1+PostalMarkup),2)</f>
        <v>56.24</v>
      </c>
      <c r="J22" s="298">
        <f>ROUND('USPS Base'!AK19*(1+PostalMarkup),2)</f>
        <v>57.62</v>
      </c>
      <c r="K22" s="298">
        <f>ROUND('USPS Base'!AL19*(1+PostalMarkup),2)</f>
        <v>62.56</v>
      </c>
      <c r="L22" s="298">
        <f>ROUND('USPS Base'!AM19*(1+PostalMarkup),2)</f>
        <v>57.67</v>
      </c>
      <c r="M22" s="298">
        <f>ROUND('USPS Base'!AN19*(1+PostalMarkup),2)</f>
        <v>64.34</v>
      </c>
      <c r="N22" s="298">
        <f>ROUND('USPS Base'!AO19*(1+PostalMarkup),2)</f>
        <v>75.04</v>
      </c>
      <c r="O22" s="298">
        <f>ROUND('USPS Base'!AP19*(1+PostalMarkup),2)</f>
        <v>64.86</v>
      </c>
      <c r="P22" s="298">
        <f>ROUND('USPS Base'!AQ19*(1+PostalMarkup),2)</f>
        <v>56.12</v>
      </c>
      <c r="Q22" s="298">
        <f>ROUND('USPS Base'!AR19*(1+PostalMarkup),2)</f>
        <v>54.91</v>
      </c>
      <c r="R22" s="298">
        <f>ROUND('USPS Base'!AS19*(1+PostalMarkup),2)</f>
        <v>55.89</v>
      </c>
      <c r="S22" s="298">
        <f>ROUND('USPS Base'!AT19*(1+PostalMarkup),2)</f>
        <v>60.55</v>
      </c>
      <c r="T22" s="298">
        <f>ROUND('USPS Base'!AU19*(1+PostalMarkup),2)</f>
        <v>59.4</v>
      </c>
      <c r="U22" s="298">
        <f>ROUND('USPS Base'!AV19*(1+PostalMarkup),2)</f>
        <v>58.31</v>
      </c>
      <c r="V22" s="298">
        <f>ROUND('USPS Base'!AW19*(1+PostalMarkup),2)</f>
        <v>56.64</v>
      </c>
    </row>
    <row r="23" ht="12.75" customHeight="1">
      <c r="A23" s="297">
        <v>52.0</v>
      </c>
      <c r="B23" s="298">
        <f t="shared" si="1"/>
        <v>3.25</v>
      </c>
      <c r="C23" s="298">
        <f>ROUND('USPS Base'!AD20*(1+PostalMarkup),2)</f>
        <v>54.74</v>
      </c>
      <c r="D23" s="298">
        <f>ROUND('USPS Base'!AE20*(1+PostalMarkup),2)</f>
        <v>58.71</v>
      </c>
      <c r="E23" s="298">
        <f>ROUND('USPS Base'!AF20*(1+PostalMarkup),2)</f>
        <v>85.5</v>
      </c>
      <c r="F23" s="298">
        <f>ROUND('USPS Base'!AG20*(1+PostalMarkup),2)</f>
        <v>90.05</v>
      </c>
      <c r="G23" s="298">
        <f>ROUND('USPS Base'!AH20*(1+PostalMarkup),2)</f>
        <v>83.49</v>
      </c>
      <c r="H23" s="298">
        <f>ROUND('USPS Base'!AI20*(1+PostalMarkup),2)</f>
        <v>80.33</v>
      </c>
      <c r="I23" s="298">
        <f>ROUND('USPS Base'!AJ20*(1+PostalMarkup),2)</f>
        <v>76.19</v>
      </c>
      <c r="J23" s="298">
        <f>ROUND('USPS Base'!AK20*(1+PostalMarkup),2)</f>
        <v>77.63</v>
      </c>
      <c r="K23" s="298">
        <f>ROUND('USPS Base'!AL20*(1+PostalMarkup),2)</f>
        <v>86.88</v>
      </c>
      <c r="L23" s="298">
        <f>ROUND('USPS Base'!AM20*(1+PostalMarkup),2)</f>
        <v>78.95</v>
      </c>
      <c r="M23" s="298">
        <f>ROUND('USPS Base'!AN20*(1+PostalMarkup),2)</f>
        <v>82.8</v>
      </c>
      <c r="N23" s="298">
        <f>ROUND('USPS Base'!AO20*(1+PostalMarkup),2)</f>
        <v>90.97</v>
      </c>
      <c r="O23" s="298">
        <f>ROUND('USPS Base'!AP20*(1+PostalMarkup),2)</f>
        <v>87.06</v>
      </c>
      <c r="P23" s="298">
        <f>ROUND('USPS Base'!AQ20*(1+PostalMarkup),2)</f>
        <v>76.71</v>
      </c>
      <c r="Q23" s="298">
        <f>ROUND('USPS Base'!AR20*(1+PostalMarkup),2)</f>
        <v>74.81</v>
      </c>
      <c r="R23" s="298">
        <f>ROUND('USPS Base'!AS20*(1+PostalMarkup),2)</f>
        <v>76.19</v>
      </c>
      <c r="S23" s="298">
        <f>ROUND('USPS Base'!AT20*(1+PostalMarkup),2)</f>
        <v>82.69</v>
      </c>
      <c r="T23" s="298">
        <f>ROUND('USPS Base'!AU20*(1+PostalMarkup),2)</f>
        <v>77.4</v>
      </c>
      <c r="U23" s="298">
        <f>ROUND('USPS Base'!AV20*(1+PostalMarkup),2)</f>
        <v>80.5</v>
      </c>
      <c r="V23" s="298">
        <f>ROUND('USPS Base'!AW20*(1+PostalMarkup),2)</f>
        <v>73.89</v>
      </c>
    </row>
    <row r="24" ht="12.75" customHeight="1">
      <c r="A24" s="297">
        <v>56.0</v>
      </c>
      <c r="B24" s="298">
        <f t="shared" si="1"/>
        <v>3.5</v>
      </c>
      <c r="C24" s="298">
        <f>ROUND('USPS Base'!AD21*(1+PostalMarkup),2)</f>
        <v>54.74</v>
      </c>
      <c r="D24" s="298">
        <f>ROUND('USPS Base'!AE21*(1+PostalMarkup),2)</f>
        <v>58.71</v>
      </c>
      <c r="E24" s="298">
        <f>ROUND('USPS Base'!AF21*(1+PostalMarkup),2)</f>
        <v>85.5</v>
      </c>
      <c r="F24" s="298">
        <f>ROUND('USPS Base'!AG21*(1+PostalMarkup),2)</f>
        <v>90.05</v>
      </c>
      <c r="G24" s="298">
        <f>ROUND('USPS Base'!AH21*(1+PostalMarkup),2)</f>
        <v>83.49</v>
      </c>
      <c r="H24" s="298">
        <f>ROUND('USPS Base'!AI21*(1+PostalMarkup),2)</f>
        <v>80.33</v>
      </c>
      <c r="I24" s="298">
        <f>ROUND('USPS Base'!AJ21*(1+PostalMarkup),2)</f>
        <v>76.19</v>
      </c>
      <c r="J24" s="298">
        <f>ROUND('USPS Base'!AK21*(1+PostalMarkup),2)</f>
        <v>77.63</v>
      </c>
      <c r="K24" s="298">
        <f>ROUND('USPS Base'!AL21*(1+PostalMarkup),2)</f>
        <v>86.88</v>
      </c>
      <c r="L24" s="298">
        <f>ROUND('USPS Base'!AM21*(1+PostalMarkup),2)</f>
        <v>78.95</v>
      </c>
      <c r="M24" s="298">
        <f>ROUND('USPS Base'!AN21*(1+PostalMarkup),2)</f>
        <v>82.8</v>
      </c>
      <c r="N24" s="298">
        <f>ROUND('USPS Base'!AO21*(1+PostalMarkup),2)</f>
        <v>90.97</v>
      </c>
      <c r="O24" s="298">
        <f>ROUND('USPS Base'!AP21*(1+PostalMarkup),2)</f>
        <v>87.06</v>
      </c>
      <c r="P24" s="298">
        <f>ROUND('USPS Base'!AQ21*(1+PostalMarkup),2)</f>
        <v>76.71</v>
      </c>
      <c r="Q24" s="298">
        <f>ROUND('USPS Base'!AR21*(1+PostalMarkup),2)</f>
        <v>74.81</v>
      </c>
      <c r="R24" s="298">
        <f>ROUND('USPS Base'!AS21*(1+PostalMarkup),2)</f>
        <v>76.19</v>
      </c>
      <c r="S24" s="298">
        <f>ROUND('USPS Base'!AT21*(1+PostalMarkup),2)</f>
        <v>82.69</v>
      </c>
      <c r="T24" s="298">
        <f>ROUND('USPS Base'!AU21*(1+PostalMarkup),2)</f>
        <v>77.4</v>
      </c>
      <c r="U24" s="298">
        <f>ROUND('USPS Base'!AV21*(1+PostalMarkup),2)</f>
        <v>80.5</v>
      </c>
      <c r="V24" s="298">
        <f>ROUND('USPS Base'!AW21*(1+PostalMarkup),2)</f>
        <v>73.89</v>
      </c>
    </row>
    <row r="25" ht="12.75" customHeight="1">
      <c r="A25" s="297">
        <v>60.0</v>
      </c>
      <c r="B25" s="298">
        <f t="shared" si="1"/>
        <v>3.75</v>
      </c>
      <c r="C25" s="298">
        <f>ROUND('USPS Base'!AD22*(1+PostalMarkup),2)</f>
        <v>54.74</v>
      </c>
      <c r="D25" s="298">
        <f>ROUND('USPS Base'!AE22*(1+PostalMarkup),2)</f>
        <v>58.71</v>
      </c>
      <c r="E25" s="298">
        <f>ROUND('USPS Base'!AF22*(1+PostalMarkup),2)</f>
        <v>85.5</v>
      </c>
      <c r="F25" s="298">
        <f>ROUND('USPS Base'!AG22*(1+PostalMarkup),2)</f>
        <v>90.05</v>
      </c>
      <c r="G25" s="298">
        <f>ROUND('USPS Base'!AH22*(1+PostalMarkup),2)</f>
        <v>83.49</v>
      </c>
      <c r="H25" s="298">
        <f>ROUND('USPS Base'!AI22*(1+PostalMarkup),2)</f>
        <v>80.33</v>
      </c>
      <c r="I25" s="298">
        <f>ROUND('USPS Base'!AJ22*(1+PostalMarkup),2)</f>
        <v>76.19</v>
      </c>
      <c r="J25" s="298">
        <f>ROUND('USPS Base'!AK22*(1+PostalMarkup),2)</f>
        <v>77.63</v>
      </c>
      <c r="K25" s="298">
        <f>ROUND('USPS Base'!AL22*(1+PostalMarkup),2)</f>
        <v>86.88</v>
      </c>
      <c r="L25" s="298">
        <f>ROUND('USPS Base'!AM22*(1+PostalMarkup),2)</f>
        <v>78.95</v>
      </c>
      <c r="M25" s="298">
        <f>ROUND('USPS Base'!AN22*(1+PostalMarkup),2)</f>
        <v>82.8</v>
      </c>
      <c r="N25" s="298">
        <f>ROUND('USPS Base'!AO22*(1+PostalMarkup),2)</f>
        <v>90.97</v>
      </c>
      <c r="O25" s="298">
        <f>ROUND('USPS Base'!AP22*(1+PostalMarkup),2)</f>
        <v>87.06</v>
      </c>
      <c r="P25" s="298">
        <f>ROUND('USPS Base'!AQ22*(1+PostalMarkup),2)</f>
        <v>76.71</v>
      </c>
      <c r="Q25" s="298">
        <f>ROUND('USPS Base'!AR22*(1+PostalMarkup),2)</f>
        <v>74.81</v>
      </c>
      <c r="R25" s="298">
        <f>ROUND('USPS Base'!AS22*(1+PostalMarkup),2)</f>
        <v>76.19</v>
      </c>
      <c r="S25" s="298">
        <f>ROUND('USPS Base'!AT22*(1+PostalMarkup),2)</f>
        <v>82.69</v>
      </c>
      <c r="T25" s="298">
        <f>ROUND('USPS Base'!AU22*(1+PostalMarkup),2)</f>
        <v>77.4</v>
      </c>
      <c r="U25" s="298">
        <f>ROUND('USPS Base'!AV22*(1+PostalMarkup),2)</f>
        <v>80.5</v>
      </c>
      <c r="V25" s="298">
        <f>ROUND('USPS Base'!AW22*(1+PostalMarkup),2)</f>
        <v>73.89</v>
      </c>
    </row>
    <row r="26" ht="12.75" customHeight="1">
      <c r="A26" s="297">
        <v>64.0</v>
      </c>
      <c r="B26" s="298">
        <f t="shared" si="1"/>
        <v>4</v>
      </c>
      <c r="C26" s="298">
        <f>ROUND('USPS Base'!AD23*(1+PostalMarkup),2)</f>
        <v>54.74</v>
      </c>
      <c r="D26" s="298">
        <f>ROUND('USPS Base'!AE23*(1+PostalMarkup),2)</f>
        <v>58.71</v>
      </c>
      <c r="E26" s="298">
        <f>ROUND('USPS Base'!AF23*(1+PostalMarkup),2)</f>
        <v>85.5</v>
      </c>
      <c r="F26" s="298">
        <f>ROUND('USPS Base'!AG23*(1+PostalMarkup),2)</f>
        <v>90.05</v>
      </c>
      <c r="G26" s="298">
        <f>ROUND('USPS Base'!AH23*(1+PostalMarkup),2)</f>
        <v>83.49</v>
      </c>
      <c r="H26" s="298">
        <f>ROUND('USPS Base'!AI23*(1+PostalMarkup),2)</f>
        <v>80.33</v>
      </c>
      <c r="I26" s="298">
        <f>ROUND('USPS Base'!AJ23*(1+PostalMarkup),2)</f>
        <v>76.19</v>
      </c>
      <c r="J26" s="298">
        <f>ROUND('USPS Base'!AK23*(1+PostalMarkup),2)</f>
        <v>77.63</v>
      </c>
      <c r="K26" s="298">
        <f>ROUND('USPS Base'!AL23*(1+PostalMarkup),2)</f>
        <v>86.88</v>
      </c>
      <c r="L26" s="298">
        <f>ROUND('USPS Base'!AM23*(1+PostalMarkup),2)</f>
        <v>78.95</v>
      </c>
      <c r="M26" s="298">
        <f>ROUND('USPS Base'!AN23*(1+PostalMarkup),2)</f>
        <v>82.8</v>
      </c>
      <c r="N26" s="298">
        <f>ROUND('USPS Base'!AO23*(1+PostalMarkup),2)</f>
        <v>90.97</v>
      </c>
      <c r="O26" s="298">
        <f>ROUND('USPS Base'!AP23*(1+PostalMarkup),2)</f>
        <v>87.06</v>
      </c>
      <c r="P26" s="298">
        <f>ROUND('USPS Base'!AQ23*(1+PostalMarkup),2)</f>
        <v>76.71</v>
      </c>
      <c r="Q26" s="298">
        <f>ROUND('USPS Base'!AR23*(1+PostalMarkup),2)</f>
        <v>74.81</v>
      </c>
      <c r="R26" s="298">
        <f>ROUND('USPS Base'!AS23*(1+PostalMarkup),2)</f>
        <v>76.19</v>
      </c>
      <c r="S26" s="298">
        <f>ROUND('USPS Base'!AT23*(1+PostalMarkup),2)</f>
        <v>82.69</v>
      </c>
      <c r="T26" s="298">
        <f>ROUND('USPS Base'!AU23*(1+PostalMarkup),2)</f>
        <v>77.4</v>
      </c>
      <c r="U26" s="298">
        <f>ROUND('USPS Base'!AV23*(1+PostalMarkup),2)</f>
        <v>80.5</v>
      </c>
      <c r="V26" s="298">
        <f>ROUND('USPS Base'!AW23*(1+PostalMarkup),2)</f>
        <v>73.89</v>
      </c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5:V26">
    <cfRule type="expression" dxfId="1" priority="1">
      <formula>MOD(ROW(A5),2)=0</formula>
    </cfRule>
  </conditionalFormatting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8D8D8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11.0"/>
    <col customWidth="1" min="2" max="2" width="8.63"/>
    <col customWidth="1" min="3" max="3" width="7.13"/>
    <col customWidth="1" min="4" max="5" width="9.38"/>
    <col customWidth="1" min="6" max="6" width="7.13"/>
    <col customWidth="1" min="7" max="7" width="9.0"/>
    <col customWidth="1" min="8" max="8" width="7.13"/>
    <col customWidth="1" min="9" max="9" width="6.63"/>
    <col customWidth="1" min="10" max="10" width="9.38"/>
    <col customWidth="1" min="11" max="11" width="9.0"/>
    <col customWidth="1" min="12" max="12" width="6.75"/>
    <col customWidth="1" min="13" max="14" width="8.63"/>
    <col customWidth="1" min="15" max="15" width="9.0"/>
    <col customWidth="1" min="16" max="16" width="8.63"/>
    <col customWidth="1" min="17" max="17" width="9.38"/>
    <col customWidth="1" min="18" max="26" width="8.63"/>
  </cols>
  <sheetData>
    <row r="1" ht="12.75" customHeight="1">
      <c r="A1" s="278" t="s">
        <v>118</v>
      </c>
    </row>
    <row r="2" ht="12.75" customHeight="1">
      <c r="A2" s="270" t="s">
        <v>178</v>
      </c>
    </row>
    <row r="3" ht="12.75" customHeight="1"/>
    <row r="4" ht="12.75" customHeight="1">
      <c r="A4" s="316" t="s">
        <v>72</v>
      </c>
      <c r="B4" s="316" t="s">
        <v>156</v>
      </c>
      <c r="C4" s="316" t="s">
        <v>157</v>
      </c>
      <c r="D4" s="316" t="s">
        <v>158</v>
      </c>
      <c r="E4" s="316" t="s">
        <v>159</v>
      </c>
      <c r="F4" s="316" t="s">
        <v>160</v>
      </c>
      <c r="G4" s="316" t="s">
        <v>161</v>
      </c>
      <c r="H4" s="316" t="s">
        <v>162</v>
      </c>
      <c r="I4" s="316" t="s">
        <v>163</v>
      </c>
      <c r="J4" s="316" t="s">
        <v>164</v>
      </c>
      <c r="K4" s="316" t="s">
        <v>165</v>
      </c>
      <c r="L4" s="316" t="s">
        <v>166</v>
      </c>
      <c r="M4" s="316" t="s">
        <v>167</v>
      </c>
      <c r="N4" s="316" t="s">
        <v>168</v>
      </c>
      <c r="O4" s="316" t="s">
        <v>169</v>
      </c>
      <c r="P4" s="316" t="s">
        <v>170</v>
      </c>
      <c r="Q4" s="316" t="s">
        <v>171</v>
      </c>
      <c r="R4" s="316" t="s">
        <v>172</v>
      </c>
      <c r="S4" s="316" t="s">
        <v>173</v>
      </c>
      <c r="T4" s="316" t="s">
        <v>174</v>
      </c>
      <c r="U4" s="316" t="s">
        <v>175</v>
      </c>
    </row>
    <row r="5" ht="12.75" customHeight="1">
      <c r="A5" s="316" t="s">
        <v>80</v>
      </c>
      <c r="B5" s="316">
        <v>1.0</v>
      </c>
      <c r="C5" s="316">
        <v>2.0</v>
      </c>
      <c r="D5" s="316">
        <v>3.0</v>
      </c>
      <c r="E5" s="316">
        <v>4.0</v>
      </c>
      <c r="F5" s="316">
        <v>5.0</v>
      </c>
      <c r="G5" s="316">
        <v>6.0</v>
      </c>
      <c r="H5" s="316">
        <v>7.0</v>
      </c>
      <c r="I5" s="316">
        <v>8.0</v>
      </c>
      <c r="J5" s="316">
        <v>9.0</v>
      </c>
      <c r="K5" s="316">
        <v>10.0</v>
      </c>
      <c r="L5" s="316">
        <v>11.0</v>
      </c>
      <c r="M5" s="316">
        <v>12.0</v>
      </c>
      <c r="N5" s="316">
        <v>13.0</v>
      </c>
      <c r="O5" s="316">
        <v>14.0</v>
      </c>
      <c r="P5" s="316">
        <v>15.0</v>
      </c>
      <c r="Q5" s="316">
        <v>16.0</v>
      </c>
      <c r="R5" s="316">
        <v>17.0</v>
      </c>
      <c r="S5" s="316">
        <v>18.0</v>
      </c>
      <c r="T5" s="316">
        <v>19.0</v>
      </c>
      <c r="U5" s="316">
        <v>20.0</v>
      </c>
    </row>
    <row r="6" ht="12.75" customHeight="1">
      <c r="A6" s="320">
        <v>1.0</v>
      </c>
      <c r="B6" s="321">
        <f>IF(LEN(USPS_Pri_Int_Base!B2)&gt;0,ROUND(USPS_Pri_Int_Base!B2*(1+PostalMarkup),2),"N/A")</f>
        <v>68.99</v>
      </c>
      <c r="C6" s="321">
        <f>IF(LEN(USPS_Pri_Int_Base!C2)&gt;0,ROUND(USPS_Pri_Int_Base!C2*(1+PostalMarkup),2),"N/A")</f>
        <v>92.79</v>
      </c>
      <c r="D6" s="321">
        <f>IF(LEN(USPS_Pri_Int_Base!D2)&gt;0,ROUND(USPS_Pri_Int_Base!D2*(1+PostalMarkup),2),"N/A")</f>
        <v>87.17</v>
      </c>
      <c r="E6" s="321">
        <f>IF(LEN(USPS_Pri_Int_Base!E2)&gt;0,ROUND(USPS_Pri_Int_Base!E2*(1+PostalMarkup),2),"N/A")</f>
        <v>88.68</v>
      </c>
      <c r="F6" s="321">
        <f>IF(LEN(USPS_Pri_Int_Base!F2)&gt;0,ROUND(USPS_Pri_Int_Base!F2*(1+PostalMarkup),2),"N/A")</f>
        <v>96.12</v>
      </c>
      <c r="G6" s="321">
        <f>IF(LEN(USPS_Pri_Int_Base!G2)&gt;0,ROUND(USPS_Pri_Int_Base!G2*(1+PostalMarkup),2),"N/A")</f>
        <v>87.06</v>
      </c>
      <c r="H6" s="321">
        <f>IF(LEN(USPS_Pri_Int_Base!H2)&gt;0,ROUND(USPS_Pri_Int_Base!H2*(1+PostalMarkup),2),"N/A")</f>
        <v>92.55</v>
      </c>
      <c r="I6" s="321">
        <f>IF(LEN(USPS_Pri_Int_Base!I2)&gt;0,ROUND(USPS_Pri_Int_Base!I2*(1+PostalMarkup),2),"N/A")</f>
        <v>88.35</v>
      </c>
      <c r="J6" s="321">
        <f>IF(LEN(USPS_Pri_Int_Base!J2)&gt;0,ROUND(USPS_Pri_Int_Base!J2*(1+PostalMarkup),2),"N/A")</f>
        <v>90.23</v>
      </c>
      <c r="K6" s="321">
        <f>IF(LEN(USPS_Pri_Int_Base!K2)&gt;0,ROUND(USPS_Pri_Int_Base!K2*(1+PostalMarkup),2),"N/A")</f>
        <v>79.93</v>
      </c>
      <c r="L6" s="321">
        <f>IF(LEN(USPS_Pri_Int_Base!L2)&gt;0,ROUND(USPS_Pri_Int_Base!L2*(1+PostalMarkup),2),"N/A")</f>
        <v>94.96</v>
      </c>
      <c r="M6" s="321">
        <f>IF(LEN(USPS_Pri_Int_Base!M2)&gt;0,ROUND(USPS_Pri_Int_Base!M2*(1+PostalMarkup),2),"N/A")</f>
        <v>98.38</v>
      </c>
      <c r="N6" s="321">
        <f>IF(LEN(USPS_Pri_Int_Base!N2)&gt;0,ROUND(USPS_Pri_Int_Base!N2*(1+PostalMarkup),2),"N/A")</f>
        <v>90.15</v>
      </c>
      <c r="O6" s="321">
        <f>IF(LEN(USPS_Pri_Int_Base!O2)&gt;0,ROUND(USPS_Pri_Int_Base!O2*(1+PostalMarkup),2),"N/A")</f>
        <v>80.52</v>
      </c>
      <c r="P6" s="321">
        <f>IF(LEN(USPS_Pri_Int_Base!P2)&gt;0,ROUND(USPS_Pri_Int_Base!P2*(1+PostalMarkup),2),"N/A")</f>
        <v>90.64</v>
      </c>
      <c r="Q6" s="321">
        <f>IF(LEN(USPS_Pri_Int_Base!Q2)&gt;0,ROUND(USPS_Pri_Int_Base!Q2*(1+PostalMarkup),2),"N/A")</f>
        <v>107.2</v>
      </c>
      <c r="R6" s="321">
        <f>IF(LEN(USPS_Pri_Int_Base!R2)&gt;0,ROUND(USPS_Pri_Int_Base!R2*(1+PostalMarkup),2),"N/A")</f>
        <v>95.48</v>
      </c>
      <c r="S6" s="321">
        <f>IF(LEN(USPS_Pri_Int_Base!S2)&gt;0,ROUND(USPS_Pri_Int_Base!S2*(1+PostalMarkup),2),"N/A")</f>
        <v>90.21</v>
      </c>
      <c r="T6" s="321">
        <f>IF(LEN(USPS_Pri_Int_Base!T2)&gt;0,ROUND(USPS_Pri_Int_Base!T2*(1+PostalMarkup),2),"N/A")</f>
        <v>115.03</v>
      </c>
      <c r="U6" s="321">
        <f>IF(LEN(USPS_Pri_Int_Base!U2)&gt;0,ROUND(USPS_Pri_Int_Base!U2*(1+PostalMarkup),2),"N/A")</f>
        <v>97.44</v>
      </c>
    </row>
    <row r="7" ht="12.75" customHeight="1">
      <c r="A7" s="320">
        <v>2.0</v>
      </c>
      <c r="B7" s="321">
        <f>IF(LEN(USPS_Pri_Int_Base!B3)&gt;0,ROUND(USPS_Pri_Int_Base!B3*(1+PostalMarkup),2),"N/A")</f>
        <v>75.49</v>
      </c>
      <c r="C7" s="321">
        <f>IF(LEN(USPS_Pri_Int_Base!C3)&gt;0,ROUND(USPS_Pri_Int_Base!C3*(1+PostalMarkup),2),"N/A")</f>
        <v>97.21</v>
      </c>
      <c r="D7" s="321">
        <f>IF(LEN(USPS_Pri_Int_Base!D3)&gt;0,ROUND(USPS_Pri_Int_Base!D3*(1+PostalMarkup),2),"N/A")</f>
        <v>94.09</v>
      </c>
      <c r="E7" s="321">
        <f>IF(LEN(USPS_Pri_Int_Base!E3)&gt;0,ROUND(USPS_Pri_Int_Base!E3*(1+PostalMarkup),2),"N/A")</f>
        <v>93.84</v>
      </c>
      <c r="F7" s="321">
        <f>IF(LEN(USPS_Pri_Int_Base!F3)&gt;0,ROUND(USPS_Pri_Int_Base!F3*(1+PostalMarkup),2),"N/A")</f>
        <v>101.27</v>
      </c>
      <c r="G7" s="321">
        <f>IF(LEN(USPS_Pri_Int_Base!G3)&gt;0,ROUND(USPS_Pri_Int_Base!G3*(1+PostalMarkup),2),"N/A")</f>
        <v>93.48</v>
      </c>
      <c r="H7" s="321">
        <f>IF(LEN(USPS_Pri_Int_Base!H3)&gt;0,ROUND(USPS_Pri_Int_Base!H3*(1+PostalMarkup),2),"N/A")</f>
        <v>98.65</v>
      </c>
      <c r="I7" s="321">
        <f>IF(LEN(USPS_Pri_Int_Base!I3)&gt;0,ROUND(USPS_Pri_Int_Base!I3*(1+PostalMarkup),2),"N/A")</f>
        <v>96.99</v>
      </c>
      <c r="J7" s="321">
        <f>IF(LEN(USPS_Pri_Int_Base!J3)&gt;0,ROUND(USPS_Pri_Int_Base!J3*(1+PostalMarkup),2),"N/A")</f>
        <v>98</v>
      </c>
      <c r="K7" s="321">
        <f>IF(LEN(USPS_Pri_Int_Base!K3)&gt;0,ROUND(USPS_Pri_Int_Base!K3*(1+PostalMarkup),2),"N/A")</f>
        <v>85.3</v>
      </c>
      <c r="L7" s="321">
        <f>IF(LEN(USPS_Pri_Int_Base!L3)&gt;0,ROUND(USPS_Pri_Int_Base!L3*(1+PostalMarkup),2),"N/A")</f>
        <v>100.11</v>
      </c>
      <c r="M7" s="321">
        <f>IF(LEN(USPS_Pri_Int_Base!M3)&gt;0,ROUND(USPS_Pri_Int_Base!M3*(1+PostalMarkup),2),"N/A")</f>
        <v>105.85</v>
      </c>
      <c r="N7" s="321">
        <f>IF(LEN(USPS_Pri_Int_Base!N3)&gt;0,ROUND(USPS_Pri_Int_Base!N3*(1+PostalMarkup),2),"N/A")</f>
        <v>96</v>
      </c>
      <c r="O7" s="321">
        <f>IF(LEN(USPS_Pri_Int_Base!O3)&gt;0,ROUND(USPS_Pri_Int_Base!O3*(1+PostalMarkup),2),"N/A")</f>
        <v>88.27</v>
      </c>
      <c r="P7" s="321">
        <f>IF(LEN(USPS_Pri_Int_Base!P3)&gt;0,ROUND(USPS_Pri_Int_Base!P3*(1+PostalMarkup),2),"N/A")</f>
        <v>95.11</v>
      </c>
      <c r="Q7" s="321">
        <f>IF(LEN(USPS_Pri_Int_Base!Q3)&gt;0,ROUND(USPS_Pri_Int_Base!Q3*(1+PostalMarkup),2),"N/A")</f>
        <v>111.95</v>
      </c>
      <c r="R7" s="321">
        <f>IF(LEN(USPS_Pri_Int_Base!R3)&gt;0,ROUND(USPS_Pri_Int_Base!R3*(1+PostalMarkup),2),"N/A")</f>
        <v>100.46</v>
      </c>
      <c r="S7" s="321">
        <f>IF(LEN(USPS_Pri_Int_Base!S3)&gt;0,ROUND(USPS_Pri_Int_Base!S3*(1+PostalMarkup),2),"N/A")</f>
        <v>94.91</v>
      </c>
      <c r="T7" s="321">
        <f>IF(LEN(USPS_Pri_Int_Base!T3)&gt;0,ROUND(USPS_Pri_Int_Base!T3*(1+PostalMarkup),2),"N/A")</f>
        <v>125.71</v>
      </c>
      <c r="U7" s="321">
        <f>IF(LEN(USPS_Pri_Int_Base!U3)&gt;0,ROUND(USPS_Pri_Int_Base!U3*(1+PostalMarkup),2),"N/A")</f>
        <v>101.98</v>
      </c>
    </row>
    <row r="8" ht="12.75" customHeight="1">
      <c r="A8" s="320">
        <v>3.0</v>
      </c>
      <c r="B8" s="321">
        <f>IF(LEN(USPS_Pri_Int_Base!B4)&gt;0,ROUND(USPS_Pri_Int_Base!B4*(1+PostalMarkup),2),"N/A")</f>
        <v>81.98</v>
      </c>
      <c r="C8" s="321">
        <f>IF(LEN(USPS_Pri_Int_Base!C4)&gt;0,ROUND(USPS_Pri_Int_Base!C4*(1+PostalMarkup),2),"N/A")</f>
        <v>103.05</v>
      </c>
      <c r="D8" s="321">
        <f>IF(LEN(USPS_Pri_Int_Base!D4)&gt;0,ROUND(USPS_Pri_Int_Base!D4*(1+PostalMarkup),2),"N/A")</f>
        <v>101.02</v>
      </c>
      <c r="E8" s="321">
        <f>IF(LEN(USPS_Pri_Int_Base!E4)&gt;0,ROUND(USPS_Pri_Int_Base!E4*(1+PostalMarkup),2),"N/A")</f>
        <v>100.52</v>
      </c>
      <c r="F8" s="321">
        <f>IF(LEN(USPS_Pri_Int_Base!F4)&gt;0,ROUND(USPS_Pri_Int_Base!F4*(1+PostalMarkup),2),"N/A")</f>
        <v>107.57</v>
      </c>
      <c r="G8" s="321">
        <f>IF(LEN(USPS_Pri_Int_Base!G4)&gt;0,ROUND(USPS_Pri_Int_Base!G4*(1+PostalMarkup),2),"N/A")</f>
        <v>99.91</v>
      </c>
      <c r="H8" s="321">
        <f>IF(LEN(USPS_Pri_Int_Base!H4)&gt;0,ROUND(USPS_Pri_Int_Base!H4*(1+PostalMarkup),2),"N/A")</f>
        <v>106.34</v>
      </c>
      <c r="I8" s="321">
        <f>IF(LEN(USPS_Pri_Int_Base!I4)&gt;0,ROUND(USPS_Pri_Int_Base!I4*(1+PostalMarkup),2),"N/A")</f>
        <v>105.64</v>
      </c>
      <c r="J8" s="321">
        <f>IF(LEN(USPS_Pri_Int_Base!J4)&gt;0,ROUND(USPS_Pri_Int_Base!J4*(1+PostalMarkup),2),"N/A")</f>
        <v>106.74</v>
      </c>
      <c r="K8" s="321">
        <f>IF(LEN(USPS_Pri_Int_Base!K4)&gt;0,ROUND(USPS_Pri_Int_Base!K4*(1+PostalMarkup),2),"N/A")</f>
        <v>92.55</v>
      </c>
      <c r="L8" s="321">
        <f>IF(LEN(USPS_Pri_Int_Base!L4)&gt;0,ROUND(USPS_Pri_Int_Base!L4*(1+PostalMarkup),2),"N/A")</f>
        <v>107.42</v>
      </c>
      <c r="M8" s="321">
        <f>IF(LEN(USPS_Pri_Int_Base!M4)&gt;0,ROUND(USPS_Pri_Int_Base!M4*(1+PostalMarkup),2),"N/A")</f>
        <v>115.21</v>
      </c>
      <c r="N8" s="321">
        <f>IF(LEN(USPS_Pri_Int_Base!N4)&gt;0,ROUND(USPS_Pri_Int_Base!N4*(1+PostalMarkup),2),"N/A")</f>
        <v>101.86</v>
      </c>
      <c r="O8" s="321">
        <f>IF(LEN(USPS_Pri_Int_Base!O4)&gt;0,ROUND(USPS_Pri_Int_Base!O4*(1+PostalMarkup),2),"N/A")</f>
        <v>96.05</v>
      </c>
      <c r="P8" s="321">
        <f>IF(LEN(USPS_Pri_Int_Base!P4)&gt;0,ROUND(USPS_Pri_Int_Base!P4*(1+PostalMarkup),2),"N/A")</f>
        <v>100.76</v>
      </c>
      <c r="Q8" s="321">
        <f>IF(LEN(USPS_Pri_Int_Base!Q4)&gt;0,ROUND(USPS_Pri_Int_Base!Q4*(1+PostalMarkup),2),"N/A")</f>
        <v>117.82</v>
      </c>
      <c r="R8" s="321">
        <f>IF(LEN(USPS_Pri_Int_Base!R4)&gt;0,ROUND(USPS_Pri_Int_Base!R4*(1+PostalMarkup),2),"N/A")</f>
        <v>107.33</v>
      </c>
      <c r="S8" s="321">
        <f>IF(LEN(USPS_Pri_Int_Base!S4)&gt;0,ROUND(USPS_Pri_Int_Base!S4*(1+PostalMarkup),2),"N/A")</f>
        <v>100.94</v>
      </c>
      <c r="T8" s="321">
        <f>IF(LEN(USPS_Pri_Int_Base!T4)&gt;0,ROUND(USPS_Pri_Int_Base!T4*(1+PostalMarkup),2),"N/A")</f>
        <v>134.7</v>
      </c>
      <c r="U8" s="321">
        <f>IF(LEN(USPS_Pri_Int_Base!U4)&gt;0,ROUND(USPS_Pri_Int_Base!U4*(1+PostalMarkup),2),"N/A")</f>
        <v>107.64</v>
      </c>
    </row>
    <row r="9" ht="12.75" customHeight="1">
      <c r="A9" s="320">
        <v>4.0</v>
      </c>
      <c r="B9" s="321">
        <f>IF(LEN(USPS_Pri_Int_Base!B5)&gt;0,ROUND(USPS_Pri_Int_Base!B5*(1+PostalMarkup),2),"N/A")</f>
        <v>88.48</v>
      </c>
      <c r="C9" s="321">
        <f>IF(LEN(USPS_Pri_Int_Base!C5)&gt;0,ROUND(USPS_Pri_Int_Base!C5*(1+PostalMarkup),2),"N/A")</f>
        <v>108.84</v>
      </c>
      <c r="D9" s="321">
        <f>IF(LEN(USPS_Pri_Int_Base!D5)&gt;0,ROUND(USPS_Pri_Int_Base!D5*(1+PostalMarkup),2),"N/A")</f>
        <v>107.94</v>
      </c>
      <c r="E9" s="321">
        <f>IF(LEN(USPS_Pri_Int_Base!E5)&gt;0,ROUND(USPS_Pri_Int_Base!E5*(1+PostalMarkup),2),"N/A")</f>
        <v>107.23</v>
      </c>
      <c r="F9" s="321">
        <f>IF(LEN(USPS_Pri_Int_Base!F5)&gt;0,ROUND(USPS_Pri_Int_Base!F5*(1+PostalMarkup),2),"N/A")</f>
        <v>114.07</v>
      </c>
      <c r="G9" s="321">
        <f>IF(LEN(USPS_Pri_Int_Base!G5)&gt;0,ROUND(USPS_Pri_Int_Base!G5*(1+PostalMarkup),2),"N/A")</f>
        <v>106.33</v>
      </c>
      <c r="H9" s="321">
        <f>IF(LEN(USPS_Pri_Int_Base!H5)&gt;0,ROUND(USPS_Pri_Int_Base!H5*(1+PostalMarkup),2),"N/A")</f>
        <v>114.3</v>
      </c>
      <c r="I9" s="321">
        <f>IF(LEN(USPS_Pri_Int_Base!I5)&gt;0,ROUND(USPS_Pri_Int_Base!I5*(1+PostalMarkup),2),"N/A")</f>
        <v>114.29</v>
      </c>
      <c r="J9" s="321">
        <f>IF(LEN(USPS_Pri_Int_Base!J5)&gt;0,ROUND(USPS_Pri_Int_Base!J5*(1+PostalMarkup),2),"N/A")</f>
        <v>116.58</v>
      </c>
      <c r="K9" s="321">
        <f>IF(LEN(USPS_Pri_Int_Base!K5)&gt;0,ROUND(USPS_Pri_Int_Base!K5*(1+PostalMarkup),2),"N/A")</f>
        <v>99.69</v>
      </c>
      <c r="L9" s="321">
        <f>IF(LEN(USPS_Pri_Int_Base!L5)&gt;0,ROUND(USPS_Pri_Int_Base!L5*(1+PostalMarkup),2),"N/A")</f>
        <v>114.78</v>
      </c>
      <c r="M9" s="321">
        <f>IF(LEN(USPS_Pri_Int_Base!M5)&gt;0,ROUND(USPS_Pri_Int_Base!M5*(1+PostalMarkup),2),"N/A")</f>
        <v>124.56</v>
      </c>
      <c r="N9" s="321">
        <f>IF(LEN(USPS_Pri_Int_Base!N5)&gt;0,ROUND(USPS_Pri_Int_Base!N5*(1+PostalMarkup),2),"N/A")</f>
        <v>108.5</v>
      </c>
      <c r="O9" s="321">
        <f>IF(LEN(USPS_Pri_Int_Base!O5)&gt;0,ROUND(USPS_Pri_Int_Base!O5*(1+PostalMarkup),2),"N/A")</f>
        <v>103.81</v>
      </c>
      <c r="P9" s="321">
        <f>IF(LEN(USPS_Pri_Int_Base!P5)&gt;0,ROUND(USPS_Pri_Int_Base!P5*(1+PostalMarkup),2),"N/A")</f>
        <v>106.43</v>
      </c>
      <c r="Q9" s="321">
        <f>IF(LEN(USPS_Pri_Int_Base!Q5)&gt;0,ROUND(USPS_Pri_Int_Base!Q5*(1+PostalMarkup),2),"N/A")</f>
        <v>123.82</v>
      </c>
      <c r="R9" s="321">
        <f>IF(LEN(USPS_Pri_Int_Base!R5)&gt;0,ROUND(USPS_Pri_Int_Base!R5*(1+PostalMarkup),2),"N/A")</f>
        <v>113.75</v>
      </c>
      <c r="S9" s="321">
        <f>IF(LEN(USPS_Pri_Int_Base!S5)&gt;0,ROUND(USPS_Pri_Int_Base!S5*(1+PostalMarkup),2),"N/A")</f>
        <v>106.98</v>
      </c>
      <c r="T9" s="321">
        <f>IF(LEN(USPS_Pri_Int_Base!T5)&gt;0,ROUND(USPS_Pri_Int_Base!T5*(1+PostalMarkup),2),"N/A")</f>
        <v>141.08</v>
      </c>
      <c r="U9" s="321">
        <f>IF(LEN(USPS_Pri_Int_Base!U5)&gt;0,ROUND(USPS_Pri_Int_Base!U5*(1+PostalMarkup),2),"N/A")</f>
        <v>113.39</v>
      </c>
    </row>
    <row r="10" ht="12.75" customHeight="1">
      <c r="A10" s="320">
        <v>5.0</v>
      </c>
      <c r="B10" s="321">
        <f>IF(LEN(USPS_Pri_Int_Base!B6)&gt;0,ROUND(USPS_Pri_Int_Base!B6*(1+PostalMarkup),2),"N/A")</f>
        <v>96.81</v>
      </c>
      <c r="C10" s="321">
        <f>IF(LEN(USPS_Pri_Int_Base!C6)&gt;0,ROUND(USPS_Pri_Int_Base!C6*(1+PostalMarkup),2),"N/A")</f>
        <v>114.54</v>
      </c>
      <c r="D10" s="321">
        <f>IF(LEN(USPS_Pri_Int_Base!D6)&gt;0,ROUND(USPS_Pri_Int_Base!D6*(1+PostalMarkup),2),"N/A")</f>
        <v>114.9</v>
      </c>
      <c r="E10" s="321">
        <f>IF(LEN(USPS_Pri_Int_Base!E6)&gt;0,ROUND(USPS_Pri_Int_Base!E6*(1+PostalMarkup),2),"N/A")</f>
        <v>114.06</v>
      </c>
      <c r="F10" s="321">
        <f>IF(LEN(USPS_Pri_Int_Base!F6)&gt;0,ROUND(USPS_Pri_Int_Base!F6*(1+PostalMarkup),2),"N/A")</f>
        <v>120.55</v>
      </c>
      <c r="G10" s="321">
        <f>IF(LEN(USPS_Pri_Int_Base!G6)&gt;0,ROUND(USPS_Pri_Int_Base!G6*(1+PostalMarkup),2),"N/A")</f>
        <v>113.91</v>
      </c>
      <c r="H10" s="321">
        <f>IF(LEN(USPS_Pri_Int_Base!H6)&gt;0,ROUND(USPS_Pri_Int_Base!H6*(1+PostalMarkup),2),"N/A")</f>
        <v>122.19</v>
      </c>
      <c r="I10" s="321">
        <f>IF(LEN(USPS_Pri_Int_Base!I6)&gt;0,ROUND(USPS_Pri_Int_Base!I6*(1+PostalMarkup),2),"N/A")</f>
        <v>122.9</v>
      </c>
      <c r="J10" s="321">
        <f>IF(LEN(USPS_Pri_Int_Base!J6)&gt;0,ROUND(USPS_Pri_Int_Base!J6*(1+PostalMarkup),2),"N/A")</f>
        <v>124.94</v>
      </c>
      <c r="K10" s="321">
        <f>IF(LEN(USPS_Pri_Int_Base!K6)&gt;0,ROUND(USPS_Pri_Int_Base!K6*(1+PostalMarkup),2),"N/A")</f>
        <v>107.18</v>
      </c>
      <c r="L10" s="321">
        <f>IF(LEN(USPS_Pri_Int_Base!L6)&gt;0,ROUND(USPS_Pri_Int_Base!L6*(1+PostalMarkup),2),"N/A")</f>
        <v>121.85</v>
      </c>
      <c r="M10" s="321">
        <f>IF(LEN(USPS_Pri_Int_Base!M6)&gt;0,ROUND(USPS_Pri_Int_Base!M6*(1+PostalMarkup),2),"N/A")</f>
        <v>133.99</v>
      </c>
      <c r="N10" s="321">
        <f>IF(LEN(USPS_Pri_Int_Base!N6)&gt;0,ROUND(USPS_Pri_Int_Base!N6*(1+PostalMarkup),2),"N/A")</f>
        <v>115.39</v>
      </c>
      <c r="O10" s="321">
        <f>IF(LEN(USPS_Pri_Int_Base!O6)&gt;0,ROUND(USPS_Pri_Int_Base!O6*(1+PostalMarkup),2),"N/A")</f>
        <v>111.56</v>
      </c>
      <c r="P10" s="321">
        <f>IF(LEN(USPS_Pri_Int_Base!P6)&gt;0,ROUND(USPS_Pri_Int_Base!P6*(1+PostalMarkup),2),"N/A")</f>
        <v>112.13</v>
      </c>
      <c r="Q10" s="321">
        <f>IF(LEN(USPS_Pri_Int_Base!Q6)&gt;0,ROUND(USPS_Pri_Int_Base!Q6*(1+PostalMarkup),2),"N/A")</f>
        <v>129.78</v>
      </c>
      <c r="R10" s="321">
        <f>IF(LEN(USPS_Pri_Int_Base!R6)&gt;0,ROUND(USPS_Pri_Int_Base!R6*(1+PostalMarkup),2),"N/A")</f>
        <v>119.99</v>
      </c>
      <c r="S10" s="321">
        <f>IF(LEN(USPS_Pri_Int_Base!S6)&gt;0,ROUND(USPS_Pri_Int_Base!S6*(1+PostalMarkup),2),"N/A")</f>
        <v>113.14</v>
      </c>
      <c r="T10" s="321">
        <f>IF(LEN(USPS_Pri_Int_Base!T6)&gt;0,ROUND(USPS_Pri_Int_Base!T6*(1+PostalMarkup),2),"N/A")</f>
        <v>152.69</v>
      </c>
      <c r="U10" s="321">
        <f>IF(LEN(USPS_Pri_Int_Base!U6)&gt;0,ROUND(USPS_Pri_Int_Base!U6*(1+PostalMarkup),2),"N/A")</f>
        <v>119.11</v>
      </c>
    </row>
    <row r="11" ht="12.75" customHeight="1">
      <c r="A11" s="320">
        <v>6.0</v>
      </c>
      <c r="B11" s="321">
        <f>IF(LEN(USPS_Pri_Int_Base!B7)&gt;0,ROUND(USPS_Pri_Int_Base!B7*(1+PostalMarkup),2),"N/A")</f>
        <v>105.03</v>
      </c>
      <c r="C11" s="321">
        <f>IF(LEN(USPS_Pri_Int_Base!C7)&gt;0,ROUND(USPS_Pri_Int_Base!C7*(1+PostalMarkup),2),"N/A")</f>
        <v>120.27</v>
      </c>
      <c r="D11" s="321">
        <f>IF(LEN(USPS_Pri_Int_Base!D7)&gt;0,ROUND(USPS_Pri_Int_Base!D7*(1+PostalMarkup),2),"N/A")</f>
        <v>121.68</v>
      </c>
      <c r="E11" s="321">
        <f>IF(LEN(USPS_Pri_Int_Base!E7)&gt;0,ROUND(USPS_Pri_Int_Base!E7*(1+PostalMarkup),2),"N/A")</f>
        <v>120.65</v>
      </c>
      <c r="F11" s="321">
        <f>IF(LEN(USPS_Pri_Int_Base!F7)&gt;0,ROUND(USPS_Pri_Int_Base!F7*(1+PostalMarkup),2),"N/A")</f>
        <v>127.11</v>
      </c>
      <c r="G11" s="321">
        <f>IF(LEN(USPS_Pri_Int_Base!G7)&gt;0,ROUND(USPS_Pri_Int_Base!G7*(1+PostalMarkup),2),"N/A")</f>
        <v>121.57</v>
      </c>
      <c r="H11" s="321">
        <f>IF(LEN(USPS_Pri_Int_Base!H7)&gt;0,ROUND(USPS_Pri_Int_Base!H7*(1+PostalMarkup),2),"N/A")</f>
        <v>130.25</v>
      </c>
      <c r="I11" s="321">
        <f>IF(LEN(USPS_Pri_Int_Base!I7)&gt;0,ROUND(USPS_Pri_Int_Base!I7*(1+PostalMarkup),2),"N/A")</f>
        <v>131.42</v>
      </c>
      <c r="J11" s="321">
        <f>IF(LEN(USPS_Pri_Int_Base!J7)&gt;0,ROUND(USPS_Pri_Int_Base!J7*(1+PostalMarkup),2),"N/A")</f>
        <v>134.09</v>
      </c>
      <c r="K11" s="321">
        <f>IF(LEN(USPS_Pri_Int_Base!K7)&gt;0,ROUND(USPS_Pri_Int_Base!K7*(1+PostalMarkup),2),"N/A")</f>
        <v>114.4</v>
      </c>
      <c r="L11" s="321">
        <f>IF(LEN(USPS_Pri_Int_Base!L7)&gt;0,ROUND(USPS_Pri_Int_Base!L7*(1+PostalMarkup),2),"N/A")</f>
        <v>128.94</v>
      </c>
      <c r="M11" s="321">
        <f>IF(LEN(USPS_Pri_Int_Base!M7)&gt;0,ROUND(USPS_Pri_Int_Base!M7*(1+PostalMarkup),2),"N/A")</f>
        <v>155.7</v>
      </c>
      <c r="N11" s="321">
        <f>IF(LEN(USPS_Pri_Int_Base!N7)&gt;0,ROUND(USPS_Pri_Int_Base!N7*(1+PostalMarkup),2),"N/A")</f>
        <v>121.76</v>
      </c>
      <c r="O11" s="321">
        <f>IF(LEN(USPS_Pri_Int_Base!O7)&gt;0,ROUND(USPS_Pri_Int_Base!O7*(1+PostalMarkup),2),"N/A")</f>
        <v>118.62</v>
      </c>
      <c r="P11" s="321">
        <f>IF(LEN(USPS_Pri_Int_Base!P7)&gt;0,ROUND(USPS_Pri_Int_Base!P7*(1+PostalMarkup),2),"N/A")</f>
        <v>117.92</v>
      </c>
      <c r="Q11" s="321">
        <f>IF(LEN(USPS_Pri_Int_Base!Q7)&gt;0,ROUND(USPS_Pri_Int_Base!Q7*(1+PostalMarkup),2),"N/A")</f>
        <v>135.63</v>
      </c>
      <c r="R11" s="321">
        <f>IF(LEN(USPS_Pri_Int_Base!R7)&gt;0,ROUND(USPS_Pri_Int_Base!R7*(1+PostalMarkup),2),"N/A")</f>
        <v>126.72</v>
      </c>
      <c r="S11" s="321">
        <f>IF(LEN(USPS_Pri_Int_Base!S7)&gt;0,ROUND(USPS_Pri_Int_Base!S7*(1+PostalMarkup),2),"N/A")</f>
        <v>119.09</v>
      </c>
      <c r="T11" s="321">
        <f>IF(LEN(USPS_Pri_Int_Base!T7)&gt;0,ROUND(USPS_Pri_Int_Base!T7*(1+PostalMarkup),2),"N/A")</f>
        <v>161.67</v>
      </c>
      <c r="U11" s="321">
        <f>IF(LEN(USPS_Pri_Int_Base!U7)&gt;0,ROUND(USPS_Pri_Int_Base!U7*(1+PostalMarkup),2),"N/A")</f>
        <v>124.98</v>
      </c>
    </row>
    <row r="12" ht="12.75" customHeight="1">
      <c r="A12" s="320">
        <v>7.0</v>
      </c>
      <c r="B12" s="321">
        <f>IF(LEN(USPS_Pri_Int_Base!B8)&gt;0,ROUND(USPS_Pri_Int_Base!B8*(1+PostalMarkup),2),"N/A")</f>
        <v>113.63</v>
      </c>
      <c r="C12" s="321">
        <f>IF(LEN(USPS_Pri_Int_Base!C8)&gt;0,ROUND(USPS_Pri_Int_Base!C8*(1+PostalMarkup),2),"N/A")</f>
        <v>125.98</v>
      </c>
      <c r="D12" s="321">
        <f>IF(LEN(USPS_Pri_Int_Base!D8)&gt;0,ROUND(USPS_Pri_Int_Base!D8*(1+PostalMarkup),2),"N/A")</f>
        <v>128.62</v>
      </c>
      <c r="E12" s="321">
        <f>IF(LEN(USPS_Pri_Int_Base!E8)&gt;0,ROUND(USPS_Pri_Int_Base!E8*(1+PostalMarkup),2),"N/A")</f>
        <v>127.51</v>
      </c>
      <c r="F12" s="321">
        <f>IF(LEN(USPS_Pri_Int_Base!F8)&gt;0,ROUND(USPS_Pri_Int_Base!F8*(1+PostalMarkup),2),"N/A")</f>
        <v>133.26</v>
      </c>
      <c r="G12" s="321">
        <f>IF(LEN(USPS_Pri_Int_Base!G8)&gt;0,ROUND(USPS_Pri_Int_Base!G8*(1+PostalMarkup),2),"N/A")</f>
        <v>129.28</v>
      </c>
      <c r="H12" s="321">
        <f>IF(LEN(USPS_Pri_Int_Base!H8)&gt;0,ROUND(USPS_Pri_Int_Base!H8*(1+PostalMarkup),2),"N/A")</f>
        <v>137.98</v>
      </c>
      <c r="I12" s="321">
        <f>IF(LEN(USPS_Pri_Int_Base!I8)&gt;0,ROUND(USPS_Pri_Int_Base!I8*(1+PostalMarkup),2),"N/A")</f>
        <v>140.07</v>
      </c>
      <c r="J12" s="321">
        <f>IF(LEN(USPS_Pri_Int_Base!J8)&gt;0,ROUND(USPS_Pri_Int_Base!J8*(1+PostalMarkup),2),"N/A")</f>
        <v>143.42</v>
      </c>
      <c r="K12" s="321">
        <f>IF(LEN(USPS_Pri_Int_Base!K8)&gt;0,ROUND(USPS_Pri_Int_Base!K8*(1+PostalMarkup),2),"N/A")</f>
        <v>120.92</v>
      </c>
      <c r="L12" s="321">
        <f>IF(LEN(USPS_Pri_Int_Base!L8)&gt;0,ROUND(USPS_Pri_Int_Base!L8*(1+PostalMarkup),2),"N/A")</f>
        <v>136.19</v>
      </c>
      <c r="M12" s="321">
        <f>IF(LEN(USPS_Pri_Int_Base!M8)&gt;0,ROUND(USPS_Pri_Int_Base!M8*(1+PostalMarkup),2),"N/A")</f>
        <v>165.78</v>
      </c>
      <c r="N12" s="321">
        <f>IF(LEN(USPS_Pri_Int_Base!N8)&gt;0,ROUND(USPS_Pri_Int_Base!N8*(1+PostalMarkup),2),"N/A")</f>
        <v>127.78</v>
      </c>
      <c r="O12" s="321">
        <f>IF(LEN(USPS_Pri_Int_Base!O8)&gt;0,ROUND(USPS_Pri_Int_Base!O8*(1+PostalMarkup),2),"N/A")</f>
        <v>126.44</v>
      </c>
      <c r="P12" s="321">
        <f>IF(LEN(USPS_Pri_Int_Base!P8)&gt;0,ROUND(USPS_Pri_Int_Base!P8*(1+PostalMarkup),2),"N/A")</f>
        <v>123.59</v>
      </c>
      <c r="Q12" s="321">
        <f>IF(LEN(USPS_Pri_Int_Base!Q8)&gt;0,ROUND(USPS_Pri_Int_Base!Q8*(1+PostalMarkup),2),"N/A")</f>
        <v>141.78</v>
      </c>
      <c r="R12" s="321">
        <f>IF(LEN(USPS_Pri_Int_Base!R8)&gt;0,ROUND(USPS_Pri_Int_Base!R8*(1+PostalMarkup),2),"N/A")</f>
        <v>133.25</v>
      </c>
      <c r="S12" s="321">
        <f>IF(LEN(USPS_Pri_Int_Base!S8)&gt;0,ROUND(USPS_Pri_Int_Base!S8*(1+PostalMarkup),2),"N/A")</f>
        <v>125.3</v>
      </c>
      <c r="T12" s="321">
        <f>IF(LEN(USPS_Pri_Int_Base!T8)&gt;0,ROUND(USPS_Pri_Int_Base!T8*(1+PostalMarkup),2),"N/A")</f>
        <v>170.66</v>
      </c>
      <c r="U12" s="321">
        <f>IF(LEN(USPS_Pri_Int_Base!U8)&gt;0,ROUND(USPS_Pri_Int_Base!U8*(1+PostalMarkup),2),"N/A")</f>
        <v>130.86</v>
      </c>
    </row>
    <row r="13" ht="12.75" customHeight="1">
      <c r="A13" s="320">
        <v>8.0</v>
      </c>
      <c r="B13" s="321">
        <f>IF(LEN(USPS_Pri_Int_Base!B9)&gt;0,ROUND(USPS_Pri_Int_Base!B9*(1+PostalMarkup),2),"N/A")</f>
        <v>121.45</v>
      </c>
      <c r="C13" s="321">
        <f>IF(LEN(USPS_Pri_Int_Base!C9)&gt;0,ROUND(USPS_Pri_Int_Base!C9*(1+PostalMarkup),2),"N/A")</f>
        <v>131.72</v>
      </c>
      <c r="D13" s="321">
        <f>IF(LEN(USPS_Pri_Int_Base!D9)&gt;0,ROUND(USPS_Pri_Int_Base!D9*(1+PostalMarkup),2),"N/A")</f>
        <v>135.52</v>
      </c>
      <c r="E13" s="321">
        <f>IF(LEN(USPS_Pri_Int_Base!E9)&gt;0,ROUND(USPS_Pri_Int_Base!E9*(1+PostalMarkup),2),"N/A")</f>
        <v>134.23</v>
      </c>
      <c r="F13" s="321">
        <f>IF(LEN(USPS_Pri_Int_Base!F9)&gt;0,ROUND(USPS_Pri_Int_Base!F9*(1+PostalMarkup),2),"N/A")</f>
        <v>139.93</v>
      </c>
      <c r="G13" s="321">
        <f>IF(LEN(USPS_Pri_Int_Base!G9)&gt;0,ROUND(USPS_Pri_Int_Base!G9*(1+PostalMarkup),2),"N/A")</f>
        <v>136.98</v>
      </c>
      <c r="H13" s="321">
        <f>IF(LEN(USPS_Pri_Int_Base!H9)&gt;0,ROUND(USPS_Pri_Int_Base!H9*(1+PostalMarkup),2),"N/A")</f>
        <v>145.98</v>
      </c>
      <c r="I13" s="321">
        <f>IF(LEN(USPS_Pri_Int_Base!I9)&gt;0,ROUND(USPS_Pri_Int_Base!I9*(1+PostalMarkup),2),"N/A")</f>
        <v>148.67</v>
      </c>
      <c r="J13" s="321">
        <f>IF(LEN(USPS_Pri_Int_Base!J9)&gt;0,ROUND(USPS_Pri_Int_Base!J9*(1+PostalMarkup),2),"N/A")</f>
        <v>152.54</v>
      </c>
      <c r="K13" s="321">
        <f>IF(LEN(USPS_Pri_Int_Base!K9)&gt;0,ROUND(USPS_Pri_Int_Base!K9*(1+PostalMarkup),2),"N/A")</f>
        <v>128.46</v>
      </c>
      <c r="L13" s="321">
        <f>IF(LEN(USPS_Pri_Int_Base!L9)&gt;0,ROUND(USPS_Pri_Int_Base!L9*(1+PostalMarkup),2),"N/A")</f>
        <v>143.35</v>
      </c>
      <c r="M13" s="321">
        <f>IF(LEN(USPS_Pri_Int_Base!M9)&gt;0,ROUND(USPS_Pri_Int_Base!M9*(1+PostalMarkup),2),"N/A")</f>
        <v>175.81</v>
      </c>
      <c r="N13" s="321">
        <f>IF(LEN(USPS_Pri_Int_Base!N9)&gt;0,ROUND(USPS_Pri_Int_Base!N9*(1+PostalMarkup),2),"N/A")</f>
        <v>134.17</v>
      </c>
      <c r="O13" s="321">
        <f>IF(LEN(USPS_Pri_Int_Base!O9)&gt;0,ROUND(USPS_Pri_Int_Base!O9*(1+PostalMarkup),2),"N/A")</f>
        <v>134.26</v>
      </c>
      <c r="P13" s="321">
        <f>IF(LEN(USPS_Pri_Int_Base!P9)&gt;0,ROUND(USPS_Pri_Int_Base!P9*(1+PostalMarkup),2),"N/A")</f>
        <v>129.43</v>
      </c>
      <c r="Q13" s="321">
        <f>IF(LEN(USPS_Pri_Int_Base!Q9)&gt;0,ROUND(USPS_Pri_Int_Base!Q9*(1+PostalMarkup),2),"N/A")</f>
        <v>147.81</v>
      </c>
      <c r="R13" s="321">
        <f>IF(LEN(USPS_Pri_Int_Base!R9)&gt;0,ROUND(USPS_Pri_Int_Base!R9*(1+PostalMarkup),2),"N/A")</f>
        <v>139.89</v>
      </c>
      <c r="S13" s="321">
        <f>IF(LEN(USPS_Pri_Int_Base!S9)&gt;0,ROUND(USPS_Pri_Int_Base!S9*(1+PostalMarkup),2),"N/A")</f>
        <v>131.35</v>
      </c>
      <c r="T13" s="321">
        <f>IF(LEN(USPS_Pri_Int_Base!T9)&gt;0,ROUND(USPS_Pri_Int_Base!T9*(1+PostalMarkup),2),"N/A")</f>
        <v>179.65</v>
      </c>
      <c r="U13" s="321">
        <f>IF(LEN(USPS_Pri_Int_Base!U9)&gt;0,ROUND(USPS_Pri_Int_Base!U9*(1+PostalMarkup),2),"N/A")</f>
        <v>136.72</v>
      </c>
    </row>
    <row r="14" ht="12.75" customHeight="1">
      <c r="A14" s="320">
        <v>9.0</v>
      </c>
      <c r="B14" s="321">
        <f>IF(LEN(USPS_Pri_Int_Base!B10)&gt;0,ROUND(USPS_Pri_Int_Base!B10*(1+PostalMarkup),2),"N/A")</f>
        <v>130.33</v>
      </c>
      <c r="C14" s="321">
        <f>IF(LEN(USPS_Pri_Int_Base!C10)&gt;0,ROUND(USPS_Pri_Int_Base!C10*(1+PostalMarkup),2),"N/A")</f>
        <v>137.55</v>
      </c>
      <c r="D14" s="321">
        <f>IF(LEN(USPS_Pri_Int_Base!D10)&gt;0,ROUND(USPS_Pri_Int_Base!D10*(1+PostalMarkup),2),"N/A")</f>
        <v>142.46</v>
      </c>
      <c r="E14" s="321">
        <f>IF(LEN(USPS_Pri_Int_Base!E10)&gt;0,ROUND(USPS_Pri_Int_Base!E10*(1+PostalMarkup),2),"N/A")</f>
        <v>140.77</v>
      </c>
      <c r="F14" s="321">
        <f>IF(LEN(USPS_Pri_Int_Base!F10)&gt;0,ROUND(USPS_Pri_Int_Base!F10*(1+PostalMarkup),2),"N/A")</f>
        <v>146.17</v>
      </c>
      <c r="G14" s="321">
        <f>IF(LEN(USPS_Pri_Int_Base!G10)&gt;0,ROUND(USPS_Pri_Int_Base!G10*(1+PostalMarkup),2),"N/A")</f>
        <v>144.45</v>
      </c>
      <c r="H14" s="321">
        <f>IF(LEN(USPS_Pri_Int_Base!H10)&gt;0,ROUND(USPS_Pri_Int_Base!H10*(1+PostalMarkup),2),"N/A")</f>
        <v>153.88</v>
      </c>
      <c r="I14" s="321">
        <f>IF(LEN(USPS_Pri_Int_Base!I10)&gt;0,ROUND(USPS_Pri_Int_Base!I10*(1+PostalMarkup),2),"N/A")</f>
        <v>157.31</v>
      </c>
      <c r="J14" s="321">
        <f>IF(LEN(USPS_Pri_Int_Base!J10)&gt;0,ROUND(USPS_Pri_Int_Base!J10*(1+PostalMarkup),2),"N/A")</f>
        <v>162.08</v>
      </c>
      <c r="K14" s="321">
        <f>IF(LEN(USPS_Pri_Int_Base!K10)&gt;0,ROUND(USPS_Pri_Int_Base!K10*(1+PostalMarkup),2),"N/A")</f>
        <v>135.56</v>
      </c>
      <c r="L14" s="321">
        <f>IF(LEN(USPS_Pri_Int_Base!L10)&gt;0,ROUND(USPS_Pri_Int_Base!L10*(1+PostalMarkup),2),"N/A")</f>
        <v>150.4</v>
      </c>
      <c r="M14" s="321">
        <f>IF(LEN(USPS_Pri_Int_Base!M10)&gt;0,ROUND(USPS_Pri_Int_Base!M10*(1+PostalMarkup),2),"N/A")</f>
        <v>185.87</v>
      </c>
      <c r="N14" s="321">
        <f>IF(LEN(USPS_Pri_Int_Base!N10)&gt;0,ROUND(USPS_Pri_Int_Base!N10*(1+PostalMarkup),2),"N/A")</f>
        <v>140.97</v>
      </c>
      <c r="O14" s="321">
        <f>IF(LEN(USPS_Pri_Int_Base!O10)&gt;0,ROUND(USPS_Pri_Int_Base!O10*(1+PostalMarkup),2),"N/A")</f>
        <v>142.09</v>
      </c>
      <c r="P14" s="321">
        <f>IF(LEN(USPS_Pri_Int_Base!P10)&gt;0,ROUND(USPS_Pri_Int_Base!P10*(1+PostalMarkup),2),"N/A")</f>
        <v>134.99</v>
      </c>
      <c r="Q14" s="321">
        <f>IF(LEN(USPS_Pri_Int_Base!Q10)&gt;0,ROUND(USPS_Pri_Int_Base!Q10*(1+PostalMarkup),2),"N/A")</f>
        <v>153.38</v>
      </c>
      <c r="R14" s="321">
        <f>IF(LEN(USPS_Pri_Int_Base!R10)&gt;0,ROUND(USPS_Pri_Int_Base!R10*(1+PostalMarkup),2),"N/A")</f>
        <v>146.23</v>
      </c>
      <c r="S14" s="321">
        <f>IF(LEN(USPS_Pri_Int_Base!S10)&gt;0,ROUND(USPS_Pri_Int_Base!S10*(1+PostalMarkup),2),"N/A")</f>
        <v>137.31</v>
      </c>
      <c r="T14" s="321">
        <f>IF(LEN(USPS_Pri_Int_Base!T10)&gt;0,ROUND(USPS_Pri_Int_Base!T10*(1+PostalMarkup),2),"N/A")</f>
        <v>188.63</v>
      </c>
      <c r="U14" s="321">
        <f>IF(LEN(USPS_Pri_Int_Base!U10)&gt;0,ROUND(USPS_Pri_Int_Base!U10*(1+PostalMarkup),2),"N/A")</f>
        <v>142.58</v>
      </c>
    </row>
    <row r="15" ht="12.75" customHeight="1">
      <c r="A15" s="320">
        <v>10.0</v>
      </c>
      <c r="B15" s="321">
        <f>IF(LEN(USPS_Pri_Int_Base!B11)&gt;0,ROUND(USPS_Pri_Int_Base!B11*(1+PostalMarkup),2),"N/A")</f>
        <v>139.33</v>
      </c>
      <c r="C15" s="321">
        <f>IF(LEN(USPS_Pri_Int_Base!C11)&gt;0,ROUND(USPS_Pri_Int_Base!C11*(1+PostalMarkup),2),"N/A")</f>
        <v>143.2</v>
      </c>
      <c r="D15" s="321">
        <f>IF(LEN(USPS_Pri_Int_Base!D11)&gt;0,ROUND(USPS_Pri_Int_Base!D11*(1+PostalMarkup),2),"N/A")</f>
        <v>149.39</v>
      </c>
      <c r="E15" s="321">
        <f>IF(LEN(USPS_Pri_Int_Base!E11)&gt;0,ROUND(USPS_Pri_Int_Base!E11*(1+PostalMarkup),2),"N/A")</f>
        <v>147.79</v>
      </c>
      <c r="F15" s="321">
        <f>IF(LEN(USPS_Pri_Int_Base!F11)&gt;0,ROUND(USPS_Pri_Int_Base!F11*(1+PostalMarkup),2),"N/A")</f>
        <v>152.87</v>
      </c>
      <c r="G15" s="321">
        <f>IF(LEN(USPS_Pri_Int_Base!G11)&gt;0,ROUND(USPS_Pri_Int_Base!G11*(1+PostalMarkup),2),"N/A")</f>
        <v>152.47</v>
      </c>
      <c r="H15" s="321">
        <f>IF(LEN(USPS_Pri_Int_Base!H11)&gt;0,ROUND(USPS_Pri_Int_Base!H11*(1+PostalMarkup),2),"N/A")</f>
        <v>161.94</v>
      </c>
      <c r="I15" s="321">
        <f>IF(LEN(USPS_Pri_Int_Base!I11)&gt;0,ROUND(USPS_Pri_Int_Base!I11*(1+PostalMarkup),2),"N/A")</f>
        <v>165.93</v>
      </c>
      <c r="J15" s="321">
        <f>IF(LEN(USPS_Pri_Int_Base!J11)&gt;0,ROUND(USPS_Pri_Int_Base!J11*(1+PostalMarkup),2),"N/A")</f>
        <v>172.51</v>
      </c>
      <c r="K15" s="321">
        <f>IF(LEN(USPS_Pri_Int_Base!K11)&gt;0,ROUND(USPS_Pri_Int_Base!K11*(1+PostalMarkup),2),"N/A")</f>
        <v>142.81</v>
      </c>
      <c r="L15" s="321">
        <f>IF(LEN(USPS_Pri_Int_Base!L11)&gt;0,ROUND(USPS_Pri_Int_Base!L11*(1+PostalMarkup),2),"N/A")</f>
        <v>157.71</v>
      </c>
      <c r="M15" s="321">
        <f>IF(LEN(USPS_Pri_Int_Base!M11)&gt;0,ROUND(USPS_Pri_Int_Base!M11*(1+PostalMarkup),2),"N/A")</f>
        <v>195.96</v>
      </c>
      <c r="N15" s="321">
        <f>IF(LEN(USPS_Pri_Int_Base!N11)&gt;0,ROUND(USPS_Pri_Int_Base!N11*(1+PostalMarkup),2),"N/A")</f>
        <v>147.52</v>
      </c>
      <c r="O15" s="321">
        <f>IF(LEN(USPS_Pri_Int_Base!O11)&gt;0,ROUND(USPS_Pri_Int_Base!O11*(1+PostalMarkup),2),"N/A")</f>
        <v>149.94</v>
      </c>
      <c r="P15" s="321">
        <f>IF(LEN(USPS_Pri_Int_Base!P11)&gt;0,ROUND(USPS_Pri_Int_Base!P11*(1+PostalMarkup),2),"N/A")</f>
        <v>140.92</v>
      </c>
      <c r="Q15" s="321">
        <f>IF(LEN(USPS_Pri_Int_Base!Q11)&gt;0,ROUND(USPS_Pri_Int_Base!Q11*(1+PostalMarkup),2),"N/A")</f>
        <v>159.78</v>
      </c>
      <c r="R15" s="321">
        <f>IF(LEN(USPS_Pri_Int_Base!R11)&gt;0,ROUND(USPS_Pri_Int_Base!R11*(1+PostalMarkup),2),"N/A")</f>
        <v>152.86</v>
      </c>
      <c r="S15" s="321">
        <f>IF(LEN(USPS_Pri_Int_Base!S11)&gt;0,ROUND(USPS_Pri_Int_Base!S11*(1+PostalMarkup),2),"N/A")</f>
        <v>143.64</v>
      </c>
      <c r="T15" s="321">
        <f>IF(LEN(USPS_Pri_Int_Base!T11)&gt;0,ROUND(USPS_Pri_Int_Base!T11*(1+PostalMarkup),2),"N/A")</f>
        <v>197.63</v>
      </c>
      <c r="U15" s="321">
        <f>IF(LEN(USPS_Pri_Int_Base!U11)&gt;0,ROUND(USPS_Pri_Int_Base!U11*(1+PostalMarkup),2),"N/A")</f>
        <v>148.56</v>
      </c>
    </row>
    <row r="16" ht="12.75" customHeight="1">
      <c r="A16" s="320">
        <v>11.0</v>
      </c>
      <c r="B16" s="321">
        <f>IF(LEN(USPS_Pri_Int_Base!B12)&gt;0,ROUND(USPS_Pri_Int_Base!B12*(1+PostalMarkup),2),"N/A")</f>
        <v>147.32</v>
      </c>
      <c r="C16" s="321">
        <f>IF(LEN(USPS_Pri_Int_Base!C12)&gt;0,ROUND(USPS_Pri_Int_Base!C12*(1+PostalMarkup),2),"N/A")</f>
        <v>149.21</v>
      </c>
      <c r="D16" s="321">
        <f>IF(LEN(USPS_Pri_Int_Base!D12)&gt;0,ROUND(USPS_Pri_Int_Base!D12*(1+PostalMarkup),2),"N/A")</f>
        <v>156.53</v>
      </c>
      <c r="E16" s="321">
        <f>IF(LEN(USPS_Pri_Int_Base!E12)&gt;0,ROUND(USPS_Pri_Int_Base!E12*(1+PostalMarkup),2),"N/A")</f>
        <v>154.22</v>
      </c>
      <c r="F16" s="321">
        <f>IF(LEN(USPS_Pri_Int_Base!F12)&gt;0,ROUND(USPS_Pri_Int_Base!F12*(1+PostalMarkup),2),"N/A")</f>
        <v>159.19</v>
      </c>
      <c r="G16" s="321">
        <f>IF(LEN(USPS_Pri_Int_Base!G12)&gt;0,ROUND(USPS_Pri_Int_Base!G12*(1+PostalMarkup),2),"N/A")</f>
        <v>159.99</v>
      </c>
      <c r="H16" s="321">
        <f>IF(LEN(USPS_Pri_Int_Base!H12)&gt;0,ROUND(USPS_Pri_Int_Base!H12*(1+PostalMarkup),2),"N/A")</f>
        <v>169.36</v>
      </c>
      <c r="I16" s="321">
        <f>IF(LEN(USPS_Pri_Int_Base!I12)&gt;0,ROUND(USPS_Pri_Int_Base!I12*(1+PostalMarkup),2),"N/A")</f>
        <v>174.75</v>
      </c>
      <c r="J16" s="321">
        <f>IF(LEN(USPS_Pri_Int_Base!J12)&gt;0,ROUND(USPS_Pri_Int_Base!J12*(1+PostalMarkup),2),"N/A")</f>
        <v>180.29</v>
      </c>
      <c r="K16" s="321">
        <f>IF(LEN(USPS_Pri_Int_Base!K12)&gt;0,ROUND(USPS_Pri_Int_Base!K12*(1+PostalMarkup),2),"N/A")</f>
        <v>149.66</v>
      </c>
      <c r="L16" s="321">
        <f>IF(LEN(USPS_Pri_Int_Base!L12)&gt;0,ROUND(USPS_Pri_Int_Base!L12*(1+PostalMarkup),2),"N/A")</f>
        <v>164.63</v>
      </c>
      <c r="M16" s="321">
        <f>IF(LEN(USPS_Pri_Int_Base!M12)&gt;0,ROUND(USPS_Pri_Int_Base!M12*(1+PostalMarkup),2),"N/A")</f>
        <v>206.06</v>
      </c>
      <c r="N16" s="321">
        <f>IF(LEN(USPS_Pri_Int_Base!N12)&gt;0,ROUND(USPS_Pri_Int_Base!N12*(1+PostalMarkup),2),"N/A")</f>
        <v>154.17</v>
      </c>
      <c r="O16" s="321">
        <f>IF(LEN(USPS_Pri_Int_Base!O12)&gt;0,ROUND(USPS_Pri_Int_Base!O12*(1+PostalMarkup),2),"N/A")</f>
        <v>157.9</v>
      </c>
      <c r="P16" s="321">
        <f>IF(LEN(USPS_Pri_Int_Base!P12)&gt;0,ROUND(USPS_Pri_Int_Base!P12*(1+PostalMarkup),2),"N/A")</f>
        <v>146.31</v>
      </c>
      <c r="Q16" s="321">
        <f>IF(LEN(USPS_Pri_Int_Base!Q12)&gt;0,ROUND(USPS_Pri_Int_Base!Q12*(1+PostalMarkup),2),"N/A")</f>
        <v>165.49</v>
      </c>
      <c r="R16" s="321">
        <f>IF(LEN(USPS_Pri_Int_Base!R12)&gt;0,ROUND(USPS_Pri_Int_Base!R12*(1+PostalMarkup),2),"N/A")</f>
        <v>159.29</v>
      </c>
      <c r="S16" s="321">
        <f>IF(LEN(USPS_Pri_Int_Base!S12)&gt;0,ROUND(USPS_Pri_Int_Base!S12*(1+PostalMarkup),2),"N/A")</f>
        <v>149.64</v>
      </c>
      <c r="T16" s="321">
        <f>IF(LEN(USPS_Pri_Int_Base!T12)&gt;0,ROUND(USPS_Pri_Int_Base!T12*(1+PostalMarkup),2),"N/A")</f>
        <v>213.51</v>
      </c>
      <c r="U16" s="321">
        <f>IF(LEN(USPS_Pri_Int_Base!U12)&gt;0,ROUND(USPS_Pri_Int_Base!U12*(1+PostalMarkup),2),"N/A")</f>
        <v>154.39</v>
      </c>
    </row>
    <row r="17" ht="12.75" customHeight="1">
      <c r="A17" s="320">
        <v>12.0</v>
      </c>
      <c r="B17" s="321">
        <f>IF(LEN(USPS_Pri_Int_Base!B13)&gt;0,ROUND(USPS_Pri_Int_Base!B13*(1+PostalMarkup),2),"N/A")</f>
        <v>156.15</v>
      </c>
      <c r="C17" s="321">
        <f>IF(LEN(USPS_Pri_Int_Base!C13)&gt;0,ROUND(USPS_Pri_Int_Base!C13*(1+PostalMarkup),2),"N/A")</f>
        <v>155.03</v>
      </c>
      <c r="D17" s="321">
        <f>IF(LEN(USPS_Pri_Int_Base!D13)&gt;0,ROUND(USPS_Pri_Int_Base!D13*(1+PostalMarkup),2),"N/A")</f>
        <v>163.42</v>
      </c>
      <c r="E17" s="321">
        <f>IF(LEN(USPS_Pri_Int_Base!E13)&gt;0,ROUND(USPS_Pri_Int_Base!E13*(1+PostalMarkup),2),"N/A")</f>
        <v>161.1</v>
      </c>
      <c r="F17" s="321">
        <f>IF(LEN(USPS_Pri_Int_Base!F13)&gt;0,ROUND(USPS_Pri_Int_Base!F13*(1+PostalMarkup),2),"N/A")</f>
        <v>165.69</v>
      </c>
      <c r="G17" s="321">
        <f>IF(LEN(USPS_Pri_Int_Base!G13)&gt;0,ROUND(USPS_Pri_Int_Base!G13*(1+PostalMarkup),2),"N/A")</f>
        <v>167.9</v>
      </c>
      <c r="H17" s="321">
        <f>IF(LEN(USPS_Pri_Int_Base!H13)&gt;0,ROUND(USPS_Pri_Int_Base!H13*(1+PostalMarkup),2),"N/A")</f>
        <v>177.57</v>
      </c>
      <c r="I17" s="321">
        <f>IF(LEN(USPS_Pri_Int_Base!I13)&gt;0,ROUND(USPS_Pri_Int_Base!I13*(1+PostalMarkup),2),"N/A")</f>
        <v>183.37</v>
      </c>
      <c r="J17" s="321">
        <f>IF(LEN(USPS_Pri_Int_Base!J13)&gt;0,ROUND(USPS_Pri_Int_Base!J13*(1+PostalMarkup),2),"N/A")</f>
        <v>189.72</v>
      </c>
      <c r="K17" s="321">
        <f>IF(LEN(USPS_Pri_Int_Base!K13)&gt;0,ROUND(USPS_Pri_Int_Base!K13*(1+PostalMarkup),2),"N/A")</f>
        <v>157.1</v>
      </c>
      <c r="L17" s="321">
        <f>IF(LEN(USPS_Pri_Int_Base!L13)&gt;0,ROUND(USPS_Pri_Int_Base!L13*(1+PostalMarkup),2),"N/A")</f>
        <v>172.11</v>
      </c>
      <c r="M17" s="321">
        <f>IF(LEN(USPS_Pri_Int_Base!M13)&gt;0,ROUND(USPS_Pri_Int_Base!M13*(1+PostalMarkup),2),"N/A")</f>
        <v>216.3</v>
      </c>
      <c r="N17" s="321">
        <f>IF(LEN(USPS_Pri_Int_Base!N13)&gt;0,ROUND(USPS_Pri_Int_Base!N13*(1+PostalMarkup),2),"N/A")</f>
        <v>160.6</v>
      </c>
      <c r="O17" s="321">
        <f>IF(LEN(USPS_Pri_Int_Base!O13)&gt;0,ROUND(USPS_Pri_Int_Base!O13*(1+PostalMarkup),2),"N/A")</f>
        <v>166.2</v>
      </c>
      <c r="P17" s="321">
        <f>IF(LEN(USPS_Pri_Int_Base!P13)&gt;0,ROUND(USPS_Pri_Int_Base!P13*(1+PostalMarkup),2),"N/A")</f>
        <v>152.16</v>
      </c>
      <c r="Q17" s="321">
        <f>IF(LEN(USPS_Pri_Int_Base!Q13)&gt;0,ROUND(USPS_Pri_Int_Base!Q13*(1+PostalMarkup),2),"N/A")</f>
        <v>171.74</v>
      </c>
      <c r="R17" s="321">
        <f>IF(LEN(USPS_Pri_Int_Base!R13)&gt;0,ROUND(USPS_Pri_Int_Base!R13*(1+PostalMarkup),2),"N/A")</f>
        <v>165.93</v>
      </c>
      <c r="S17" s="321">
        <f>IF(LEN(USPS_Pri_Int_Base!S13)&gt;0,ROUND(USPS_Pri_Int_Base!S13*(1+PostalMarkup),2),"N/A")</f>
        <v>155.85</v>
      </c>
      <c r="T17" s="321">
        <f>IF(LEN(USPS_Pri_Int_Base!T13)&gt;0,ROUND(USPS_Pri_Int_Base!T13*(1+PostalMarkup),2),"N/A")</f>
        <v>225.66</v>
      </c>
      <c r="U17" s="321">
        <f>IF(LEN(USPS_Pri_Int_Base!U13)&gt;0,ROUND(USPS_Pri_Int_Base!U13*(1+PostalMarkup),2),"N/A")</f>
        <v>160.18</v>
      </c>
    </row>
    <row r="18" ht="12.75" customHeight="1">
      <c r="A18" s="320">
        <v>13.0</v>
      </c>
      <c r="B18" s="321">
        <f>IF(LEN(USPS_Pri_Int_Base!B14)&gt;0,ROUND(USPS_Pri_Int_Base!B14*(1+PostalMarkup),2),"N/A")</f>
        <v>164.34</v>
      </c>
      <c r="C18" s="321">
        <f>IF(LEN(USPS_Pri_Int_Base!C14)&gt;0,ROUND(USPS_Pri_Int_Base!C14*(1+PostalMarkup),2),"N/A")</f>
        <v>160.66</v>
      </c>
      <c r="D18" s="321">
        <f>IF(LEN(USPS_Pri_Int_Base!D14)&gt;0,ROUND(USPS_Pri_Int_Base!D14*(1+PostalMarkup),2),"N/A")</f>
        <v>170.28</v>
      </c>
      <c r="E18" s="321">
        <f>IF(LEN(USPS_Pri_Int_Base!E14)&gt;0,ROUND(USPS_Pri_Int_Base!E14*(1+PostalMarkup),2),"N/A")</f>
        <v>167.95</v>
      </c>
      <c r="F18" s="321">
        <f>IF(LEN(USPS_Pri_Int_Base!F14)&gt;0,ROUND(USPS_Pri_Int_Base!F14*(1+PostalMarkup),2),"N/A")</f>
        <v>172.02</v>
      </c>
      <c r="G18" s="321">
        <f>IF(LEN(USPS_Pri_Int_Base!G14)&gt;0,ROUND(USPS_Pri_Int_Base!G14*(1+PostalMarkup),2),"N/A")</f>
        <v>175.39</v>
      </c>
      <c r="H18" s="321">
        <f>IF(LEN(USPS_Pri_Int_Base!H14)&gt;0,ROUND(USPS_Pri_Int_Base!H14*(1+PostalMarkup),2),"N/A")</f>
        <v>185.33</v>
      </c>
      <c r="I18" s="321">
        <f>IF(LEN(USPS_Pri_Int_Base!I14)&gt;0,ROUND(USPS_Pri_Int_Base!I14*(1+PostalMarkup),2),"N/A")</f>
        <v>192</v>
      </c>
      <c r="J18" s="321">
        <f>IF(LEN(USPS_Pri_Int_Base!J14)&gt;0,ROUND(USPS_Pri_Int_Base!J14*(1+PostalMarkup),2),"N/A")</f>
        <v>199.2</v>
      </c>
      <c r="K18" s="321">
        <f>IF(LEN(USPS_Pri_Int_Base!K14)&gt;0,ROUND(USPS_Pri_Int_Base!K14*(1+PostalMarkup),2),"N/A")</f>
        <v>164.02</v>
      </c>
      <c r="L18" s="321">
        <f>IF(LEN(USPS_Pri_Int_Base!L14)&gt;0,ROUND(USPS_Pri_Int_Base!L14*(1+PostalMarkup),2),"N/A")</f>
        <v>178.95</v>
      </c>
      <c r="M18" s="321">
        <f>IF(LEN(USPS_Pri_Int_Base!M14)&gt;0,ROUND(USPS_Pri_Int_Base!M14*(1+PostalMarkup),2),"N/A")</f>
        <v>226.49</v>
      </c>
      <c r="N18" s="321">
        <f>IF(LEN(USPS_Pri_Int_Base!N14)&gt;0,ROUND(USPS_Pri_Int_Base!N14*(1+PostalMarkup),2),"N/A")</f>
        <v>172.58</v>
      </c>
      <c r="O18" s="321">
        <f>IF(LEN(USPS_Pri_Int_Base!O14)&gt;0,ROUND(USPS_Pri_Int_Base!O14*(1+PostalMarkup),2),"N/A")</f>
        <v>174.51</v>
      </c>
      <c r="P18" s="321">
        <f>IF(LEN(USPS_Pri_Int_Base!P14)&gt;0,ROUND(USPS_Pri_Int_Base!P14*(1+PostalMarkup),2),"N/A")</f>
        <v>158.06</v>
      </c>
      <c r="Q18" s="321">
        <f>IF(LEN(USPS_Pri_Int_Base!Q14)&gt;0,ROUND(USPS_Pri_Int_Base!Q14*(1+PostalMarkup),2),"N/A")</f>
        <v>177.46</v>
      </c>
      <c r="R18" s="321">
        <f>IF(LEN(USPS_Pri_Int_Base!R14)&gt;0,ROUND(USPS_Pri_Int_Base!R14*(1+PostalMarkup),2),"N/A")</f>
        <v>172.29</v>
      </c>
      <c r="S18" s="321">
        <f>IF(LEN(USPS_Pri_Int_Base!S14)&gt;0,ROUND(USPS_Pri_Int_Base!S14*(1+PostalMarkup),2),"N/A")</f>
        <v>161.89</v>
      </c>
      <c r="T18" s="321">
        <f>IF(LEN(USPS_Pri_Int_Base!T14)&gt;0,ROUND(USPS_Pri_Int_Base!T14*(1+PostalMarkup),2),"N/A")</f>
        <v>235.07</v>
      </c>
      <c r="U18" s="321">
        <f>IF(LEN(USPS_Pri_Int_Base!U14)&gt;0,ROUND(USPS_Pri_Int_Base!U14*(1+PostalMarkup),2),"N/A")</f>
        <v>166.03</v>
      </c>
    </row>
    <row r="19" ht="12.75" customHeight="1">
      <c r="A19" s="320">
        <v>14.0</v>
      </c>
      <c r="B19" s="321">
        <f>IF(LEN(USPS_Pri_Int_Base!B15)&gt;0,ROUND(USPS_Pri_Int_Base!B15*(1+PostalMarkup),2),"N/A")</f>
        <v>172.9</v>
      </c>
      <c r="C19" s="321">
        <f>IF(LEN(USPS_Pri_Int_Base!C15)&gt;0,ROUND(USPS_Pri_Int_Base!C15*(1+PostalMarkup),2),"N/A")</f>
        <v>166.5</v>
      </c>
      <c r="D19" s="321">
        <f>IF(LEN(USPS_Pri_Int_Base!D15)&gt;0,ROUND(USPS_Pri_Int_Base!D15*(1+PostalMarkup),2),"N/A")</f>
        <v>177.16</v>
      </c>
      <c r="E19" s="321">
        <f>IF(LEN(USPS_Pri_Int_Base!E15)&gt;0,ROUND(USPS_Pri_Int_Base!E15*(1+PostalMarkup),2),"N/A")</f>
        <v>174.58</v>
      </c>
      <c r="F19" s="321">
        <f>IF(LEN(USPS_Pri_Int_Base!F15)&gt;0,ROUND(USPS_Pri_Int_Base!F15*(1+PostalMarkup),2),"N/A")</f>
        <v>178.32</v>
      </c>
      <c r="G19" s="321">
        <f>IF(LEN(USPS_Pri_Int_Base!G15)&gt;0,ROUND(USPS_Pri_Int_Base!G15*(1+PostalMarkup),2),"N/A")</f>
        <v>182.94</v>
      </c>
      <c r="H19" s="321">
        <f>IF(LEN(USPS_Pri_Int_Base!H15)&gt;0,ROUND(USPS_Pri_Int_Base!H15*(1+PostalMarkup),2),"N/A")</f>
        <v>193.1</v>
      </c>
      <c r="I19" s="321">
        <f>IF(LEN(USPS_Pri_Int_Base!I15)&gt;0,ROUND(USPS_Pri_Int_Base!I15*(1+PostalMarkup),2),"N/A")</f>
        <v>200.64</v>
      </c>
      <c r="J19" s="321">
        <f>IF(LEN(USPS_Pri_Int_Base!J15)&gt;0,ROUND(USPS_Pri_Int_Base!J15*(1+PostalMarkup),2),"N/A")</f>
        <v>208.12</v>
      </c>
      <c r="K19" s="321">
        <f>IF(LEN(USPS_Pri_Int_Base!K15)&gt;0,ROUND(USPS_Pri_Int_Base!K15*(1+PostalMarkup),2),"N/A")</f>
        <v>171.34</v>
      </c>
      <c r="L19" s="321">
        <f>IF(LEN(USPS_Pri_Int_Base!L15)&gt;0,ROUND(USPS_Pri_Int_Base!L15*(1+PostalMarkup),2),"N/A")</f>
        <v>186.09</v>
      </c>
      <c r="M19" s="321">
        <f>IF(LEN(USPS_Pri_Int_Base!M15)&gt;0,ROUND(USPS_Pri_Int_Base!M15*(1+PostalMarkup),2),"N/A")</f>
        <v>236.7</v>
      </c>
      <c r="N19" s="321">
        <f>IF(LEN(USPS_Pri_Int_Base!N15)&gt;0,ROUND(USPS_Pri_Int_Base!N15*(1+PostalMarkup),2),"N/A")</f>
        <v>179.39</v>
      </c>
      <c r="O19" s="321">
        <f>IF(LEN(USPS_Pri_Int_Base!O15)&gt;0,ROUND(USPS_Pri_Int_Base!O15*(1+PostalMarkup),2),"N/A")</f>
        <v>182.83</v>
      </c>
      <c r="P19" s="321">
        <f>IF(LEN(USPS_Pri_Int_Base!P15)&gt;0,ROUND(USPS_Pri_Int_Base!P15*(1+PostalMarkup),2),"N/A")</f>
        <v>163.99</v>
      </c>
      <c r="Q19" s="321">
        <f>IF(LEN(USPS_Pri_Int_Base!Q15)&gt;0,ROUND(USPS_Pri_Int_Base!Q15*(1+PostalMarkup),2),"N/A")</f>
        <v>183.82</v>
      </c>
      <c r="R19" s="321">
        <f>IF(LEN(USPS_Pri_Int_Base!R15)&gt;0,ROUND(USPS_Pri_Int_Base!R15*(1+PostalMarkup),2),"N/A")</f>
        <v>178.87</v>
      </c>
      <c r="S19" s="321">
        <f>IF(LEN(USPS_Pri_Int_Base!S15)&gt;0,ROUND(USPS_Pri_Int_Base!S15*(1+PostalMarkup),2),"N/A")</f>
        <v>167.97</v>
      </c>
      <c r="T19" s="321">
        <f>IF(LEN(USPS_Pri_Int_Base!T15)&gt;0,ROUND(USPS_Pri_Int_Base!T15*(1+PostalMarkup),2),"N/A")</f>
        <v>249.16</v>
      </c>
      <c r="U19" s="321">
        <f>IF(LEN(USPS_Pri_Int_Base!U15)&gt;0,ROUND(USPS_Pri_Int_Base!U15*(1+PostalMarkup),2),"N/A")</f>
        <v>171.86</v>
      </c>
    </row>
    <row r="20" ht="12.75" customHeight="1">
      <c r="A20" s="320">
        <v>15.0</v>
      </c>
      <c r="B20" s="321">
        <f>IF(LEN(USPS_Pri_Int_Base!B16)&gt;0,ROUND(USPS_Pri_Int_Base!B16*(1+PostalMarkup),2),"N/A")</f>
        <v>181.48</v>
      </c>
      <c r="C20" s="321">
        <f>IF(LEN(USPS_Pri_Int_Base!C16)&gt;0,ROUND(USPS_Pri_Int_Base!C16*(1+PostalMarkup),2),"N/A")</f>
        <v>172.17</v>
      </c>
      <c r="D20" s="321">
        <f>IF(LEN(USPS_Pri_Int_Base!D16)&gt;0,ROUND(USPS_Pri_Int_Base!D16*(1+PostalMarkup),2),"N/A")</f>
        <v>184.01</v>
      </c>
      <c r="E20" s="321">
        <f>IF(LEN(USPS_Pri_Int_Base!E16)&gt;0,ROUND(USPS_Pri_Int_Base!E16*(1+PostalMarkup),2),"N/A")</f>
        <v>181.4</v>
      </c>
      <c r="F20" s="321">
        <f>IF(LEN(USPS_Pri_Int_Base!F16)&gt;0,ROUND(USPS_Pri_Int_Base!F16*(1+PostalMarkup),2),"N/A")</f>
        <v>184.75</v>
      </c>
      <c r="G20" s="321">
        <f>IF(LEN(USPS_Pri_Int_Base!G16)&gt;0,ROUND(USPS_Pri_Int_Base!G16*(1+PostalMarkup),2),"N/A")</f>
        <v>190.7</v>
      </c>
      <c r="H20" s="321">
        <f>IF(LEN(USPS_Pri_Int_Base!H16)&gt;0,ROUND(USPS_Pri_Int_Base!H16*(1+PostalMarkup),2),"N/A")</f>
        <v>201.2</v>
      </c>
      <c r="I20" s="321">
        <f>IF(LEN(USPS_Pri_Int_Base!I16)&gt;0,ROUND(USPS_Pri_Int_Base!I16*(1+PostalMarkup),2),"N/A")</f>
        <v>209.29</v>
      </c>
      <c r="J20" s="321">
        <f>IF(LEN(USPS_Pri_Int_Base!J16)&gt;0,ROUND(USPS_Pri_Int_Base!J16*(1+PostalMarkup),2),"N/A")</f>
        <v>217.52</v>
      </c>
      <c r="K20" s="321">
        <f>IF(LEN(USPS_Pri_Int_Base!K16)&gt;0,ROUND(USPS_Pri_Int_Base!K16*(1+PostalMarkup),2),"N/A")</f>
        <v>178.61</v>
      </c>
      <c r="L20" s="321">
        <f>IF(LEN(USPS_Pri_Int_Base!L16)&gt;0,ROUND(USPS_Pri_Int_Base!L16*(1+PostalMarkup),2),"N/A")</f>
        <v>192.98</v>
      </c>
      <c r="M20" s="321">
        <f>IF(LEN(USPS_Pri_Int_Base!M16)&gt;0,ROUND(USPS_Pri_Int_Base!M16*(1+PostalMarkup),2),"N/A")</f>
        <v>246.94</v>
      </c>
      <c r="N20" s="321">
        <f>IF(LEN(USPS_Pri_Int_Base!N16)&gt;0,ROUND(USPS_Pri_Int_Base!N16*(1+PostalMarkup),2),"N/A")</f>
        <v>186.85</v>
      </c>
      <c r="O20" s="321">
        <f>IF(LEN(USPS_Pri_Int_Base!O16)&gt;0,ROUND(USPS_Pri_Int_Base!O16*(1+PostalMarkup),2),"N/A")</f>
        <v>191.14</v>
      </c>
      <c r="P20" s="321">
        <f>IF(LEN(USPS_Pri_Int_Base!P16)&gt;0,ROUND(USPS_Pri_Int_Base!P16*(1+PostalMarkup),2),"N/A")</f>
        <v>169.69</v>
      </c>
      <c r="Q20" s="321">
        <f>IF(LEN(USPS_Pri_Int_Base!Q16)&gt;0,ROUND(USPS_Pri_Int_Base!Q16*(1+PostalMarkup),2),"N/A")</f>
        <v>189.76</v>
      </c>
      <c r="R20" s="321">
        <f>IF(LEN(USPS_Pri_Int_Base!R16)&gt;0,ROUND(USPS_Pri_Int_Base!R16*(1+PostalMarkup),2),"N/A")</f>
        <v>185.67</v>
      </c>
      <c r="S20" s="321">
        <f>IF(LEN(USPS_Pri_Int_Base!S16)&gt;0,ROUND(USPS_Pri_Int_Base!S16*(1+PostalMarkup),2),"N/A")</f>
        <v>174.08</v>
      </c>
      <c r="T20" s="321">
        <f>IF(LEN(USPS_Pri_Int_Base!T16)&gt;0,ROUND(USPS_Pri_Int_Base!T16*(1+PostalMarkup),2),"N/A")</f>
        <v>258.75</v>
      </c>
      <c r="U20" s="321">
        <f>IF(LEN(USPS_Pri_Int_Base!U16)&gt;0,ROUND(USPS_Pri_Int_Base!U16*(1+PostalMarkup),2),"N/A")</f>
        <v>177.74</v>
      </c>
    </row>
    <row r="21" ht="12.75" customHeight="1">
      <c r="A21" s="320">
        <v>16.0</v>
      </c>
      <c r="B21" s="321">
        <f>IF(LEN(USPS_Pri_Int_Base!B17)&gt;0,ROUND(USPS_Pri_Int_Base!B17*(1+PostalMarkup),2),"N/A")</f>
        <v>190.06</v>
      </c>
      <c r="C21" s="321">
        <f>IF(LEN(USPS_Pri_Int_Base!C17)&gt;0,ROUND(USPS_Pri_Int_Base!C17*(1+PostalMarkup),2),"N/A")</f>
        <v>177.86</v>
      </c>
      <c r="D21" s="321">
        <f>IF(LEN(USPS_Pri_Int_Base!D17)&gt;0,ROUND(USPS_Pri_Int_Base!D17*(1+PostalMarkup),2),"N/A")</f>
        <v>190.89</v>
      </c>
      <c r="E21" s="321">
        <f>IF(LEN(USPS_Pri_Int_Base!E17)&gt;0,ROUND(USPS_Pri_Int_Base!E17*(1+PostalMarkup),2),"N/A")</f>
        <v>188.11</v>
      </c>
      <c r="F21" s="321">
        <f>IF(LEN(USPS_Pri_Int_Base!F17)&gt;0,ROUND(USPS_Pri_Int_Base!F17*(1+PostalMarkup),2),"N/A")</f>
        <v>191.31</v>
      </c>
      <c r="G21" s="321">
        <f>IF(LEN(USPS_Pri_Int_Base!G17)&gt;0,ROUND(USPS_Pri_Int_Base!G17*(1+PostalMarkup),2),"N/A")</f>
        <v>198.67</v>
      </c>
      <c r="H21" s="321">
        <f>IF(LEN(USPS_Pri_Int_Base!H17)&gt;0,ROUND(USPS_Pri_Int_Base!H17*(1+PostalMarkup),2),"N/A")</f>
        <v>208.97</v>
      </c>
      <c r="I21" s="321">
        <f>IF(LEN(USPS_Pri_Int_Base!I17)&gt;0,ROUND(USPS_Pri_Int_Base!I17*(1+PostalMarkup),2),"N/A")</f>
        <v>217.94</v>
      </c>
      <c r="J21" s="321">
        <f>IF(LEN(USPS_Pri_Int_Base!J17)&gt;0,ROUND(USPS_Pri_Int_Base!J17*(1+PostalMarkup),2),"N/A")</f>
        <v>226.9</v>
      </c>
      <c r="K21" s="321">
        <f>IF(LEN(USPS_Pri_Int_Base!K17)&gt;0,ROUND(USPS_Pri_Int_Base!K17*(1+PostalMarkup),2),"N/A")</f>
        <v>185.77</v>
      </c>
      <c r="L21" s="321">
        <f>IF(LEN(USPS_Pri_Int_Base!L17)&gt;0,ROUND(USPS_Pri_Int_Base!L17*(1+PostalMarkup),2),"N/A")</f>
        <v>200.48</v>
      </c>
      <c r="M21" s="321">
        <f>IF(LEN(USPS_Pri_Int_Base!M17)&gt;0,ROUND(USPS_Pri_Int_Base!M17*(1+PostalMarkup),2),"N/A")</f>
        <v>257.15</v>
      </c>
      <c r="N21" s="321">
        <f>IF(LEN(USPS_Pri_Int_Base!N17)&gt;0,ROUND(USPS_Pri_Int_Base!N17*(1+PostalMarkup),2),"N/A")</f>
        <v>193.33</v>
      </c>
      <c r="O21" s="321">
        <f>IF(LEN(USPS_Pri_Int_Base!O17)&gt;0,ROUND(USPS_Pri_Int_Base!O17*(1+PostalMarkup),2),"N/A")</f>
        <v>199.44</v>
      </c>
      <c r="P21" s="321">
        <f>IF(LEN(USPS_Pri_Int_Base!P17)&gt;0,ROUND(USPS_Pri_Int_Base!P17*(1+PostalMarkup),2),"N/A")</f>
        <v>175.42</v>
      </c>
      <c r="Q21" s="321">
        <f>IF(LEN(USPS_Pri_Int_Base!Q17)&gt;0,ROUND(USPS_Pri_Int_Base!Q17*(1+PostalMarkup),2),"N/A")</f>
        <v>195.7</v>
      </c>
      <c r="R21" s="321">
        <f>IF(LEN(USPS_Pri_Int_Base!R17)&gt;0,ROUND(USPS_Pri_Int_Base!R17*(1+PostalMarkup),2),"N/A")</f>
        <v>192.45</v>
      </c>
      <c r="S21" s="321">
        <f>IF(LEN(USPS_Pri_Int_Base!S17)&gt;0,ROUND(USPS_Pri_Int_Base!S17*(1+PostalMarkup),2),"N/A")</f>
        <v>180.3</v>
      </c>
      <c r="T21" s="321">
        <f>IF(LEN(USPS_Pri_Int_Base!T17)&gt;0,ROUND(USPS_Pri_Int_Base!T17*(1+PostalMarkup),2),"N/A")</f>
        <v>273.37</v>
      </c>
      <c r="U21" s="321">
        <f>IF(LEN(USPS_Pri_Int_Base!U17)&gt;0,ROUND(USPS_Pri_Int_Base!U17*(1+PostalMarkup),2),"N/A")</f>
        <v>183.61</v>
      </c>
    </row>
    <row r="22" ht="12.75" customHeight="1">
      <c r="A22" s="320">
        <v>17.0</v>
      </c>
      <c r="B22" s="321">
        <f>IF(LEN(USPS_Pri_Int_Base!B18)&gt;0,ROUND(USPS_Pri_Int_Base!B18*(1+PostalMarkup),2),"N/A")</f>
        <v>198.13</v>
      </c>
      <c r="C22" s="321">
        <f>IF(LEN(USPS_Pri_Int_Base!C18)&gt;0,ROUND(USPS_Pri_Int_Base!C18*(1+PostalMarkup),2),"N/A")</f>
        <v>183.7</v>
      </c>
      <c r="D22" s="321">
        <f>IF(LEN(USPS_Pri_Int_Base!D18)&gt;0,ROUND(USPS_Pri_Int_Base!D18*(1+PostalMarkup),2),"N/A")</f>
        <v>197.77</v>
      </c>
      <c r="E22" s="321">
        <f>IF(LEN(USPS_Pri_Int_Base!E18)&gt;0,ROUND(USPS_Pri_Int_Base!E18*(1+PostalMarkup),2),"N/A")</f>
        <v>194.71</v>
      </c>
      <c r="F22" s="321">
        <f>IF(LEN(USPS_Pri_Int_Base!F18)&gt;0,ROUND(USPS_Pri_Int_Base!F18*(1+PostalMarkup),2),"N/A")</f>
        <v>197.42</v>
      </c>
      <c r="G22" s="321">
        <f>IF(LEN(USPS_Pri_Int_Base!G18)&gt;0,ROUND(USPS_Pri_Int_Base!G18*(1+PostalMarkup),2),"N/A")</f>
        <v>206.36</v>
      </c>
      <c r="H22" s="321">
        <f>IF(LEN(USPS_Pri_Int_Base!H18)&gt;0,ROUND(USPS_Pri_Int_Base!H18*(1+PostalMarkup),2),"N/A")</f>
        <v>216.37</v>
      </c>
      <c r="I22" s="321">
        <f>IF(LEN(USPS_Pri_Int_Base!I18)&gt;0,ROUND(USPS_Pri_Int_Base!I18*(1+PostalMarkup),2),"N/A")</f>
        <v>226.56</v>
      </c>
      <c r="J22" s="321">
        <f>IF(LEN(USPS_Pri_Int_Base!J18)&gt;0,ROUND(USPS_Pri_Int_Base!J18*(1+PostalMarkup),2),"N/A")</f>
        <v>235.85</v>
      </c>
      <c r="K22" s="321">
        <f>IF(LEN(USPS_Pri_Int_Base!K18)&gt;0,ROUND(USPS_Pri_Int_Base!K18*(1+PostalMarkup),2),"N/A")</f>
        <v>192.87</v>
      </c>
      <c r="L22" s="321">
        <f>IF(LEN(USPS_Pri_Int_Base!L18)&gt;0,ROUND(USPS_Pri_Int_Base!L18*(1+PostalMarkup),2),"N/A")</f>
        <v>207.68</v>
      </c>
      <c r="M22" s="321">
        <f>IF(LEN(USPS_Pri_Int_Base!M18)&gt;0,ROUND(USPS_Pri_Int_Base!M18*(1+PostalMarkup),2),"N/A")</f>
        <v>267.35</v>
      </c>
      <c r="N22" s="321">
        <f>IF(LEN(USPS_Pri_Int_Base!N18)&gt;0,ROUND(USPS_Pri_Int_Base!N18*(1+PostalMarkup),2),"N/A")</f>
        <v>199.71</v>
      </c>
      <c r="O22" s="321">
        <f>IF(LEN(USPS_Pri_Int_Base!O18)&gt;0,ROUND(USPS_Pri_Int_Base!O18*(1+PostalMarkup),2),"N/A")</f>
        <v>207.76</v>
      </c>
      <c r="P22" s="321">
        <f>IF(LEN(USPS_Pri_Int_Base!P18)&gt;0,ROUND(USPS_Pri_Int_Base!P18*(1+PostalMarkup),2),"N/A")</f>
        <v>180.99</v>
      </c>
      <c r="Q22" s="321">
        <f>IF(LEN(USPS_Pri_Int_Base!Q18)&gt;0,ROUND(USPS_Pri_Int_Base!Q18*(1+PostalMarkup),2),"N/A")</f>
        <v>201.48</v>
      </c>
      <c r="R22" s="321">
        <f>IF(LEN(USPS_Pri_Int_Base!R18)&gt;0,ROUND(USPS_Pri_Int_Base!R18*(1+PostalMarkup),2),"N/A")</f>
        <v>198.79</v>
      </c>
      <c r="S22" s="321">
        <f>IF(LEN(USPS_Pri_Int_Base!S18)&gt;0,ROUND(USPS_Pri_Int_Base!S18*(1+PostalMarkup),2),"N/A")</f>
        <v>186.33</v>
      </c>
      <c r="T22" s="321">
        <f>IF(LEN(USPS_Pri_Int_Base!T18)&gt;0,ROUND(USPS_Pri_Int_Base!T18*(1+PostalMarkup),2),"N/A")</f>
        <v>283.13</v>
      </c>
      <c r="U22" s="321">
        <f>IF(LEN(USPS_Pri_Int_Base!U18)&gt;0,ROUND(USPS_Pri_Int_Base!U18*(1+PostalMarkup),2),"N/A")</f>
        <v>189.44</v>
      </c>
    </row>
    <row r="23" ht="12.75" customHeight="1">
      <c r="A23" s="320">
        <v>18.0</v>
      </c>
      <c r="B23" s="321">
        <f>IF(LEN(USPS_Pri_Int_Base!B19)&gt;0,ROUND(USPS_Pri_Int_Base!B19*(1+PostalMarkup),2),"N/A")</f>
        <v>206.75</v>
      </c>
      <c r="C23" s="321">
        <f>IF(LEN(USPS_Pri_Int_Base!C19)&gt;0,ROUND(USPS_Pri_Int_Base!C19*(1+PostalMarkup),2),"N/A")</f>
        <v>189.47</v>
      </c>
      <c r="D23" s="321">
        <f>IF(LEN(USPS_Pri_Int_Base!D19)&gt;0,ROUND(USPS_Pri_Int_Base!D19*(1+PostalMarkup),2),"N/A")</f>
        <v>204.64</v>
      </c>
      <c r="E23" s="321">
        <f>IF(LEN(USPS_Pri_Int_Base!E19)&gt;0,ROUND(USPS_Pri_Int_Base!E19*(1+PostalMarkup),2),"N/A")</f>
        <v>201.3</v>
      </c>
      <c r="F23" s="321">
        <f>IF(LEN(USPS_Pri_Int_Base!F19)&gt;0,ROUND(USPS_Pri_Int_Base!F19*(1+PostalMarkup),2),"N/A")</f>
        <v>204.06</v>
      </c>
      <c r="G23" s="321">
        <f>IF(LEN(USPS_Pri_Int_Base!G19)&gt;0,ROUND(USPS_Pri_Int_Base!G19*(1+PostalMarkup),2),"N/A")</f>
        <v>214.02</v>
      </c>
      <c r="H23" s="321">
        <f>IF(LEN(USPS_Pri_Int_Base!H19)&gt;0,ROUND(USPS_Pri_Int_Base!H19*(1+PostalMarkup),2),"N/A")</f>
        <v>224.66</v>
      </c>
      <c r="I23" s="321">
        <f>IF(LEN(USPS_Pri_Int_Base!I19)&gt;0,ROUND(USPS_Pri_Int_Base!I19*(1+PostalMarkup),2),"N/A")</f>
        <v>235.19</v>
      </c>
      <c r="J23" s="321">
        <f>IF(LEN(USPS_Pri_Int_Base!J19)&gt;0,ROUND(USPS_Pri_Int_Base!J19*(1+PostalMarkup),2),"N/A")</f>
        <v>245.5</v>
      </c>
      <c r="K23" s="321">
        <f>IF(LEN(USPS_Pri_Int_Base!K19)&gt;0,ROUND(USPS_Pri_Int_Base!K19*(1+PostalMarkup),2),"N/A")</f>
        <v>199.67</v>
      </c>
      <c r="L23" s="321">
        <f>IF(LEN(USPS_Pri_Int_Base!L19)&gt;0,ROUND(USPS_Pri_Int_Base!L19*(1+PostalMarkup),2),"N/A")</f>
        <v>214.64</v>
      </c>
      <c r="M23" s="321">
        <f>IF(LEN(USPS_Pri_Int_Base!M19)&gt;0,ROUND(USPS_Pri_Int_Base!M19*(1+PostalMarkup),2),"N/A")</f>
        <v>277.58</v>
      </c>
      <c r="N23" s="321">
        <f>IF(LEN(USPS_Pri_Int_Base!N19)&gt;0,ROUND(USPS_Pri_Int_Base!N19*(1+PostalMarkup),2),"N/A")</f>
        <v>206.74</v>
      </c>
      <c r="O23" s="321">
        <f>IF(LEN(USPS_Pri_Int_Base!O19)&gt;0,ROUND(USPS_Pri_Int_Base!O19*(1+PostalMarkup),2),"N/A")</f>
        <v>216.09</v>
      </c>
      <c r="P23" s="321">
        <f>IF(LEN(USPS_Pri_Int_Base!P19)&gt;0,ROUND(USPS_Pri_Int_Base!P19*(1+PostalMarkup),2),"N/A")</f>
        <v>186.93</v>
      </c>
      <c r="Q23" s="321">
        <f>IF(LEN(USPS_Pri_Int_Base!Q19)&gt;0,ROUND(USPS_Pri_Int_Base!Q19*(1+PostalMarkup),2),"N/A")</f>
        <v>207.7</v>
      </c>
      <c r="R23" s="321">
        <f>IF(LEN(USPS_Pri_Int_Base!R19)&gt;0,ROUND(USPS_Pri_Int_Base!R19*(1+PostalMarkup),2),"N/A")</f>
        <v>205.33</v>
      </c>
      <c r="S23" s="321">
        <f>IF(LEN(USPS_Pri_Int_Base!S19)&gt;0,ROUND(USPS_Pri_Int_Base!S19*(1+PostalMarkup),2),"N/A")</f>
        <v>192.52</v>
      </c>
      <c r="T23" s="321">
        <f>IF(LEN(USPS_Pri_Int_Base!T19)&gt;0,ROUND(USPS_Pri_Int_Base!T19*(1+PostalMarkup),2),"N/A")</f>
        <v>292.91</v>
      </c>
      <c r="U23" s="321">
        <f>IF(LEN(USPS_Pri_Int_Base!U19)&gt;0,ROUND(USPS_Pri_Int_Base!U19*(1+PostalMarkup),2),"N/A")</f>
        <v>195.41</v>
      </c>
    </row>
    <row r="24" ht="12.75" customHeight="1">
      <c r="A24" s="320">
        <v>19.0</v>
      </c>
      <c r="B24" s="321">
        <f>IF(LEN(USPS_Pri_Int_Base!B20)&gt;0,ROUND(USPS_Pri_Int_Base!B20*(1+PostalMarkup),2),"N/A")</f>
        <v>214.8</v>
      </c>
      <c r="C24" s="321">
        <f>IF(LEN(USPS_Pri_Int_Base!C20)&gt;0,ROUND(USPS_Pri_Int_Base!C20*(1+PostalMarkup),2),"N/A")</f>
        <v>195.3</v>
      </c>
      <c r="D24" s="321">
        <f>IF(LEN(USPS_Pri_Int_Base!D20)&gt;0,ROUND(USPS_Pri_Int_Base!D20*(1+PostalMarkup),2),"N/A")</f>
        <v>211.49</v>
      </c>
      <c r="E24" s="321">
        <f>IF(LEN(USPS_Pri_Int_Base!E20)&gt;0,ROUND(USPS_Pri_Int_Base!E20*(1+PostalMarkup),2),"N/A")</f>
        <v>207.83</v>
      </c>
      <c r="F24" s="321">
        <f>IF(LEN(USPS_Pri_Int_Base!F20)&gt;0,ROUND(USPS_Pri_Int_Base!F20*(1+PostalMarkup),2),"N/A")</f>
        <v>210.78</v>
      </c>
      <c r="G24" s="321">
        <f>IF(LEN(USPS_Pri_Int_Base!G20)&gt;0,ROUND(USPS_Pri_Int_Base!G20*(1+PostalMarkup),2),"N/A")</f>
        <v>221.49</v>
      </c>
      <c r="H24" s="321">
        <f>IF(LEN(USPS_Pri_Int_Base!H20)&gt;0,ROUND(USPS_Pri_Int_Base!H20*(1+PostalMarkup),2),"N/A")</f>
        <v>232.54</v>
      </c>
      <c r="I24" s="321">
        <f>IF(LEN(USPS_Pri_Int_Base!I20)&gt;0,ROUND(USPS_Pri_Int_Base!I20*(1+PostalMarkup),2),"N/A")</f>
        <v>243.83</v>
      </c>
      <c r="J24" s="321">
        <f>IF(LEN(USPS_Pri_Int_Base!J20)&gt;0,ROUND(USPS_Pri_Int_Base!J20*(1+PostalMarkup),2),"N/A")</f>
        <v>254.63</v>
      </c>
      <c r="K24" s="321">
        <f>IF(LEN(USPS_Pri_Int_Base!K20)&gt;0,ROUND(USPS_Pri_Int_Base!K20*(1+PostalMarkup),2),"N/A")</f>
        <v>207.44</v>
      </c>
      <c r="L24" s="321">
        <f>IF(LEN(USPS_Pri_Int_Base!L20)&gt;0,ROUND(USPS_Pri_Int_Base!L20*(1+PostalMarkup),2),"N/A")</f>
        <v>221.7</v>
      </c>
      <c r="M24" s="321">
        <f>IF(LEN(USPS_Pri_Int_Base!M20)&gt;0,ROUND(USPS_Pri_Int_Base!M20*(1+PostalMarkup),2),"N/A")</f>
        <v>287.79</v>
      </c>
      <c r="N24" s="321">
        <f>IF(LEN(USPS_Pri_Int_Base!N20)&gt;0,ROUND(USPS_Pri_Int_Base!N20*(1+PostalMarkup),2),"N/A")</f>
        <v>212.97</v>
      </c>
      <c r="O24" s="321">
        <f>IF(LEN(USPS_Pri_Int_Base!O20)&gt;0,ROUND(USPS_Pri_Int_Base!O20*(1+PostalMarkup),2),"N/A")</f>
        <v>224.39</v>
      </c>
      <c r="P24" s="321">
        <f>IF(LEN(USPS_Pri_Int_Base!P20)&gt;0,ROUND(USPS_Pri_Int_Base!P20*(1+PostalMarkup),2),"N/A")</f>
        <v>192.02</v>
      </c>
      <c r="Q24" s="321">
        <f>IF(LEN(USPS_Pri_Int_Base!Q20)&gt;0,ROUND(USPS_Pri_Int_Base!Q20*(1+PostalMarkup),2),"N/A")</f>
        <v>213.35</v>
      </c>
      <c r="R24" s="321">
        <f>IF(LEN(USPS_Pri_Int_Base!R20)&gt;0,ROUND(USPS_Pri_Int_Base!R20*(1+PostalMarkup),2),"N/A")</f>
        <v>211.62</v>
      </c>
      <c r="S24" s="321">
        <f>IF(LEN(USPS_Pri_Int_Base!S20)&gt;0,ROUND(USPS_Pri_Int_Base!S20*(1+PostalMarkup),2),"N/A")</f>
        <v>198.73</v>
      </c>
      <c r="T24" s="321">
        <f>IF(LEN(USPS_Pri_Int_Base!T20)&gt;0,ROUND(USPS_Pri_Int_Base!T20*(1+PostalMarkup),2),"N/A")</f>
        <v>302.67</v>
      </c>
      <c r="U24" s="321">
        <f>IF(LEN(USPS_Pri_Int_Base!U20)&gt;0,ROUND(USPS_Pri_Int_Base!U20*(1+PostalMarkup),2),"N/A")</f>
        <v>201.14</v>
      </c>
    </row>
    <row r="25" ht="12.75" customHeight="1">
      <c r="A25" s="320">
        <v>20.0</v>
      </c>
      <c r="B25" s="321">
        <f>IF(LEN(USPS_Pri_Int_Base!B21)&gt;0,ROUND(USPS_Pri_Int_Base!B21*(1+PostalMarkup),2),"N/A")</f>
        <v>223.96</v>
      </c>
      <c r="C25" s="321">
        <f>IF(LEN(USPS_Pri_Int_Base!C21)&gt;0,ROUND(USPS_Pri_Int_Base!C21*(1+PostalMarkup),2),"N/A")</f>
        <v>201.14</v>
      </c>
      <c r="D25" s="321">
        <f>IF(LEN(USPS_Pri_Int_Base!D21)&gt;0,ROUND(USPS_Pri_Int_Base!D21*(1+PostalMarkup),2),"N/A")</f>
        <v>218.37</v>
      </c>
      <c r="E25" s="321">
        <f>IF(LEN(USPS_Pri_Int_Base!E21)&gt;0,ROUND(USPS_Pri_Int_Base!E21*(1+PostalMarkup),2),"N/A")</f>
        <v>215.03</v>
      </c>
      <c r="F25" s="321">
        <f>IF(LEN(USPS_Pri_Int_Base!F21)&gt;0,ROUND(USPS_Pri_Int_Base!F21*(1+PostalMarkup),2),"N/A")</f>
        <v>217.05</v>
      </c>
      <c r="G25" s="321">
        <f>IF(LEN(USPS_Pri_Int_Base!G21)&gt;0,ROUND(USPS_Pri_Int_Base!G21*(1+PostalMarkup),2),"N/A")</f>
        <v>229.05</v>
      </c>
      <c r="H25" s="321">
        <f>IF(LEN(USPS_Pri_Int_Base!H21)&gt;0,ROUND(USPS_Pri_Int_Base!H21*(1+PostalMarkup),2),"N/A")</f>
        <v>240.52</v>
      </c>
      <c r="I25" s="321">
        <f>IF(LEN(USPS_Pri_Int_Base!I21)&gt;0,ROUND(USPS_Pri_Int_Base!I21*(1+PostalMarkup),2),"N/A")</f>
        <v>252.47</v>
      </c>
      <c r="J25" s="321">
        <f>IF(LEN(USPS_Pri_Int_Base!J21)&gt;0,ROUND(USPS_Pri_Int_Base!J21*(1+PostalMarkup),2),"N/A")</f>
        <v>265.16</v>
      </c>
      <c r="K25" s="321">
        <f>IF(LEN(USPS_Pri_Int_Base!K21)&gt;0,ROUND(USPS_Pri_Int_Base!K21*(1+PostalMarkup),2),"N/A")</f>
        <v>214.29</v>
      </c>
      <c r="L25" s="321">
        <f>IF(LEN(USPS_Pri_Int_Base!L21)&gt;0,ROUND(USPS_Pri_Int_Base!L21*(1+PostalMarkup),2),"N/A")</f>
        <v>229.09</v>
      </c>
      <c r="M25" s="321">
        <f>IF(LEN(USPS_Pri_Int_Base!M21)&gt;0,ROUND(USPS_Pri_Int_Base!M21*(1+PostalMarkup),2),"N/A")</f>
        <v>298.01</v>
      </c>
      <c r="N25" s="321">
        <f>IF(LEN(USPS_Pri_Int_Base!N21)&gt;0,ROUND(USPS_Pri_Int_Base!N21*(1+PostalMarkup),2),"N/A")</f>
        <v>220.24</v>
      </c>
      <c r="O25" s="321">
        <f>IF(LEN(USPS_Pri_Int_Base!O21)&gt;0,ROUND(USPS_Pri_Int_Base!O21*(1+PostalMarkup),2),"N/A")</f>
        <v>232.69</v>
      </c>
      <c r="P25" s="321">
        <f>IF(LEN(USPS_Pri_Int_Base!P21)&gt;0,ROUND(USPS_Pri_Int_Base!P21*(1+PostalMarkup),2),"N/A")</f>
        <v>198</v>
      </c>
      <c r="Q25" s="321">
        <f>IF(LEN(USPS_Pri_Int_Base!Q21)&gt;0,ROUND(USPS_Pri_Int_Base!Q21*(1+PostalMarkup),2),"N/A")</f>
        <v>219.78</v>
      </c>
      <c r="R25" s="321">
        <f>IF(LEN(USPS_Pri_Int_Base!R21)&gt;0,ROUND(USPS_Pri_Int_Base!R21*(1+PostalMarkup),2),"N/A")</f>
        <v>218.64</v>
      </c>
      <c r="S25" s="321">
        <f>IF(LEN(USPS_Pri_Int_Base!S21)&gt;0,ROUND(USPS_Pri_Int_Base!S21*(1+PostalMarkup),2),"N/A")</f>
        <v>204.92</v>
      </c>
      <c r="T25" s="321">
        <f>IF(LEN(USPS_Pri_Int_Base!T21)&gt;0,ROUND(USPS_Pri_Int_Base!T21*(1+PostalMarkup),2),"N/A")</f>
        <v>312.44</v>
      </c>
      <c r="U25" s="321">
        <f>IF(LEN(USPS_Pri_Int_Base!U21)&gt;0,ROUND(USPS_Pri_Int_Base!U21*(1+PostalMarkup),2),"N/A")</f>
        <v>206.94</v>
      </c>
    </row>
    <row r="26" ht="12.75" customHeight="1">
      <c r="A26" s="320">
        <v>21.0</v>
      </c>
      <c r="B26" s="321">
        <f>IF(LEN(USPS_Pri_Int_Base!B22)&gt;0,ROUND(USPS_Pri_Int_Base!B22*(1+PostalMarkup),2),"N/A")</f>
        <v>230.39</v>
      </c>
      <c r="C26" s="321">
        <f>IF(LEN(USPS_Pri_Int_Base!C22)&gt;0,ROUND(USPS_Pri_Int_Base!C22*(1+PostalMarkup),2),"N/A")</f>
        <v>205.22</v>
      </c>
      <c r="D26" s="321">
        <f>IF(LEN(USPS_Pri_Int_Base!D22)&gt;0,ROUND(USPS_Pri_Int_Base!D22*(1+PostalMarkup),2),"N/A")</f>
        <v>225.02</v>
      </c>
      <c r="E26" s="321">
        <f>IF(LEN(USPS_Pri_Int_Base!E22)&gt;0,ROUND(USPS_Pri_Int_Base!E22*(1+PostalMarkup),2),"N/A")</f>
        <v>219.8</v>
      </c>
      <c r="F26" s="321">
        <f>IF(LEN(USPS_Pri_Int_Base!F22)&gt;0,ROUND(USPS_Pri_Int_Base!F22*(1+PostalMarkup),2),"N/A")</f>
        <v>221.06</v>
      </c>
      <c r="G26" s="321">
        <f>IF(LEN(USPS_Pri_Int_Base!G22)&gt;0,ROUND(USPS_Pri_Int_Base!G22*(1+PostalMarkup),2),"N/A")</f>
        <v>234.95</v>
      </c>
      <c r="H26" s="321">
        <f>IF(LEN(USPS_Pri_Int_Base!H22)&gt;0,ROUND(USPS_Pri_Int_Base!H22*(1+PostalMarkup),2),"N/A")</f>
        <v>246.39</v>
      </c>
      <c r="I26" s="321">
        <f>IF(LEN(USPS_Pri_Int_Base!I22)&gt;0,ROUND(USPS_Pri_Int_Base!I22*(1+PostalMarkup),2),"N/A")</f>
        <v>261.37</v>
      </c>
      <c r="J26" s="321">
        <f>IF(LEN(USPS_Pri_Int_Base!J22)&gt;0,ROUND(USPS_Pri_Int_Base!J22*(1+PostalMarkup),2),"N/A")</f>
        <v>271.95</v>
      </c>
      <c r="K26" s="321">
        <f>IF(LEN(USPS_Pri_Int_Base!K22)&gt;0,ROUND(USPS_Pri_Int_Base!K22*(1+PostalMarkup),2),"N/A")</f>
        <v>219.71</v>
      </c>
      <c r="L26" s="321">
        <f>IF(LEN(USPS_Pri_Int_Base!L22)&gt;0,ROUND(USPS_Pri_Int_Base!L22*(1+PostalMarkup),2),"N/A")</f>
        <v>234.3</v>
      </c>
      <c r="M26" s="321">
        <f>IF(LEN(USPS_Pri_Int_Base!M22)&gt;0,ROUND(USPS_Pri_Int_Base!M22*(1+PostalMarkup),2),"N/A")</f>
        <v>308.5</v>
      </c>
      <c r="N26" s="321">
        <f>IF(LEN(USPS_Pri_Int_Base!N22)&gt;0,ROUND(USPS_Pri_Int_Base!N22*(1+PostalMarkup),2),"N/A")</f>
        <v>226.96</v>
      </c>
      <c r="O26" s="321">
        <f>IF(LEN(USPS_Pri_Int_Base!O22)&gt;0,ROUND(USPS_Pri_Int_Base!O22*(1+PostalMarkup),2),"N/A")</f>
        <v>236.42</v>
      </c>
      <c r="P26" s="321">
        <f>IF(LEN(USPS_Pri_Int_Base!P22)&gt;0,ROUND(USPS_Pri_Int_Base!P22*(1+PostalMarkup),2),"N/A")</f>
        <v>201.49</v>
      </c>
      <c r="Q26" s="321">
        <f>IF(LEN(USPS_Pri_Int_Base!Q22)&gt;0,ROUND(USPS_Pri_Int_Base!Q22*(1+PostalMarkup),2),"N/A")</f>
        <v>223.13</v>
      </c>
      <c r="R26" s="321">
        <f>IF(LEN(USPS_Pri_Int_Base!R22)&gt;0,ROUND(USPS_Pri_Int_Base!R22*(1+PostalMarkup),2),"N/A")</f>
        <v>222.53</v>
      </c>
      <c r="S26" s="321">
        <f>IF(LEN(USPS_Pri_Int_Base!S22)&gt;0,ROUND(USPS_Pri_Int_Base!S22*(1+PostalMarkup),2),"N/A")</f>
        <v>208.91</v>
      </c>
      <c r="T26" s="321">
        <f>IF(LEN(USPS_Pri_Int_Base!T22)&gt;0,ROUND(USPS_Pri_Int_Base!T22*(1+PostalMarkup),2),"N/A")</f>
        <v>322.21</v>
      </c>
      <c r="U26" s="321">
        <f>IF(LEN(USPS_Pri_Int_Base!U22)&gt;0,ROUND(USPS_Pri_Int_Base!U22*(1+PostalMarkup),2),"N/A")</f>
        <v>212.75</v>
      </c>
    </row>
    <row r="27" ht="12.75" customHeight="1">
      <c r="A27" s="320">
        <v>22.0</v>
      </c>
      <c r="B27" s="321">
        <f>IF(LEN(USPS_Pri_Int_Base!B23)&gt;0,ROUND(USPS_Pri_Int_Base!B23*(1+PostalMarkup),2),"N/A")</f>
        <v>236.52</v>
      </c>
      <c r="C27" s="321">
        <f>IF(LEN(USPS_Pri_Int_Base!C23)&gt;0,ROUND(USPS_Pri_Int_Base!C23*(1+PostalMarkup),2),"N/A")</f>
        <v>209.51</v>
      </c>
      <c r="D27" s="321">
        <f>IF(LEN(USPS_Pri_Int_Base!D23)&gt;0,ROUND(USPS_Pri_Int_Base!D23*(1+PostalMarkup),2),"N/A")</f>
        <v>231.9</v>
      </c>
      <c r="E27" s="321">
        <f>IF(LEN(USPS_Pri_Int_Base!E23)&gt;0,ROUND(USPS_Pri_Int_Base!E23*(1+PostalMarkup),2),"N/A")</f>
        <v>225.19</v>
      </c>
      <c r="F27" s="321">
        <f>IF(LEN(USPS_Pri_Int_Base!F23)&gt;0,ROUND(USPS_Pri_Int_Base!F23*(1+PostalMarkup),2),"N/A")</f>
        <v>226.73</v>
      </c>
      <c r="G27" s="321">
        <f>IF(LEN(USPS_Pri_Int_Base!G23)&gt;0,ROUND(USPS_Pri_Int_Base!G23*(1+PostalMarkup),2),"N/A")</f>
        <v>241.2</v>
      </c>
      <c r="H27" s="321">
        <f>IF(LEN(USPS_Pri_Int_Base!H23)&gt;0,ROUND(USPS_Pri_Int_Base!H23*(1+PostalMarkup),2),"N/A")</f>
        <v>252.37</v>
      </c>
      <c r="I27" s="321">
        <f>IF(LEN(USPS_Pri_Int_Base!I23)&gt;0,ROUND(USPS_Pri_Int_Base!I23*(1+PostalMarkup),2),"N/A")</f>
        <v>270.01</v>
      </c>
      <c r="J27" s="321">
        <f>IF(LEN(USPS_Pri_Int_Base!J23)&gt;0,ROUND(USPS_Pri_Int_Base!J23*(1+PostalMarkup),2),"N/A")</f>
        <v>278.99</v>
      </c>
      <c r="K27" s="321">
        <f>IF(LEN(USPS_Pri_Int_Base!K23)&gt;0,ROUND(USPS_Pri_Int_Base!K23*(1+PostalMarkup),2),"N/A")</f>
        <v>225.33</v>
      </c>
      <c r="L27" s="321">
        <f>IF(LEN(USPS_Pri_Int_Base!L23)&gt;0,ROUND(USPS_Pri_Int_Base!L23*(1+PostalMarkup),2),"N/A")</f>
        <v>239.98</v>
      </c>
      <c r="M27" s="321">
        <f>IF(LEN(USPS_Pri_Int_Base!M23)&gt;0,ROUND(USPS_Pri_Int_Base!M23*(1+PostalMarkup),2),"N/A")</f>
        <v>318.72</v>
      </c>
      <c r="N27" s="321">
        <f>IF(LEN(USPS_Pri_Int_Base!N23)&gt;0,ROUND(USPS_Pri_Int_Base!N23*(1+PostalMarkup),2),"N/A")</f>
        <v>233.86</v>
      </c>
      <c r="O27" s="321">
        <f>IF(LEN(USPS_Pri_Int_Base!O23)&gt;0,ROUND(USPS_Pri_Int_Base!O23*(1+PostalMarkup),2),"N/A")</f>
        <v>240.14</v>
      </c>
      <c r="P27" s="321">
        <f>IF(LEN(USPS_Pri_Int_Base!P23)&gt;0,ROUND(USPS_Pri_Int_Base!P23*(1+PostalMarkup),2),"N/A")</f>
        <v>205.55</v>
      </c>
      <c r="Q27" s="321">
        <f>IF(LEN(USPS_Pri_Int_Base!Q23)&gt;0,ROUND(USPS_Pri_Int_Base!Q23*(1+PostalMarkup),2),"N/A")</f>
        <v>226.45</v>
      </c>
      <c r="R27" s="321">
        <f>IF(LEN(USPS_Pri_Int_Base!R23)&gt;0,ROUND(USPS_Pri_Int_Base!R23*(1+PostalMarkup),2),"N/A")</f>
        <v>228.06</v>
      </c>
      <c r="S27" s="321">
        <f>IF(LEN(USPS_Pri_Int_Base!S23)&gt;0,ROUND(USPS_Pri_Int_Base!S23*(1+PostalMarkup),2),"N/A")</f>
        <v>213.61</v>
      </c>
      <c r="T27" s="321">
        <f>IF(LEN(USPS_Pri_Int_Base!T23)&gt;0,ROUND(USPS_Pri_Int_Base!T23*(1+PostalMarkup),2),"N/A")</f>
        <v>331.98</v>
      </c>
      <c r="U27" s="321">
        <f>IF(LEN(USPS_Pri_Int_Base!U23)&gt;0,ROUND(USPS_Pri_Int_Base!U23*(1+PostalMarkup),2),"N/A")</f>
        <v>218.62</v>
      </c>
    </row>
    <row r="28" ht="12.75" customHeight="1">
      <c r="A28" s="320">
        <v>23.0</v>
      </c>
      <c r="B28" s="321">
        <f>IF(LEN(USPS_Pri_Int_Base!B24)&gt;0,ROUND(USPS_Pri_Int_Base!B24*(1+PostalMarkup),2),"N/A")</f>
        <v>243.59</v>
      </c>
      <c r="C28" s="321">
        <f>IF(LEN(USPS_Pri_Int_Base!C24)&gt;0,ROUND(USPS_Pri_Int_Base!C24*(1+PostalMarkup),2),"N/A")</f>
        <v>213.9</v>
      </c>
      <c r="D28" s="321">
        <f>IF(LEN(USPS_Pri_Int_Base!D24)&gt;0,ROUND(USPS_Pri_Int_Base!D24*(1+PostalMarkup),2),"N/A")</f>
        <v>238.75</v>
      </c>
      <c r="E28" s="321">
        <f>IF(LEN(USPS_Pri_Int_Base!E24)&gt;0,ROUND(USPS_Pri_Int_Base!E24*(1+PostalMarkup),2),"N/A")</f>
        <v>229.84</v>
      </c>
      <c r="F28" s="321">
        <f>IF(LEN(USPS_Pri_Int_Base!F24)&gt;0,ROUND(USPS_Pri_Int_Base!F24*(1+PostalMarkup),2),"N/A")</f>
        <v>231.22</v>
      </c>
      <c r="G28" s="321">
        <f>IF(LEN(USPS_Pri_Int_Base!G24)&gt;0,ROUND(USPS_Pri_Int_Base!G24*(1+PostalMarkup),2),"N/A")</f>
        <v>247.12</v>
      </c>
      <c r="H28" s="321">
        <f>IF(LEN(USPS_Pri_Int_Base!H24)&gt;0,ROUND(USPS_Pri_Int_Base!H24*(1+PostalMarkup),2),"N/A")</f>
        <v>258.06</v>
      </c>
      <c r="I28" s="321">
        <f>IF(LEN(USPS_Pri_Int_Base!I24)&gt;0,ROUND(USPS_Pri_Int_Base!I24*(1+PostalMarkup),2),"N/A")</f>
        <v>278.66</v>
      </c>
      <c r="J28" s="321">
        <f>IF(LEN(USPS_Pri_Int_Base!J24)&gt;0,ROUND(USPS_Pri_Int_Base!J24*(1+PostalMarkup),2),"N/A")</f>
        <v>285.9</v>
      </c>
      <c r="K28" s="321">
        <f>IF(LEN(USPS_Pri_Int_Base!K24)&gt;0,ROUND(USPS_Pri_Int_Base!K24*(1+PostalMarkup),2),"N/A")</f>
        <v>230.92</v>
      </c>
      <c r="L28" s="321">
        <f>IF(LEN(USPS_Pri_Int_Base!L24)&gt;0,ROUND(USPS_Pri_Int_Base!L24*(1+PostalMarkup),2),"N/A")</f>
        <v>245.07</v>
      </c>
      <c r="M28" s="321">
        <f>IF(LEN(USPS_Pri_Int_Base!M24)&gt;0,ROUND(USPS_Pri_Int_Base!M24*(1+PostalMarkup),2),"N/A")</f>
        <v>328.93</v>
      </c>
      <c r="N28" s="321">
        <f>IF(LEN(USPS_Pri_Int_Base!N24)&gt;0,ROUND(USPS_Pri_Int_Base!N24*(1+PostalMarkup),2),"N/A")</f>
        <v>240.86</v>
      </c>
      <c r="O28" s="321">
        <f>IF(LEN(USPS_Pri_Int_Base!O24)&gt;0,ROUND(USPS_Pri_Int_Base!O24*(1+PostalMarkup),2),"N/A")</f>
        <v>247.35</v>
      </c>
      <c r="P28" s="321">
        <f>IF(LEN(USPS_Pri_Int_Base!P24)&gt;0,ROUND(USPS_Pri_Int_Base!P24*(1+PostalMarkup),2),"N/A")</f>
        <v>210.66</v>
      </c>
      <c r="Q28" s="321">
        <f>IF(LEN(USPS_Pri_Int_Base!Q24)&gt;0,ROUND(USPS_Pri_Int_Base!Q24*(1+PostalMarkup),2),"N/A")</f>
        <v>231.98</v>
      </c>
      <c r="R28" s="321">
        <f>IF(LEN(USPS_Pri_Int_Base!R24)&gt;0,ROUND(USPS_Pri_Int_Base!R24*(1+PostalMarkup),2),"N/A")</f>
        <v>233.11</v>
      </c>
      <c r="S28" s="321">
        <f>IF(LEN(USPS_Pri_Int_Base!S24)&gt;0,ROUND(USPS_Pri_Int_Base!S24*(1+PostalMarkup),2),"N/A")</f>
        <v>218.41</v>
      </c>
      <c r="T28" s="321">
        <f>IF(LEN(USPS_Pri_Int_Base!T24)&gt;0,ROUND(USPS_Pri_Int_Base!T24*(1+PostalMarkup),2),"N/A")</f>
        <v>341.75</v>
      </c>
      <c r="U28" s="321">
        <f>IF(LEN(USPS_Pri_Int_Base!U24)&gt;0,ROUND(USPS_Pri_Int_Base!U24*(1+PostalMarkup),2),"N/A")</f>
        <v>224.28</v>
      </c>
    </row>
    <row r="29" ht="12.75" customHeight="1">
      <c r="A29" s="320">
        <v>24.0</v>
      </c>
      <c r="B29" s="321">
        <f>IF(LEN(USPS_Pri_Int_Base!B25)&gt;0,ROUND(USPS_Pri_Int_Base!B25*(1+PostalMarkup),2),"N/A")</f>
        <v>250.1</v>
      </c>
      <c r="C29" s="321">
        <f>IF(LEN(USPS_Pri_Int_Base!C25)&gt;0,ROUND(USPS_Pri_Int_Base!C25*(1+PostalMarkup),2),"N/A")</f>
        <v>218.03</v>
      </c>
      <c r="D29" s="321">
        <f>IF(LEN(USPS_Pri_Int_Base!D25)&gt;0,ROUND(USPS_Pri_Int_Base!D25*(1+PostalMarkup),2),"N/A")</f>
        <v>245.62</v>
      </c>
      <c r="E29" s="321">
        <f>IF(LEN(USPS_Pri_Int_Base!E25)&gt;0,ROUND(USPS_Pri_Int_Base!E25*(1+PostalMarkup),2),"N/A")</f>
        <v>235.11</v>
      </c>
      <c r="F29" s="321">
        <f>IF(LEN(USPS_Pri_Int_Base!F25)&gt;0,ROUND(USPS_Pri_Int_Base!F25*(1+PostalMarkup),2),"N/A")</f>
        <v>236.37</v>
      </c>
      <c r="G29" s="321">
        <f>IF(LEN(USPS_Pri_Int_Base!G25)&gt;0,ROUND(USPS_Pri_Int_Base!G25*(1+PostalMarkup),2),"N/A")</f>
        <v>252.44</v>
      </c>
      <c r="H29" s="321">
        <f>IF(LEN(USPS_Pri_Int_Base!H25)&gt;0,ROUND(USPS_Pri_Int_Base!H25*(1+PostalMarkup),2),"N/A")</f>
        <v>264.22</v>
      </c>
      <c r="I29" s="321">
        <f>IF(LEN(USPS_Pri_Int_Base!I25)&gt;0,ROUND(USPS_Pri_Int_Base!I25*(1+PostalMarkup),2),"N/A")</f>
        <v>287.3</v>
      </c>
      <c r="J29" s="321">
        <f>IF(LEN(USPS_Pri_Int_Base!J25)&gt;0,ROUND(USPS_Pri_Int_Base!J25*(1+PostalMarkup),2),"N/A")</f>
        <v>292.28</v>
      </c>
      <c r="K29" s="321">
        <f>IF(LEN(USPS_Pri_Int_Base!K25)&gt;0,ROUND(USPS_Pri_Int_Base!K25*(1+PostalMarkup),2),"N/A")</f>
        <v>236.5</v>
      </c>
      <c r="L29" s="321">
        <f>IF(LEN(USPS_Pri_Int_Base!L25)&gt;0,ROUND(USPS_Pri_Int_Base!L25*(1+PostalMarkup),2),"N/A")</f>
        <v>250.59</v>
      </c>
      <c r="M29" s="321">
        <f>IF(LEN(USPS_Pri_Int_Base!M25)&gt;0,ROUND(USPS_Pri_Int_Base!M25*(1+PostalMarkup),2),"N/A")</f>
        <v>339.17</v>
      </c>
      <c r="N29" s="321">
        <f>IF(LEN(USPS_Pri_Int_Base!N25)&gt;0,ROUND(USPS_Pri_Int_Base!N25*(1+PostalMarkup),2),"N/A")</f>
        <v>246.96</v>
      </c>
      <c r="O29" s="321">
        <f>IF(LEN(USPS_Pri_Int_Base!O25)&gt;0,ROUND(USPS_Pri_Int_Base!O25*(1+PostalMarkup),2),"N/A")</f>
        <v>254.56</v>
      </c>
      <c r="P29" s="321">
        <f>IF(LEN(USPS_Pri_Int_Base!P25)&gt;0,ROUND(USPS_Pri_Int_Base!P25*(1+PostalMarkup),2),"N/A")</f>
        <v>214.95</v>
      </c>
      <c r="Q29" s="321">
        <f>IF(LEN(USPS_Pri_Int_Base!Q25)&gt;0,ROUND(USPS_Pri_Int_Base!Q25*(1+PostalMarkup),2),"N/A")</f>
        <v>236.54</v>
      </c>
      <c r="R29" s="321">
        <f>IF(LEN(USPS_Pri_Int_Base!R25)&gt;0,ROUND(USPS_Pri_Int_Base!R25*(1+PostalMarkup),2),"N/A")</f>
        <v>237.84</v>
      </c>
      <c r="S29" s="321">
        <f>IF(LEN(USPS_Pri_Int_Base!S25)&gt;0,ROUND(USPS_Pri_Int_Base!S25*(1+PostalMarkup),2),"N/A")</f>
        <v>222.4</v>
      </c>
      <c r="T29" s="321">
        <f>IF(LEN(USPS_Pri_Int_Base!T25)&gt;0,ROUND(USPS_Pri_Int_Base!T25*(1+PostalMarkup),2),"N/A")</f>
        <v>345.05</v>
      </c>
      <c r="U29" s="321">
        <f>IF(LEN(USPS_Pri_Int_Base!U25)&gt;0,ROUND(USPS_Pri_Int_Base!U25*(1+PostalMarkup),2),"N/A")</f>
        <v>230.31</v>
      </c>
    </row>
    <row r="30" ht="12.75" customHeight="1">
      <c r="A30" s="320">
        <v>25.0</v>
      </c>
      <c r="B30" s="321">
        <f>IF(LEN(USPS_Pri_Int_Base!B26)&gt;0,ROUND(USPS_Pri_Int_Base!B26*(1+PostalMarkup),2),"N/A")</f>
        <v>256.96</v>
      </c>
      <c r="C30" s="321">
        <f>IF(LEN(USPS_Pri_Int_Base!C26)&gt;0,ROUND(USPS_Pri_Int_Base!C26*(1+PostalMarkup),2),"N/A")</f>
        <v>222.17</v>
      </c>
      <c r="D30" s="321">
        <f>IF(LEN(USPS_Pri_Int_Base!D26)&gt;0,ROUND(USPS_Pri_Int_Base!D26*(1+PostalMarkup),2),"N/A")</f>
        <v>252.48</v>
      </c>
      <c r="E30" s="321">
        <f>IF(LEN(USPS_Pri_Int_Base!E26)&gt;0,ROUND(USPS_Pri_Int_Base!E26*(1+PostalMarkup),2),"N/A")</f>
        <v>240.27</v>
      </c>
      <c r="F30" s="321">
        <f>IF(LEN(USPS_Pri_Int_Base!F26)&gt;0,ROUND(USPS_Pri_Int_Base!F26*(1+PostalMarkup),2),"N/A")</f>
        <v>240.58</v>
      </c>
      <c r="G30" s="321">
        <f>IF(LEN(USPS_Pri_Int_Base!G26)&gt;0,ROUND(USPS_Pri_Int_Base!G26*(1+PostalMarkup),2),"N/A")</f>
        <v>259.13</v>
      </c>
      <c r="H30" s="321">
        <f>IF(LEN(USPS_Pri_Int_Base!H26)&gt;0,ROUND(USPS_Pri_Int_Base!H26*(1+PostalMarkup),2),"N/A")</f>
        <v>270.49</v>
      </c>
      <c r="I30" s="321">
        <f>IF(LEN(USPS_Pri_Int_Base!I26)&gt;0,ROUND(USPS_Pri_Int_Base!I26*(1+PostalMarkup),2),"N/A")</f>
        <v>295.94</v>
      </c>
      <c r="J30" s="321">
        <f>IF(LEN(USPS_Pri_Int_Base!J26)&gt;0,ROUND(USPS_Pri_Int_Base!J26*(1+PostalMarkup),2),"N/A")</f>
        <v>299.4</v>
      </c>
      <c r="K30" s="321">
        <f>IF(LEN(USPS_Pri_Int_Base!K26)&gt;0,ROUND(USPS_Pri_Int_Base!K26*(1+PostalMarkup),2),"N/A")</f>
        <v>241.93</v>
      </c>
      <c r="L30" s="321">
        <f>IF(LEN(USPS_Pri_Int_Base!L26)&gt;0,ROUND(USPS_Pri_Int_Base!L26*(1+PostalMarkup),2),"N/A")</f>
        <v>255.74</v>
      </c>
      <c r="M30" s="321">
        <f>IF(LEN(USPS_Pri_Int_Base!M26)&gt;0,ROUND(USPS_Pri_Int_Base!M26*(1+PostalMarkup),2),"N/A")</f>
        <v>349.4</v>
      </c>
      <c r="N30" s="321">
        <f>IF(LEN(USPS_Pri_Int_Base!N26)&gt;0,ROUND(USPS_Pri_Int_Base!N26*(1+PostalMarkup),2),"N/A")</f>
        <v>254.23</v>
      </c>
      <c r="O30" s="321">
        <f>IF(LEN(USPS_Pri_Int_Base!O26)&gt;0,ROUND(USPS_Pri_Int_Base!O26*(1+PostalMarkup),2),"N/A")</f>
        <v>261.8</v>
      </c>
      <c r="P30" s="321">
        <f>IF(LEN(USPS_Pri_Int_Base!P26)&gt;0,ROUND(USPS_Pri_Int_Base!P26*(1+PostalMarkup),2),"N/A")</f>
        <v>217.9</v>
      </c>
      <c r="Q30" s="321">
        <f>IF(LEN(USPS_Pri_Int_Base!Q26)&gt;0,ROUND(USPS_Pri_Int_Base!Q26*(1+PostalMarkup),2),"N/A")</f>
        <v>240.4</v>
      </c>
      <c r="R30" s="321">
        <f>IF(LEN(USPS_Pri_Int_Base!R26)&gt;0,ROUND(USPS_Pri_Int_Base!R26*(1+PostalMarkup),2),"N/A")</f>
        <v>242.17</v>
      </c>
      <c r="S30" s="321">
        <f>IF(LEN(USPS_Pri_Int_Base!S26)&gt;0,ROUND(USPS_Pri_Int_Base!S26*(1+PostalMarkup),2),"N/A")</f>
        <v>226.92</v>
      </c>
      <c r="T30" s="321">
        <f>IF(LEN(USPS_Pri_Int_Base!T26)&gt;0,ROUND(USPS_Pri_Int_Base!T26*(1+PostalMarkup),2),"N/A")</f>
        <v>354.64</v>
      </c>
      <c r="U30" s="321">
        <f>IF(LEN(USPS_Pri_Int_Base!U26)&gt;0,ROUND(USPS_Pri_Int_Base!U26*(1+PostalMarkup),2),"N/A")</f>
        <v>236.05</v>
      </c>
    </row>
    <row r="31" ht="12.75" customHeight="1">
      <c r="A31" s="320">
        <v>26.0</v>
      </c>
      <c r="B31" s="321">
        <f>IF(LEN(USPS_Pri_Int_Base!B27)&gt;0,ROUND(USPS_Pri_Int_Base!B27*(1+PostalMarkup),2),"N/A")</f>
        <v>262.76</v>
      </c>
      <c r="C31" s="321">
        <f>IF(LEN(USPS_Pri_Int_Base!C27)&gt;0,ROUND(USPS_Pri_Int_Base!C27*(1+PostalMarkup),2),"N/A")</f>
        <v>226.04</v>
      </c>
      <c r="D31" s="321">
        <f>IF(LEN(USPS_Pri_Int_Base!D27)&gt;0,ROUND(USPS_Pri_Int_Base!D27*(1+PostalMarkup),2),"N/A")</f>
        <v>259.34</v>
      </c>
      <c r="E31" s="321">
        <f>IF(LEN(USPS_Pri_Int_Base!E27)&gt;0,ROUND(USPS_Pri_Int_Base!E27*(1+PostalMarkup),2),"N/A")</f>
        <v>244.43</v>
      </c>
      <c r="F31" s="321">
        <f>IF(LEN(USPS_Pri_Int_Base!F27)&gt;0,ROUND(USPS_Pri_Int_Base!F27*(1+PostalMarkup),2),"N/A")</f>
        <v>245.05</v>
      </c>
      <c r="G31" s="321">
        <f>IF(LEN(USPS_Pri_Int_Base!G27)&gt;0,ROUND(USPS_Pri_Int_Base!G27*(1+PostalMarkup),2),"N/A")</f>
        <v>264.32</v>
      </c>
      <c r="H31" s="321">
        <f>IF(LEN(USPS_Pri_Int_Base!H27)&gt;0,ROUND(USPS_Pri_Int_Base!H27*(1+PostalMarkup),2),"N/A")</f>
        <v>276.2</v>
      </c>
      <c r="I31" s="321">
        <f>IF(LEN(USPS_Pri_Int_Base!I27)&gt;0,ROUND(USPS_Pri_Int_Base!I27*(1+PostalMarkup),2),"N/A")</f>
        <v>304.58</v>
      </c>
      <c r="J31" s="321">
        <f>IF(LEN(USPS_Pri_Int_Base!J27)&gt;0,ROUND(USPS_Pri_Int_Base!J27*(1+PostalMarkup),2),"N/A")</f>
        <v>307.79</v>
      </c>
      <c r="K31" s="321">
        <f>IF(LEN(USPS_Pri_Int_Base!K27)&gt;0,ROUND(USPS_Pri_Int_Base!K27*(1+PostalMarkup),2),"N/A")</f>
        <v>246.38</v>
      </c>
      <c r="L31" s="321">
        <f>IF(LEN(USPS_Pri_Int_Base!L27)&gt;0,ROUND(USPS_Pri_Int_Base!L27*(1+PostalMarkup),2),"N/A")</f>
        <v>261</v>
      </c>
      <c r="M31" s="321">
        <f>IF(LEN(USPS_Pri_Int_Base!M27)&gt;0,ROUND(USPS_Pri_Int_Base!M27*(1+PostalMarkup),2),"N/A")</f>
        <v>359.62</v>
      </c>
      <c r="N31" s="321">
        <f>IF(LEN(USPS_Pri_Int_Base!N27)&gt;0,ROUND(USPS_Pri_Int_Base!N27*(1+PostalMarkup),2),"N/A")</f>
        <v>260.87</v>
      </c>
      <c r="O31" s="321">
        <f>IF(LEN(USPS_Pri_Int_Base!O27)&gt;0,ROUND(USPS_Pri_Int_Base!O27*(1+PostalMarkup),2),"N/A")</f>
        <v>269</v>
      </c>
      <c r="P31" s="321">
        <f>IF(LEN(USPS_Pri_Int_Base!P27)&gt;0,ROUND(USPS_Pri_Int_Base!P27*(1+PostalMarkup),2),"N/A")</f>
        <v>222.57</v>
      </c>
      <c r="Q31" s="321">
        <f>IF(LEN(USPS_Pri_Int_Base!Q27)&gt;0,ROUND(USPS_Pri_Int_Base!Q27*(1+PostalMarkup),2),"N/A")</f>
        <v>244.16</v>
      </c>
      <c r="R31" s="321">
        <f>IF(LEN(USPS_Pri_Int_Base!R27)&gt;0,ROUND(USPS_Pri_Int_Base!R27*(1+PostalMarkup),2),"N/A")</f>
        <v>246.7</v>
      </c>
      <c r="S31" s="321">
        <f>IF(LEN(USPS_Pri_Int_Base!S27)&gt;0,ROUND(USPS_Pri_Int_Base!S27*(1+PostalMarkup),2),"N/A")</f>
        <v>231.25</v>
      </c>
      <c r="T31" s="321">
        <f>IF(LEN(USPS_Pri_Int_Base!T27)&gt;0,ROUND(USPS_Pri_Int_Base!T27*(1+PostalMarkup),2),"N/A")</f>
        <v>364.23</v>
      </c>
      <c r="U31" s="321">
        <f>IF(LEN(USPS_Pri_Int_Base!U27)&gt;0,ROUND(USPS_Pri_Int_Base!U27*(1+PostalMarkup),2),"N/A")</f>
        <v>241.95</v>
      </c>
    </row>
    <row r="32" ht="12.75" customHeight="1">
      <c r="A32" s="320">
        <v>27.0</v>
      </c>
      <c r="B32" s="321">
        <f>IF(LEN(USPS_Pri_Int_Base!B28)&gt;0,ROUND(USPS_Pri_Int_Base!B28*(1+PostalMarkup),2),"N/A")</f>
        <v>269.25</v>
      </c>
      <c r="C32" s="321">
        <f>IF(LEN(USPS_Pri_Int_Base!C28)&gt;0,ROUND(USPS_Pri_Int_Base!C28*(1+PostalMarkup),2),"N/A")</f>
        <v>230.26</v>
      </c>
      <c r="D32" s="321">
        <f>IF(LEN(USPS_Pri_Int_Base!D28)&gt;0,ROUND(USPS_Pri_Int_Base!D28*(1+PostalMarkup),2),"N/A")</f>
        <v>266.21</v>
      </c>
      <c r="E32" s="321">
        <f>IF(LEN(USPS_Pri_Int_Base!E28)&gt;0,ROUND(USPS_Pri_Int_Base!E28*(1+PostalMarkup),2),"N/A")</f>
        <v>249.4</v>
      </c>
      <c r="F32" s="321">
        <f>IF(LEN(USPS_Pri_Int_Base!F28)&gt;0,ROUND(USPS_Pri_Int_Base!F28*(1+PostalMarkup),2),"N/A")</f>
        <v>249.65</v>
      </c>
      <c r="G32" s="321">
        <f>IF(LEN(USPS_Pri_Int_Base!G28)&gt;0,ROUND(USPS_Pri_Int_Base!G28*(1+PostalMarkup),2),"N/A")</f>
        <v>269.24</v>
      </c>
      <c r="H32" s="321">
        <f>IF(LEN(USPS_Pri_Int_Base!H28)&gt;0,ROUND(USPS_Pri_Int_Base!H28*(1+PostalMarkup),2),"N/A")</f>
        <v>282.29</v>
      </c>
      <c r="I32" s="321">
        <f>IF(LEN(USPS_Pri_Int_Base!I28)&gt;0,ROUND(USPS_Pri_Int_Base!I28*(1+PostalMarkup),2),"N/A")</f>
        <v>313.25</v>
      </c>
      <c r="J32" s="321">
        <f>IF(LEN(USPS_Pri_Int_Base!J28)&gt;0,ROUND(USPS_Pri_Int_Base!J28*(1+PostalMarkup),2),"N/A")</f>
        <v>316.51</v>
      </c>
      <c r="K32" s="321">
        <f>IF(LEN(USPS_Pri_Int_Base!K28)&gt;0,ROUND(USPS_Pri_Int_Base!K28*(1+PostalMarkup),2),"N/A")</f>
        <v>252.05</v>
      </c>
      <c r="L32" s="321">
        <f>IF(LEN(USPS_Pri_Int_Base!L28)&gt;0,ROUND(USPS_Pri_Int_Base!L28*(1+PostalMarkup),2),"N/A")</f>
        <v>265.77</v>
      </c>
      <c r="M32" s="321">
        <f>IF(LEN(USPS_Pri_Int_Base!M28)&gt;0,ROUND(USPS_Pri_Int_Base!M28*(1+PostalMarkup),2),"N/A")</f>
        <v>369.83</v>
      </c>
      <c r="N32" s="321">
        <f>IF(LEN(USPS_Pri_Int_Base!N28)&gt;0,ROUND(USPS_Pri_Int_Base!N28*(1+PostalMarkup),2),"N/A")</f>
        <v>268.04</v>
      </c>
      <c r="O32" s="321">
        <f>IF(LEN(USPS_Pri_Int_Base!O28)&gt;0,ROUND(USPS_Pri_Int_Base!O28*(1+PostalMarkup),2),"N/A")</f>
        <v>276.22</v>
      </c>
      <c r="P32" s="321">
        <f>IF(LEN(USPS_Pri_Int_Base!P28)&gt;0,ROUND(USPS_Pri_Int_Base!P28*(1+PostalMarkup),2),"N/A")</f>
        <v>226.3</v>
      </c>
      <c r="Q32" s="321">
        <f>IF(LEN(USPS_Pri_Int_Base!Q28)&gt;0,ROUND(USPS_Pri_Int_Base!Q28*(1+PostalMarkup),2),"N/A")</f>
        <v>248.14</v>
      </c>
      <c r="R32" s="321">
        <f>IF(LEN(USPS_Pri_Int_Base!R28)&gt;0,ROUND(USPS_Pri_Int_Base!R28*(1+PostalMarkup),2),"N/A")</f>
        <v>251.74</v>
      </c>
      <c r="S32" s="321">
        <f>IF(LEN(USPS_Pri_Int_Base!S28)&gt;0,ROUND(USPS_Pri_Int_Base!S28*(1+PostalMarkup),2),"N/A")</f>
        <v>235.46</v>
      </c>
      <c r="T32" s="321">
        <f>IF(LEN(USPS_Pri_Int_Base!T28)&gt;0,ROUND(USPS_Pri_Int_Base!T28*(1+PostalMarkup),2),"N/A")</f>
        <v>366.8</v>
      </c>
      <c r="U32" s="321">
        <f>IF(LEN(USPS_Pri_Int_Base!U28)&gt;0,ROUND(USPS_Pri_Int_Base!U28*(1+PostalMarkup),2),"N/A")</f>
        <v>247.79</v>
      </c>
    </row>
    <row r="33" ht="12.75" customHeight="1">
      <c r="A33" s="320">
        <v>28.0</v>
      </c>
      <c r="B33" s="321">
        <f>IF(LEN(USPS_Pri_Int_Base!B29)&gt;0,ROUND(USPS_Pri_Int_Base!B29*(1+PostalMarkup),2),"N/A")</f>
        <v>275.34</v>
      </c>
      <c r="C33" s="321">
        <f>IF(LEN(USPS_Pri_Int_Base!C29)&gt;0,ROUND(USPS_Pri_Int_Base!C29*(1+PostalMarkup),2),"N/A")</f>
        <v>233.93</v>
      </c>
      <c r="D33" s="321">
        <f>IF(LEN(USPS_Pri_Int_Base!D29)&gt;0,ROUND(USPS_Pri_Int_Base!D29*(1+PostalMarkup),2),"N/A")</f>
        <v>273.08</v>
      </c>
      <c r="E33" s="321">
        <f>IF(LEN(USPS_Pri_Int_Base!E29)&gt;0,ROUND(USPS_Pri_Int_Base!E29*(1+PostalMarkup),2),"N/A")</f>
        <v>253.95</v>
      </c>
      <c r="F33" s="321">
        <f>IF(LEN(USPS_Pri_Int_Base!F29)&gt;0,ROUND(USPS_Pri_Int_Base!F29*(1+PostalMarkup),2),"N/A")</f>
        <v>253.63</v>
      </c>
      <c r="G33" s="321">
        <f>IF(LEN(USPS_Pri_Int_Base!G29)&gt;0,ROUND(USPS_Pri_Int_Base!G29*(1+PostalMarkup),2),"N/A")</f>
        <v>274.68</v>
      </c>
      <c r="H33" s="321">
        <f>IF(LEN(USPS_Pri_Int_Base!H29)&gt;0,ROUND(USPS_Pri_Int_Base!H29*(1+PostalMarkup),2),"N/A")</f>
        <v>287.18</v>
      </c>
      <c r="I33" s="321">
        <f>IF(LEN(USPS_Pri_Int_Base!I29)&gt;0,ROUND(USPS_Pri_Int_Base!I29*(1+PostalMarkup),2),"N/A")</f>
        <v>321.89</v>
      </c>
      <c r="J33" s="321">
        <f>IF(LEN(USPS_Pri_Int_Base!J29)&gt;0,ROUND(USPS_Pri_Int_Base!J29*(1+PostalMarkup),2),"N/A")</f>
        <v>325.27</v>
      </c>
      <c r="K33" s="321">
        <f>IF(LEN(USPS_Pri_Int_Base!K29)&gt;0,ROUND(USPS_Pri_Int_Base!K29*(1+PostalMarkup),2),"N/A")</f>
        <v>256.83</v>
      </c>
      <c r="L33" s="321">
        <f>IF(LEN(USPS_Pri_Int_Base!L29)&gt;0,ROUND(USPS_Pri_Int_Base!L29*(1+PostalMarkup),2),"N/A")</f>
        <v>270.69</v>
      </c>
      <c r="M33" s="321">
        <f>IF(LEN(USPS_Pri_Int_Base!M29)&gt;0,ROUND(USPS_Pri_Int_Base!M29*(1+PostalMarkup),2),"N/A")</f>
        <v>380.06</v>
      </c>
      <c r="N33" s="321">
        <f>IF(LEN(USPS_Pri_Int_Base!N29)&gt;0,ROUND(USPS_Pri_Int_Base!N29*(1+PostalMarkup),2),"N/A")</f>
        <v>274.71</v>
      </c>
      <c r="O33" s="321">
        <f>IF(LEN(USPS_Pri_Int_Base!O29)&gt;0,ROUND(USPS_Pri_Int_Base!O29*(1+PostalMarkup),2),"N/A")</f>
        <v>283.43</v>
      </c>
      <c r="P33" s="321">
        <f>IF(LEN(USPS_Pri_Int_Base!P29)&gt;0,ROUND(USPS_Pri_Int_Base!P29*(1+PostalMarkup),2),"N/A")</f>
        <v>230.14</v>
      </c>
      <c r="Q33" s="321">
        <f>IF(LEN(USPS_Pri_Int_Base!Q29)&gt;0,ROUND(USPS_Pri_Int_Base!Q29*(1+PostalMarkup),2),"N/A")</f>
        <v>252.48</v>
      </c>
      <c r="R33" s="321">
        <f>IF(LEN(USPS_Pri_Int_Base!R29)&gt;0,ROUND(USPS_Pri_Int_Base!R29*(1+PostalMarkup),2),"N/A")</f>
        <v>256.08</v>
      </c>
      <c r="S33" s="321">
        <f>IF(LEN(USPS_Pri_Int_Base!S29)&gt;0,ROUND(USPS_Pri_Int_Base!S29*(1+PostalMarkup),2),"N/A")</f>
        <v>240.12</v>
      </c>
      <c r="T33" s="321">
        <f>IF(LEN(USPS_Pri_Int_Base!T29)&gt;0,ROUND(USPS_Pri_Int_Base!T29*(1+PostalMarkup),2),"N/A")</f>
        <v>376.21</v>
      </c>
      <c r="U33" s="321">
        <f>IF(LEN(USPS_Pri_Int_Base!U29)&gt;0,ROUND(USPS_Pri_Int_Base!U29*(1+PostalMarkup),2),"N/A")</f>
        <v>253.53</v>
      </c>
    </row>
    <row r="34" ht="12.75" customHeight="1">
      <c r="A34" s="320">
        <v>29.0</v>
      </c>
      <c r="B34" s="321">
        <f>IF(LEN(USPS_Pri_Int_Base!B30)&gt;0,ROUND(USPS_Pri_Int_Base!B30*(1+PostalMarkup),2),"N/A")</f>
        <v>281.83</v>
      </c>
      <c r="C34" s="321">
        <f>IF(LEN(USPS_Pri_Int_Base!C30)&gt;0,ROUND(USPS_Pri_Int_Base!C30*(1+PostalMarkup),2),"N/A")</f>
        <v>237.59</v>
      </c>
      <c r="D34" s="321">
        <f>IF(LEN(USPS_Pri_Int_Base!D30)&gt;0,ROUND(USPS_Pri_Int_Base!D30*(1+PostalMarkup),2),"N/A")</f>
        <v>279.93</v>
      </c>
      <c r="E34" s="321">
        <f>IF(LEN(USPS_Pri_Int_Base!E30)&gt;0,ROUND(USPS_Pri_Int_Base!E30*(1+PostalMarkup),2),"N/A")</f>
        <v>258.5</v>
      </c>
      <c r="F34" s="321">
        <f>IF(LEN(USPS_Pri_Int_Base!F30)&gt;0,ROUND(USPS_Pri_Int_Base!F30*(1+PostalMarkup),2),"N/A")</f>
        <v>258.11</v>
      </c>
      <c r="G34" s="321">
        <f>IF(LEN(USPS_Pri_Int_Base!G30)&gt;0,ROUND(USPS_Pri_Int_Base!G30*(1+PostalMarkup),2),"N/A")</f>
        <v>280.22</v>
      </c>
      <c r="H34" s="321">
        <f>IF(LEN(USPS_Pri_Int_Base!H30)&gt;0,ROUND(USPS_Pri_Int_Base!H30*(1+PostalMarkup),2),"N/A")</f>
        <v>292.11</v>
      </c>
      <c r="I34" s="321">
        <f>IF(LEN(USPS_Pri_Int_Base!I30)&gt;0,ROUND(USPS_Pri_Int_Base!I30*(1+PostalMarkup),2),"N/A")</f>
        <v>330.52</v>
      </c>
      <c r="J34" s="321">
        <f>IF(LEN(USPS_Pri_Int_Base!J30)&gt;0,ROUND(USPS_Pri_Int_Base!J30*(1+PostalMarkup),2),"N/A")</f>
        <v>333.99</v>
      </c>
      <c r="K34" s="321">
        <f>IF(LEN(USPS_Pri_Int_Base!K30)&gt;0,ROUND(USPS_Pri_Int_Base!K30*(1+PostalMarkup),2),"N/A")</f>
        <v>261.6</v>
      </c>
      <c r="L34" s="321">
        <f>IF(LEN(USPS_Pri_Int_Base!L30)&gt;0,ROUND(USPS_Pri_Int_Base!L30*(1+PostalMarkup),2),"N/A")</f>
        <v>275.82</v>
      </c>
      <c r="M34" s="321">
        <f>IF(LEN(USPS_Pri_Int_Base!M30)&gt;0,ROUND(USPS_Pri_Int_Base!M30*(1+PostalMarkup),2),"N/A")</f>
        <v>390.29</v>
      </c>
      <c r="N34" s="321">
        <f>IF(LEN(USPS_Pri_Int_Base!N30)&gt;0,ROUND(USPS_Pri_Int_Base!N30*(1+PostalMarkup),2),"N/A")</f>
        <v>281.41</v>
      </c>
      <c r="O34" s="321">
        <f>IF(LEN(USPS_Pri_Int_Base!O30)&gt;0,ROUND(USPS_Pri_Int_Base!O30*(1+PostalMarkup),2),"N/A")</f>
        <v>290.64</v>
      </c>
      <c r="P34" s="321">
        <f>IF(LEN(USPS_Pri_Int_Base!P30)&gt;0,ROUND(USPS_Pri_Int_Base!P30*(1+PostalMarkup),2),"N/A")</f>
        <v>234.96</v>
      </c>
      <c r="Q34" s="321">
        <f>IF(LEN(USPS_Pri_Int_Base!Q30)&gt;0,ROUND(USPS_Pri_Int_Base!Q30*(1+PostalMarkup),2),"N/A")</f>
        <v>256.14</v>
      </c>
      <c r="R34" s="321">
        <f>IF(LEN(USPS_Pri_Int_Base!R30)&gt;0,ROUND(USPS_Pri_Int_Base!R30*(1+PostalMarkup),2),"N/A")</f>
        <v>259.98</v>
      </c>
      <c r="S34" s="321">
        <f>IF(LEN(USPS_Pri_Int_Base!S30)&gt;0,ROUND(USPS_Pri_Int_Base!S30*(1+PostalMarkup),2),"N/A")</f>
        <v>242.13</v>
      </c>
      <c r="T34" s="321">
        <f>IF(LEN(USPS_Pri_Int_Base!T30)&gt;0,ROUND(USPS_Pri_Int_Base!T30*(1+PostalMarkup),2),"N/A")</f>
        <v>385.62</v>
      </c>
      <c r="U34" s="321">
        <f>IF(LEN(USPS_Pri_Int_Base!U30)&gt;0,ROUND(USPS_Pri_Int_Base!U30*(1+PostalMarkup),2),"N/A")</f>
        <v>259.38</v>
      </c>
    </row>
    <row r="35" ht="12.75" customHeight="1">
      <c r="A35" s="320">
        <v>30.0</v>
      </c>
      <c r="B35" s="321">
        <f>IF(LEN(USPS_Pri_Int_Base!B31)&gt;0,ROUND(USPS_Pri_Int_Base!B31*(1+PostalMarkup),2),"N/A")</f>
        <v>288.09</v>
      </c>
      <c r="C35" s="321">
        <f>IF(LEN(USPS_Pri_Int_Base!C31)&gt;0,ROUND(USPS_Pri_Int_Base!C31*(1+PostalMarkup),2),"N/A")</f>
        <v>241.43</v>
      </c>
      <c r="D35" s="321">
        <f>IF(LEN(USPS_Pri_Int_Base!D31)&gt;0,ROUND(USPS_Pri_Int_Base!D31*(1+PostalMarkup),2),"N/A")</f>
        <v>286.79</v>
      </c>
      <c r="E35" s="321">
        <f>IF(LEN(USPS_Pri_Int_Base!E31)&gt;0,ROUND(USPS_Pri_Int_Base!E31*(1+PostalMarkup),2),"N/A")</f>
        <v>263.32</v>
      </c>
      <c r="F35" s="321">
        <f>IF(LEN(USPS_Pri_Int_Base!F31)&gt;0,ROUND(USPS_Pri_Int_Base!F31*(1+PostalMarkup),2),"N/A")</f>
        <v>262.07</v>
      </c>
      <c r="G35" s="321">
        <f>IF(LEN(USPS_Pri_Int_Base!G31)&gt;0,ROUND(USPS_Pri_Int_Base!G31*(1+PostalMarkup),2),"N/A")</f>
        <v>284.99</v>
      </c>
      <c r="H35" s="321">
        <f>IF(LEN(USPS_Pri_Int_Base!H31)&gt;0,ROUND(USPS_Pri_Int_Base!H31*(1+PostalMarkup),2),"N/A")</f>
        <v>297.09</v>
      </c>
      <c r="I35" s="321">
        <f>IF(LEN(USPS_Pri_Int_Base!I31)&gt;0,ROUND(USPS_Pri_Int_Base!I31*(1+PostalMarkup),2),"N/A")</f>
        <v>339.16</v>
      </c>
      <c r="J35" s="321">
        <f>IF(LEN(USPS_Pri_Int_Base!J31)&gt;0,ROUND(USPS_Pri_Int_Base!J31*(1+PostalMarkup),2),"N/A")</f>
        <v>342.72</v>
      </c>
      <c r="K35" s="321">
        <f>IF(LEN(USPS_Pri_Int_Base!K31)&gt;0,ROUND(USPS_Pri_Int_Base!K31*(1+PostalMarkup),2),"N/A")</f>
        <v>267.35</v>
      </c>
      <c r="L35" s="321">
        <f>IF(LEN(USPS_Pri_Int_Base!L31)&gt;0,ROUND(USPS_Pri_Int_Base!L31*(1+PostalMarkup),2),"N/A")</f>
        <v>280.59</v>
      </c>
      <c r="M35" s="321">
        <f>IF(LEN(USPS_Pri_Int_Base!M31)&gt;0,ROUND(USPS_Pri_Int_Base!M31*(1+PostalMarkup),2),"N/A")</f>
        <v>400.52</v>
      </c>
      <c r="N35" s="321">
        <f>IF(LEN(USPS_Pri_Int_Base!N31)&gt;0,ROUND(USPS_Pri_Int_Base!N31*(1+PostalMarkup),2),"N/A")</f>
        <v>288.22</v>
      </c>
      <c r="O35" s="321">
        <f>IF(LEN(USPS_Pri_Int_Base!O31)&gt;0,ROUND(USPS_Pri_Int_Base!O31*(1+PostalMarkup),2),"N/A")</f>
        <v>297.86</v>
      </c>
      <c r="P35" s="321">
        <f>IF(LEN(USPS_Pri_Int_Base!P31)&gt;0,ROUND(USPS_Pri_Int_Base!P31*(1+PostalMarkup),2),"N/A")</f>
        <v>238.23</v>
      </c>
      <c r="Q35" s="321">
        <f>IF(LEN(USPS_Pri_Int_Base!Q31)&gt;0,ROUND(USPS_Pri_Int_Base!Q31*(1+PostalMarkup),2),"N/A")</f>
        <v>259.95</v>
      </c>
      <c r="R35" s="321">
        <f>IF(LEN(USPS_Pri_Int_Base!R31)&gt;0,ROUND(USPS_Pri_Int_Base!R31*(1+PostalMarkup),2),"N/A")</f>
        <v>265.25</v>
      </c>
      <c r="S35" s="321">
        <f>IF(LEN(USPS_Pri_Int_Base!S31)&gt;0,ROUND(USPS_Pri_Int_Base!S31*(1+PostalMarkup),2),"N/A")</f>
        <v>247.26</v>
      </c>
      <c r="T35" s="321">
        <f>IF(LEN(USPS_Pri_Int_Base!T31)&gt;0,ROUND(USPS_Pri_Int_Base!T31*(1+PostalMarkup),2),"N/A")</f>
        <v>395.03</v>
      </c>
      <c r="U35" s="321">
        <f>IF(LEN(USPS_Pri_Int_Base!U31)&gt;0,ROUND(USPS_Pri_Int_Base!U31*(1+PostalMarkup),2),"N/A")</f>
        <v>265.25</v>
      </c>
    </row>
    <row r="36" ht="12.75" customHeight="1">
      <c r="A36" s="320">
        <v>31.0</v>
      </c>
      <c r="B36" s="321">
        <f>IF(LEN(USPS_Pri_Int_Base!B32)&gt;0,ROUND(USPS_Pri_Int_Base!B32*(1+PostalMarkup),2),"N/A")</f>
        <v>292.94</v>
      </c>
      <c r="C36" s="321">
        <f>IF(LEN(USPS_Pri_Int_Base!C32)&gt;0,ROUND(USPS_Pri_Int_Base!C32*(1+PostalMarkup),2),"N/A")</f>
        <v>244.8</v>
      </c>
      <c r="D36" s="321">
        <f>IF(LEN(USPS_Pri_Int_Base!D32)&gt;0,ROUND(USPS_Pri_Int_Base!D32*(1+PostalMarkup),2),"N/A")</f>
        <v>293.38</v>
      </c>
      <c r="E36" s="321">
        <f>IF(LEN(USPS_Pri_Int_Base!E32)&gt;0,ROUND(USPS_Pri_Int_Base!E32*(1+PostalMarkup),2),"N/A")</f>
        <v>267.25</v>
      </c>
      <c r="F36" s="321">
        <f>IF(LEN(USPS_Pri_Int_Base!F32)&gt;0,ROUND(USPS_Pri_Int_Base!F32*(1+PostalMarkup),2),"N/A")</f>
        <v>266.43</v>
      </c>
      <c r="G36" s="321">
        <f>IF(LEN(USPS_Pri_Int_Base!G32)&gt;0,ROUND(USPS_Pri_Int_Base!G32*(1+PostalMarkup),2),"N/A")</f>
        <v>289.28</v>
      </c>
      <c r="H36" s="321">
        <f>IF(LEN(USPS_Pri_Int_Base!H32)&gt;0,ROUND(USPS_Pri_Int_Base!H32*(1+PostalMarkup),2),"N/A")</f>
        <v>302.75</v>
      </c>
      <c r="I36" s="321">
        <f>IF(LEN(USPS_Pri_Int_Base!I32)&gt;0,ROUND(USPS_Pri_Int_Base!I32*(1+PostalMarkup),2),"N/A")</f>
        <v>347.82</v>
      </c>
      <c r="J36" s="321">
        <f>IF(LEN(USPS_Pri_Int_Base!J32)&gt;0,ROUND(USPS_Pri_Int_Base!J32*(1+PostalMarkup),2),"N/A")</f>
        <v>350.81</v>
      </c>
      <c r="K36" s="321">
        <f>IF(LEN(USPS_Pri_Int_Base!K32)&gt;0,ROUND(USPS_Pri_Int_Base!K32*(1+PostalMarkup),2),"N/A")</f>
        <v>270.99</v>
      </c>
      <c r="L36" s="321">
        <f>IF(LEN(USPS_Pri_Int_Base!L32)&gt;0,ROUND(USPS_Pri_Int_Base!L32*(1+PostalMarkup),2),"N/A")</f>
        <v>285.09</v>
      </c>
      <c r="M36" s="321">
        <f>IF(LEN(USPS_Pri_Int_Base!M32)&gt;0,ROUND(USPS_Pri_Int_Base!M32*(1+PostalMarkup),2),"N/A")</f>
        <v>410.33</v>
      </c>
      <c r="N36" s="321">
        <f>IF(LEN(USPS_Pri_Int_Base!N32)&gt;0,ROUND(USPS_Pri_Int_Base!N32*(1+PostalMarkup),2),"N/A")</f>
        <v>294.68</v>
      </c>
      <c r="O36" s="321">
        <f>IF(LEN(USPS_Pri_Int_Base!O32)&gt;0,ROUND(USPS_Pri_Int_Base!O32*(1+PostalMarkup),2),"N/A")</f>
        <v>304.78</v>
      </c>
      <c r="P36" s="321">
        <f>IF(LEN(USPS_Pri_Int_Base!P32)&gt;0,ROUND(USPS_Pri_Int_Base!P32*(1+PostalMarkup),2),"N/A")</f>
        <v>241.49</v>
      </c>
      <c r="Q36" s="321">
        <f>IF(LEN(USPS_Pri_Int_Base!Q32)&gt;0,ROUND(USPS_Pri_Int_Base!Q32*(1+PostalMarkup),2),"N/A")</f>
        <v>262.75</v>
      </c>
      <c r="R36" s="321">
        <f>IF(LEN(USPS_Pri_Int_Base!R32)&gt;0,ROUND(USPS_Pri_Int_Base!R32*(1+PostalMarkup),2),"N/A")</f>
        <v>269.58</v>
      </c>
      <c r="S36" s="321">
        <f>IF(LEN(USPS_Pri_Int_Base!S32)&gt;0,ROUND(USPS_Pri_Int_Base!S32*(1+PostalMarkup),2),"N/A")</f>
        <v>251.13</v>
      </c>
      <c r="T36" s="321">
        <f>IF(LEN(USPS_Pri_Int_Base!T32)&gt;0,ROUND(USPS_Pri_Int_Base!T32*(1+PostalMarkup),2),"N/A")</f>
        <v>400.06</v>
      </c>
      <c r="U36" s="321">
        <f>IF(LEN(USPS_Pri_Int_Base!U32)&gt;0,ROUND(USPS_Pri_Int_Base!U32*(1+PostalMarkup),2),"N/A")</f>
        <v>271.07</v>
      </c>
    </row>
    <row r="37" ht="12.75" customHeight="1">
      <c r="A37" s="320">
        <v>32.0</v>
      </c>
      <c r="B37" s="321">
        <f>IF(LEN(USPS_Pri_Int_Base!B33)&gt;0,ROUND(USPS_Pri_Int_Base!B33*(1+PostalMarkup),2),"N/A")</f>
        <v>299.17</v>
      </c>
      <c r="C37" s="321">
        <f>IF(LEN(USPS_Pri_Int_Base!C33)&gt;0,ROUND(USPS_Pri_Int_Base!C33*(1+PostalMarkup),2),"N/A")</f>
        <v>248.58</v>
      </c>
      <c r="D37" s="321">
        <f>IF(LEN(USPS_Pri_Int_Base!D33)&gt;0,ROUND(USPS_Pri_Int_Base!D33*(1+PostalMarkup),2),"N/A")</f>
        <v>300.25</v>
      </c>
      <c r="E37" s="321">
        <f>IF(LEN(USPS_Pri_Int_Base!E33)&gt;0,ROUND(USPS_Pri_Int_Base!E33*(1+PostalMarkup),2),"N/A")</f>
        <v>271.57</v>
      </c>
      <c r="F37" s="321">
        <f>IF(LEN(USPS_Pri_Int_Base!F33)&gt;0,ROUND(USPS_Pri_Int_Base!F33*(1+PostalMarkup),2),"N/A")</f>
        <v>271.31</v>
      </c>
      <c r="G37" s="321">
        <f>IF(LEN(USPS_Pri_Int_Base!G33)&gt;0,ROUND(USPS_Pri_Int_Base!G33*(1+PostalMarkup),2),"N/A")</f>
        <v>295.07</v>
      </c>
      <c r="H37" s="321">
        <f>IF(LEN(USPS_Pri_Int_Base!H33)&gt;0,ROUND(USPS_Pri_Int_Base!H33*(1+PostalMarkup),2),"N/A")</f>
        <v>308.72</v>
      </c>
      <c r="I37" s="321">
        <f>IF(LEN(USPS_Pri_Int_Base!I33)&gt;0,ROUND(USPS_Pri_Int_Base!I33*(1+PostalMarkup),2),"N/A")</f>
        <v>356.47</v>
      </c>
      <c r="J37" s="321">
        <f>IF(LEN(USPS_Pri_Int_Base!J33)&gt;0,ROUND(USPS_Pri_Int_Base!J33*(1+PostalMarkup),2),"N/A")</f>
        <v>359.51</v>
      </c>
      <c r="K37" s="321">
        <f>IF(LEN(USPS_Pri_Int_Base!K33)&gt;0,ROUND(USPS_Pri_Int_Base!K33*(1+PostalMarkup),2),"N/A")</f>
        <v>276.16</v>
      </c>
      <c r="L37" s="321">
        <f>IF(LEN(USPS_Pri_Int_Base!L33)&gt;0,ROUND(USPS_Pri_Int_Base!L33*(1+PostalMarkup),2),"N/A")</f>
        <v>289.65</v>
      </c>
      <c r="M37" s="321">
        <f>IF(LEN(USPS_Pri_Int_Base!M33)&gt;0,ROUND(USPS_Pri_Int_Base!M33*(1+PostalMarkup),2),"N/A")</f>
        <v>420.57</v>
      </c>
      <c r="N37" s="321">
        <f>IF(LEN(USPS_Pri_Int_Base!N33)&gt;0,ROUND(USPS_Pri_Int_Base!N33*(1+PostalMarkup),2),"N/A")</f>
        <v>301.86</v>
      </c>
      <c r="O37" s="321">
        <f>IF(LEN(USPS_Pri_Int_Base!O33)&gt;0,ROUND(USPS_Pri_Int_Base!O33*(1+PostalMarkup),2),"N/A")</f>
        <v>311.98</v>
      </c>
      <c r="P37" s="321">
        <f>IF(LEN(USPS_Pri_Int_Base!P33)&gt;0,ROUND(USPS_Pri_Int_Base!P33*(1+PostalMarkup),2),"N/A")</f>
        <v>244.63</v>
      </c>
      <c r="Q37" s="321">
        <f>IF(LEN(USPS_Pri_Int_Base!Q33)&gt;0,ROUND(USPS_Pri_Int_Base!Q33*(1+PostalMarkup),2),"N/A")</f>
        <v>266.87</v>
      </c>
      <c r="R37" s="321">
        <f>IF(LEN(USPS_Pri_Int_Base!R33)&gt;0,ROUND(USPS_Pri_Int_Base!R33*(1+PostalMarkup),2),"N/A")</f>
        <v>270.97</v>
      </c>
      <c r="S37" s="321">
        <f>IF(LEN(USPS_Pri_Int_Base!S33)&gt;0,ROUND(USPS_Pri_Int_Base!S33*(1+PostalMarkup),2),"N/A")</f>
        <v>254.7</v>
      </c>
      <c r="T37" s="321">
        <f>IF(LEN(USPS_Pri_Int_Base!T33)&gt;0,ROUND(USPS_Pri_Int_Base!T33*(1+PostalMarkup),2),"N/A")</f>
        <v>409.45</v>
      </c>
      <c r="U37" s="321">
        <f>IF(LEN(USPS_Pri_Int_Base!U33)&gt;0,ROUND(USPS_Pri_Int_Base!U33*(1+PostalMarkup),2),"N/A")</f>
        <v>277.29</v>
      </c>
    </row>
    <row r="38" ht="12.75" customHeight="1">
      <c r="A38" s="320">
        <v>33.0</v>
      </c>
      <c r="B38" s="321">
        <f>IF(LEN(USPS_Pri_Int_Base!B34)&gt;0,ROUND(USPS_Pri_Int_Base!B34*(1+PostalMarkup),2),"N/A")</f>
        <v>305.21</v>
      </c>
      <c r="C38" s="321">
        <f>IF(LEN(USPS_Pri_Int_Base!C34)&gt;0,ROUND(USPS_Pri_Int_Base!C34*(1+PostalMarkup),2),"N/A")</f>
        <v>251.79</v>
      </c>
      <c r="D38" s="321">
        <f>IF(LEN(USPS_Pri_Int_Base!D34)&gt;0,ROUND(USPS_Pri_Int_Base!D34*(1+PostalMarkup),2),"N/A")</f>
        <v>307.1</v>
      </c>
      <c r="E38" s="321">
        <f>IF(LEN(USPS_Pri_Int_Base!E34)&gt;0,ROUND(USPS_Pri_Int_Base!E34*(1+PostalMarkup),2),"N/A")</f>
        <v>275.69</v>
      </c>
      <c r="F38" s="321">
        <f>IF(LEN(USPS_Pri_Int_Base!F34)&gt;0,ROUND(USPS_Pri_Int_Base!F34*(1+PostalMarkup),2),"N/A")</f>
        <v>277.13</v>
      </c>
      <c r="G38" s="321">
        <f>IF(LEN(USPS_Pri_Int_Base!G34)&gt;0,ROUND(USPS_Pri_Int_Base!G34*(1+PostalMarkup),2),"N/A")</f>
        <v>299.22</v>
      </c>
      <c r="H38" s="321">
        <f>IF(LEN(USPS_Pri_Int_Base!H34)&gt;0,ROUND(USPS_Pri_Int_Base!H34*(1+PostalMarkup),2),"N/A")</f>
        <v>313.79</v>
      </c>
      <c r="I38" s="321">
        <f>IF(LEN(USPS_Pri_Int_Base!I34)&gt;0,ROUND(USPS_Pri_Int_Base!I34*(1+PostalMarkup),2),"N/A")</f>
        <v>365.11</v>
      </c>
      <c r="J38" s="321">
        <f>IF(LEN(USPS_Pri_Int_Base!J34)&gt;0,ROUND(USPS_Pri_Int_Base!J34*(1+PostalMarkup),2),"N/A")</f>
        <v>368.23</v>
      </c>
      <c r="K38" s="321">
        <f>IF(LEN(USPS_Pri_Int_Base!K34)&gt;0,ROUND(USPS_Pri_Int_Base!K34*(1+PostalMarkup),2),"N/A")</f>
        <v>281.16</v>
      </c>
      <c r="L38" s="321">
        <f>IF(LEN(USPS_Pri_Int_Base!L34)&gt;0,ROUND(USPS_Pri_Int_Base!L34*(1+PostalMarkup),2),"N/A")</f>
        <v>294.23</v>
      </c>
      <c r="M38" s="321">
        <f>IF(LEN(USPS_Pri_Int_Base!M34)&gt;0,ROUND(USPS_Pri_Int_Base!M34*(1+PostalMarkup),2),"N/A")</f>
        <v>430.78</v>
      </c>
      <c r="N38" s="321">
        <f>IF(LEN(USPS_Pri_Int_Base!N34)&gt;0,ROUND(USPS_Pri_Int_Base!N34*(1+PostalMarkup),2),"N/A")</f>
        <v>308.78</v>
      </c>
      <c r="O38" s="321">
        <f>IF(LEN(USPS_Pri_Int_Base!O34)&gt;0,ROUND(USPS_Pri_Int_Base!O34*(1+PostalMarkup),2),"N/A")</f>
        <v>319.21</v>
      </c>
      <c r="P38" s="321">
        <f>IF(LEN(USPS_Pri_Int_Base!P34)&gt;0,ROUND(USPS_Pri_Int_Base!P34*(1+PostalMarkup),2),"N/A")</f>
        <v>248.12</v>
      </c>
      <c r="Q38" s="321">
        <f>IF(LEN(USPS_Pri_Int_Base!Q34)&gt;0,ROUND(USPS_Pri_Int_Base!Q34*(1+PostalMarkup),2),"N/A")</f>
        <v>270.1</v>
      </c>
      <c r="R38" s="321">
        <f>IF(LEN(USPS_Pri_Int_Base!R34)&gt;0,ROUND(USPS_Pri_Int_Base!R34*(1+PostalMarkup),2),"N/A")</f>
        <v>277.67</v>
      </c>
      <c r="S38" s="321">
        <f>IF(LEN(USPS_Pri_Int_Base!S34)&gt;0,ROUND(USPS_Pri_Int_Base!S34*(1+PostalMarkup),2),"N/A")</f>
        <v>258.68</v>
      </c>
      <c r="T38" s="321">
        <f>IF(LEN(USPS_Pri_Int_Base!T34)&gt;0,ROUND(USPS_Pri_Int_Base!T34*(1+PostalMarkup),2),"N/A")</f>
        <v>418.8</v>
      </c>
      <c r="U38" s="321">
        <f>IF(LEN(USPS_Pri_Int_Base!U34)&gt;0,ROUND(USPS_Pri_Int_Base!U34*(1+PostalMarkup),2),"N/A")</f>
        <v>283.2</v>
      </c>
    </row>
    <row r="39" ht="12.75" customHeight="1">
      <c r="A39" s="320">
        <v>34.0</v>
      </c>
      <c r="B39" s="321">
        <f>IF(LEN(USPS_Pri_Int_Base!B35)&gt;0,ROUND(USPS_Pri_Int_Base!B35*(1+PostalMarkup),2),"N/A")</f>
        <v>309.75</v>
      </c>
      <c r="C39" s="321">
        <f>IF(LEN(USPS_Pri_Int_Base!C35)&gt;0,ROUND(USPS_Pri_Int_Base!C35*(1+PostalMarkup),2),"N/A")</f>
        <v>255.37</v>
      </c>
      <c r="D39" s="321">
        <f>IF(LEN(USPS_Pri_Int_Base!D35)&gt;0,ROUND(USPS_Pri_Int_Base!D35*(1+PostalMarkup),2),"N/A")</f>
        <v>313.97</v>
      </c>
      <c r="E39" s="321">
        <f>IF(LEN(USPS_Pri_Int_Base!E35)&gt;0,ROUND(USPS_Pri_Int_Base!E35*(1+PostalMarkup),2),"N/A")</f>
        <v>279.93</v>
      </c>
      <c r="F39" s="321">
        <f>IF(LEN(USPS_Pri_Int_Base!F35)&gt;0,ROUND(USPS_Pri_Int_Base!F35*(1+PostalMarkup),2),"N/A")</f>
        <v>282.99</v>
      </c>
      <c r="G39" s="321">
        <f>IF(LEN(USPS_Pri_Int_Base!G35)&gt;0,ROUND(USPS_Pri_Int_Base!G35*(1+PostalMarkup),2),"N/A")</f>
        <v>304.87</v>
      </c>
      <c r="H39" s="321">
        <f>IF(LEN(USPS_Pri_Int_Base!H35)&gt;0,ROUND(USPS_Pri_Int_Base!H35*(1+PostalMarkup),2),"N/A")</f>
        <v>317.8</v>
      </c>
      <c r="I39" s="321">
        <f>IF(LEN(USPS_Pri_Int_Base!I35)&gt;0,ROUND(USPS_Pri_Int_Base!I35*(1+PostalMarkup),2),"N/A")</f>
        <v>373.75</v>
      </c>
      <c r="J39" s="321">
        <f>IF(LEN(USPS_Pri_Int_Base!J35)&gt;0,ROUND(USPS_Pri_Int_Base!J35*(1+PostalMarkup),2),"N/A")</f>
        <v>376.95</v>
      </c>
      <c r="K39" s="321">
        <f>IF(LEN(USPS_Pri_Int_Base!K35)&gt;0,ROUND(USPS_Pri_Int_Base!K35*(1+PostalMarkup),2),"N/A")</f>
        <v>284.92</v>
      </c>
      <c r="L39" s="321">
        <f>IF(LEN(USPS_Pri_Int_Base!L35)&gt;0,ROUND(USPS_Pri_Int_Base!L35*(1+PostalMarkup),2),"N/A")</f>
        <v>298.54</v>
      </c>
      <c r="M39" s="321">
        <f>IF(LEN(USPS_Pri_Int_Base!M35)&gt;0,ROUND(USPS_Pri_Int_Base!M35*(1+PostalMarkup),2),"N/A")</f>
        <v>440.98</v>
      </c>
      <c r="N39" s="321">
        <f>IF(LEN(USPS_Pri_Int_Base!N35)&gt;0,ROUND(USPS_Pri_Int_Base!N35*(1+PostalMarkup),2),"N/A")</f>
        <v>315.15</v>
      </c>
      <c r="O39" s="321">
        <f>IF(LEN(USPS_Pri_Int_Base!O35)&gt;0,ROUND(USPS_Pri_Int_Base!O35*(1+PostalMarkup),2),"N/A")</f>
        <v>326.4</v>
      </c>
      <c r="P39" s="321">
        <f>IF(LEN(USPS_Pri_Int_Base!P35)&gt;0,ROUND(USPS_Pri_Int_Base!P35*(1+PostalMarkup),2),"N/A")</f>
        <v>251.18</v>
      </c>
      <c r="Q39" s="321">
        <f>IF(LEN(USPS_Pri_Int_Base!Q35)&gt;0,ROUND(USPS_Pri_Int_Base!Q35*(1+PostalMarkup),2),"N/A")</f>
        <v>273.95</v>
      </c>
      <c r="R39" s="321">
        <f>IF(LEN(USPS_Pri_Int_Base!R35)&gt;0,ROUND(USPS_Pri_Int_Base!R35*(1+PostalMarkup),2),"N/A")</f>
        <v>281.31</v>
      </c>
      <c r="S39" s="321">
        <f>IF(LEN(USPS_Pri_Int_Base!S35)&gt;0,ROUND(USPS_Pri_Int_Base!S35*(1+PostalMarkup),2),"N/A")</f>
        <v>262.12</v>
      </c>
      <c r="T39" s="321">
        <f>IF(LEN(USPS_Pri_Int_Base!T35)&gt;0,ROUND(USPS_Pri_Int_Base!T35*(1+PostalMarkup),2),"N/A")</f>
        <v>428.13</v>
      </c>
      <c r="U39" s="321">
        <f>IF(LEN(USPS_Pri_Int_Base!U35)&gt;0,ROUND(USPS_Pri_Int_Base!U35*(1+PostalMarkup),2),"N/A")</f>
        <v>288.7</v>
      </c>
    </row>
    <row r="40" ht="12.75" customHeight="1">
      <c r="A40" s="320">
        <v>35.0</v>
      </c>
      <c r="B40" s="321">
        <f>IF(LEN(USPS_Pri_Int_Base!B36)&gt;0,ROUND(USPS_Pri_Int_Base!B36*(1+PostalMarkup),2),"N/A")</f>
        <v>315.12</v>
      </c>
      <c r="C40" s="321">
        <f>IF(LEN(USPS_Pri_Int_Base!C36)&gt;0,ROUND(USPS_Pri_Int_Base!C36*(1+PostalMarkup),2),"N/A")</f>
        <v>258.87</v>
      </c>
      <c r="D40" s="321">
        <f>IF(LEN(USPS_Pri_Int_Base!D36)&gt;0,ROUND(USPS_Pri_Int_Base!D36*(1+PostalMarkup),2),"N/A")</f>
        <v>320.8</v>
      </c>
      <c r="E40" s="321">
        <f>IF(LEN(USPS_Pri_Int_Base!E36)&gt;0,ROUND(USPS_Pri_Int_Base!E36*(1+PostalMarkup),2),"N/A")</f>
        <v>284.23</v>
      </c>
      <c r="F40" s="321">
        <f>IF(LEN(USPS_Pri_Int_Base!F36)&gt;0,ROUND(USPS_Pri_Int_Base!F36*(1+PostalMarkup),2),"N/A")</f>
        <v>288.83</v>
      </c>
      <c r="G40" s="321">
        <f>IF(LEN(USPS_Pri_Int_Base!G36)&gt;0,ROUND(USPS_Pri_Int_Base!G36*(1+PostalMarkup),2),"N/A")</f>
        <v>309.9</v>
      </c>
      <c r="H40" s="321">
        <f>IF(LEN(USPS_Pri_Int_Base!H36)&gt;0,ROUND(USPS_Pri_Int_Base!H36*(1+PostalMarkup),2),"N/A")</f>
        <v>322.33</v>
      </c>
      <c r="I40" s="321">
        <f>IF(LEN(USPS_Pri_Int_Base!I36)&gt;0,ROUND(USPS_Pri_Int_Base!I36*(1+PostalMarkup),2),"N/A")</f>
        <v>382.4</v>
      </c>
      <c r="J40" s="321">
        <f>IF(LEN(USPS_Pri_Int_Base!J36)&gt;0,ROUND(USPS_Pri_Int_Base!J36*(1+PostalMarkup),2),"N/A")</f>
        <v>385.68</v>
      </c>
      <c r="K40" s="321">
        <f>IF(LEN(USPS_Pri_Int_Base!K36)&gt;0,ROUND(USPS_Pri_Int_Base!K36*(1+PostalMarkup),2),"N/A")</f>
        <v>289.78</v>
      </c>
      <c r="L40" s="321">
        <f>IF(LEN(USPS_Pri_Int_Base!L36)&gt;0,ROUND(USPS_Pri_Int_Base!L36*(1+PostalMarkup),2),"N/A")</f>
        <v>302.37</v>
      </c>
      <c r="M40" s="321">
        <f>IF(LEN(USPS_Pri_Int_Base!M36)&gt;0,ROUND(USPS_Pri_Int_Base!M36*(1+PostalMarkup),2),"N/A")</f>
        <v>451.19</v>
      </c>
      <c r="N40" s="321">
        <f>IF(LEN(USPS_Pri_Int_Base!N36)&gt;0,ROUND(USPS_Pri_Int_Base!N36*(1+PostalMarkup),2),"N/A")</f>
        <v>322.66</v>
      </c>
      <c r="O40" s="321">
        <f>IF(LEN(USPS_Pri_Int_Base!O36)&gt;0,ROUND(USPS_Pri_Int_Base!O36*(1+PostalMarkup),2),"N/A")</f>
        <v>333.6</v>
      </c>
      <c r="P40" s="321">
        <f>IF(LEN(USPS_Pri_Int_Base!P36)&gt;0,ROUND(USPS_Pri_Int_Base!P36*(1+PostalMarkup),2),"N/A")</f>
        <v>254.93</v>
      </c>
      <c r="Q40" s="321">
        <f>IF(LEN(USPS_Pri_Int_Base!Q36)&gt;0,ROUND(USPS_Pri_Int_Base!Q36*(1+PostalMarkup),2),"N/A")</f>
        <v>276.9</v>
      </c>
      <c r="R40" s="321">
        <f>IF(LEN(USPS_Pri_Int_Base!R36)&gt;0,ROUND(USPS_Pri_Int_Base!R36*(1+PostalMarkup),2),"N/A")</f>
        <v>285.15</v>
      </c>
      <c r="S40" s="321">
        <f>IF(LEN(USPS_Pri_Int_Base!S36)&gt;0,ROUND(USPS_Pri_Int_Base!S36*(1+PostalMarkup),2),"N/A")</f>
        <v>266.06</v>
      </c>
      <c r="T40" s="321">
        <f>IF(LEN(USPS_Pri_Int_Base!T36)&gt;0,ROUND(USPS_Pri_Int_Base!T36*(1+PostalMarkup),2),"N/A")</f>
        <v>437.48</v>
      </c>
      <c r="U40" s="321">
        <f>IF(LEN(USPS_Pri_Int_Base!U36)&gt;0,ROUND(USPS_Pri_Int_Base!U36*(1+PostalMarkup),2),"N/A")</f>
        <v>294.47</v>
      </c>
    </row>
    <row r="41" ht="12.75" customHeight="1">
      <c r="A41" s="320">
        <v>36.0</v>
      </c>
      <c r="B41" s="321">
        <f>IF(LEN(USPS_Pri_Int_Base!B37)&gt;0,ROUND(USPS_Pri_Int_Base!B37*(1+PostalMarkup),2),"N/A")</f>
        <v>320.31</v>
      </c>
      <c r="C41" s="321">
        <f>IF(LEN(USPS_Pri_Int_Base!C37)&gt;0,ROUND(USPS_Pri_Int_Base!C37*(1+PostalMarkup),2),"N/A")</f>
        <v>261.76</v>
      </c>
      <c r="D41" s="321">
        <f>IF(LEN(USPS_Pri_Int_Base!D37)&gt;0,ROUND(USPS_Pri_Int_Base!D37*(1+PostalMarkup),2),"N/A")</f>
        <v>327.68</v>
      </c>
      <c r="E41" s="321">
        <f>IF(LEN(USPS_Pri_Int_Base!E37)&gt;0,ROUND(USPS_Pri_Int_Base!E37*(1+PostalMarkup),2),"N/A")</f>
        <v>287.59</v>
      </c>
      <c r="F41" s="321">
        <f>IF(LEN(USPS_Pri_Int_Base!F37)&gt;0,ROUND(USPS_Pri_Int_Base!F37*(1+PostalMarkup),2),"N/A")</f>
        <v>294.7</v>
      </c>
      <c r="G41" s="321">
        <f>IF(LEN(USPS_Pri_Int_Base!G37)&gt;0,ROUND(USPS_Pri_Int_Base!G37*(1+PostalMarkup),2),"N/A")</f>
        <v>316.46</v>
      </c>
      <c r="H41" s="321">
        <f>IF(LEN(USPS_Pri_Int_Base!H37)&gt;0,ROUND(USPS_Pri_Int_Base!H37*(1+PostalMarkup),2),"N/A")</f>
        <v>326.51</v>
      </c>
      <c r="I41" s="321">
        <f>IF(LEN(USPS_Pri_Int_Base!I37)&gt;0,ROUND(USPS_Pri_Int_Base!I37*(1+PostalMarkup),2),"N/A")</f>
        <v>391.05</v>
      </c>
      <c r="J41" s="321">
        <f>IF(LEN(USPS_Pri_Int_Base!J37)&gt;0,ROUND(USPS_Pri_Int_Base!J37*(1+PostalMarkup),2),"N/A")</f>
        <v>394.38</v>
      </c>
      <c r="K41" s="321">
        <f>IF(LEN(USPS_Pri_Int_Base!K37)&gt;0,ROUND(USPS_Pri_Int_Base!K37*(1+PostalMarkup),2),"N/A")</f>
        <v>293.24</v>
      </c>
      <c r="L41" s="321">
        <f>IF(LEN(USPS_Pri_Int_Base!L37)&gt;0,ROUND(USPS_Pri_Int_Base!L37*(1+PostalMarkup),2),"N/A")</f>
        <v>306.99</v>
      </c>
      <c r="M41" s="321">
        <f>IF(LEN(USPS_Pri_Int_Base!M37)&gt;0,ROUND(USPS_Pri_Int_Base!M37*(1+PostalMarkup),2),"N/A")</f>
        <v>461.41</v>
      </c>
      <c r="N41" s="321">
        <f>IF(LEN(USPS_Pri_Int_Base!N37)&gt;0,ROUND(USPS_Pri_Int_Base!N37*(1+PostalMarkup),2),"N/A")</f>
        <v>328.76</v>
      </c>
      <c r="O41" s="321">
        <f>IF(LEN(USPS_Pri_Int_Base!O37)&gt;0,ROUND(USPS_Pri_Int_Base!O37*(1+PostalMarkup),2),"N/A")</f>
        <v>340.81</v>
      </c>
      <c r="P41" s="321">
        <f>IF(LEN(USPS_Pri_Int_Base!P37)&gt;0,ROUND(USPS_Pri_Int_Base!P37*(1+PostalMarkup),2),"N/A")</f>
        <v>257.93</v>
      </c>
      <c r="Q41" s="321">
        <f>IF(LEN(USPS_Pri_Int_Base!Q37)&gt;0,ROUND(USPS_Pri_Int_Base!Q37*(1+PostalMarkup),2),"N/A")</f>
        <v>280.36</v>
      </c>
      <c r="R41" s="321">
        <f>IF(LEN(USPS_Pri_Int_Base!R37)&gt;0,ROUND(USPS_Pri_Int_Base!R37*(1+PostalMarkup),2),"N/A")</f>
        <v>289.19</v>
      </c>
      <c r="S41" s="321">
        <f>IF(LEN(USPS_Pri_Int_Base!S37)&gt;0,ROUND(USPS_Pri_Int_Base!S37*(1+PostalMarkup),2),"N/A")</f>
        <v>270.14</v>
      </c>
      <c r="T41" s="321">
        <f>IF(LEN(USPS_Pri_Int_Base!T37)&gt;0,ROUND(USPS_Pri_Int_Base!T37*(1+PostalMarkup),2),"N/A")</f>
        <v>446.87</v>
      </c>
      <c r="U41" s="321">
        <f>IF(LEN(USPS_Pri_Int_Base!U37)&gt;0,ROUND(USPS_Pri_Int_Base!U37*(1+PostalMarkup),2),"N/A")</f>
        <v>300.48</v>
      </c>
    </row>
    <row r="42" ht="12.75" customHeight="1">
      <c r="A42" s="320">
        <v>37.0</v>
      </c>
      <c r="B42" s="321">
        <f>IF(LEN(USPS_Pri_Int_Base!B38)&gt;0,ROUND(USPS_Pri_Int_Base!B38*(1+PostalMarkup),2),"N/A")</f>
        <v>324.6</v>
      </c>
      <c r="C42" s="321">
        <f>IF(LEN(USPS_Pri_Int_Base!C38)&gt;0,ROUND(USPS_Pri_Int_Base!C38*(1+PostalMarkup),2),"N/A")</f>
        <v>265.54</v>
      </c>
      <c r="D42" s="321">
        <f>IF(LEN(USPS_Pri_Int_Base!D38)&gt;0,ROUND(USPS_Pri_Int_Base!D38*(1+PostalMarkup),2),"N/A")</f>
        <v>334.52</v>
      </c>
      <c r="E42" s="321">
        <f>IF(LEN(USPS_Pri_Int_Base!E38)&gt;0,ROUND(USPS_Pri_Int_Base!E38*(1+PostalMarkup),2),"N/A")</f>
        <v>291.4</v>
      </c>
      <c r="F42" s="321">
        <f>IF(LEN(USPS_Pri_Int_Base!F38)&gt;0,ROUND(USPS_Pri_Int_Base!F38*(1+PostalMarkup),2),"N/A")</f>
        <v>300.53</v>
      </c>
      <c r="G42" s="321">
        <f>IF(LEN(USPS_Pri_Int_Base!G38)&gt;0,ROUND(USPS_Pri_Int_Base!G38*(1+PostalMarkup),2),"N/A")</f>
        <v>323.01</v>
      </c>
      <c r="H42" s="321">
        <f>IF(LEN(USPS_Pri_Int_Base!H38)&gt;0,ROUND(USPS_Pri_Int_Base!H38*(1+PostalMarkup),2),"N/A")</f>
        <v>331.45</v>
      </c>
      <c r="I42" s="321">
        <f>IF(LEN(USPS_Pri_Int_Base!I38)&gt;0,ROUND(USPS_Pri_Int_Base!I38*(1+PostalMarkup),2),"N/A")</f>
        <v>399.69</v>
      </c>
      <c r="J42" s="321">
        <f>IF(LEN(USPS_Pri_Int_Base!J38)&gt;0,ROUND(USPS_Pri_Int_Base!J38*(1+PostalMarkup),2),"N/A")</f>
        <v>403.11</v>
      </c>
      <c r="K42" s="321">
        <f>IF(LEN(USPS_Pri_Int_Base!K38)&gt;0,ROUND(USPS_Pri_Int_Base!K38*(1+PostalMarkup),2),"N/A")</f>
        <v>298.47</v>
      </c>
      <c r="L42" s="321">
        <f>IF(LEN(USPS_Pri_Int_Base!L38)&gt;0,ROUND(USPS_Pri_Int_Base!L38*(1+PostalMarkup),2),"N/A")</f>
        <v>312.56</v>
      </c>
      <c r="M42" s="321">
        <f>IF(LEN(USPS_Pri_Int_Base!M38)&gt;0,ROUND(USPS_Pri_Int_Base!M38*(1+PostalMarkup),2),"N/A")</f>
        <v>471.63</v>
      </c>
      <c r="N42" s="321">
        <f>IF(LEN(USPS_Pri_Int_Base!N38)&gt;0,ROUND(USPS_Pri_Int_Base!N38*(1+PostalMarkup),2),"N/A")</f>
        <v>335.74</v>
      </c>
      <c r="O42" s="321">
        <f>IF(LEN(USPS_Pri_Int_Base!O38)&gt;0,ROUND(USPS_Pri_Int_Base!O38*(1+PostalMarkup),2),"N/A")</f>
        <v>348.02</v>
      </c>
      <c r="P42" s="321">
        <f>IF(LEN(USPS_Pri_Int_Base!P38)&gt;0,ROUND(USPS_Pri_Int_Base!P38*(1+PostalMarkup),2),"N/A")</f>
        <v>261.1</v>
      </c>
      <c r="Q42" s="321">
        <f>IF(LEN(USPS_Pri_Int_Base!Q38)&gt;0,ROUND(USPS_Pri_Int_Base!Q38*(1+PostalMarkup),2),"N/A")</f>
        <v>283.62</v>
      </c>
      <c r="R42" s="321">
        <f>IF(LEN(USPS_Pri_Int_Base!R38)&gt;0,ROUND(USPS_Pri_Int_Base!R38*(1+PostalMarkup),2),"N/A")</f>
        <v>292.45</v>
      </c>
      <c r="S42" s="321">
        <f>IF(LEN(USPS_Pri_Int_Base!S38)&gt;0,ROUND(USPS_Pri_Int_Base!S38*(1+PostalMarkup),2),"N/A")</f>
        <v>274.05</v>
      </c>
      <c r="T42" s="321">
        <f>IF(LEN(USPS_Pri_Int_Base!T38)&gt;0,ROUND(USPS_Pri_Int_Base!T38*(1+PostalMarkup),2),"N/A")</f>
        <v>456.21</v>
      </c>
      <c r="U42" s="321">
        <f>IF(LEN(USPS_Pri_Int_Base!U38)&gt;0,ROUND(USPS_Pri_Int_Base!U38*(1+PostalMarkup),2),"N/A")</f>
        <v>306.44</v>
      </c>
    </row>
    <row r="43" ht="12.75" customHeight="1">
      <c r="A43" s="320">
        <v>38.0</v>
      </c>
      <c r="B43" s="321">
        <f>IF(LEN(USPS_Pri_Int_Base!B39)&gt;0,ROUND(USPS_Pri_Int_Base!B39*(1+PostalMarkup),2),"N/A")</f>
        <v>329.51</v>
      </c>
      <c r="C43" s="321">
        <f>IF(LEN(USPS_Pri_Int_Base!C39)&gt;0,ROUND(USPS_Pri_Int_Base!C39*(1+PostalMarkup),2),"N/A")</f>
        <v>267.9</v>
      </c>
      <c r="D43" s="321">
        <f>IF(LEN(USPS_Pri_Int_Base!D39)&gt;0,ROUND(USPS_Pri_Int_Base!D39*(1+PostalMarkup),2),"N/A")</f>
        <v>341.4</v>
      </c>
      <c r="E43" s="321">
        <f>IF(LEN(USPS_Pri_Int_Base!E39)&gt;0,ROUND(USPS_Pri_Int_Base!E39*(1+PostalMarkup),2),"N/A")</f>
        <v>295.94</v>
      </c>
      <c r="F43" s="321">
        <f>IF(LEN(USPS_Pri_Int_Base!F39)&gt;0,ROUND(USPS_Pri_Int_Base!F39*(1+PostalMarkup),2),"N/A")</f>
        <v>306.38</v>
      </c>
      <c r="G43" s="321">
        <f>IF(LEN(USPS_Pri_Int_Base!G39)&gt;0,ROUND(USPS_Pri_Int_Base!G39*(1+PostalMarkup),2),"N/A")</f>
        <v>329.6</v>
      </c>
      <c r="H43" s="321">
        <f>IF(LEN(USPS_Pri_Int_Base!H39)&gt;0,ROUND(USPS_Pri_Int_Base!H39*(1+PostalMarkup),2),"N/A")</f>
        <v>336.51</v>
      </c>
      <c r="I43" s="321">
        <f>IF(LEN(USPS_Pri_Int_Base!I39)&gt;0,ROUND(USPS_Pri_Int_Base!I39*(1+PostalMarkup),2),"N/A")</f>
        <v>408.33</v>
      </c>
      <c r="J43" s="321">
        <f>IF(LEN(USPS_Pri_Int_Base!J39)&gt;0,ROUND(USPS_Pri_Int_Base!J39*(1+PostalMarkup),2),"N/A")</f>
        <v>411.83</v>
      </c>
      <c r="K43" s="321">
        <f>IF(LEN(USPS_Pri_Int_Base!K39)&gt;0,ROUND(USPS_Pri_Int_Base!K39*(1+PostalMarkup),2),"N/A")</f>
        <v>302.66</v>
      </c>
      <c r="L43" s="321">
        <f>IF(LEN(USPS_Pri_Int_Base!L39)&gt;0,ROUND(USPS_Pri_Int_Base!L39*(1+PostalMarkup),2),"N/A")</f>
        <v>318.88</v>
      </c>
      <c r="M43" s="321">
        <f>IF(LEN(USPS_Pri_Int_Base!M39)&gt;0,ROUND(USPS_Pri_Int_Base!M39*(1+PostalMarkup),2),"N/A")</f>
        <v>481.85</v>
      </c>
      <c r="N43" s="321">
        <f>IF(LEN(USPS_Pri_Int_Base!N39)&gt;0,ROUND(USPS_Pri_Int_Base!N39*(1+PostalMarkup),2),"N/A")</f>
        <v>343.45</v>
      </c>
      <c r="O43" s="321">
        <f>IF(LEN(USPS_Pri_Int_Base!O39)&gt;0,ROUND(USPS_Pri_Int_Base!O39*(1+PostalMarkup),2),"N/A")</f>
        <v>355.24</v>
      </c>
      <c r="P43" s="321">
        <f>IF(LEN(USPS_Pri_Int_Base!P39)&gt;0,ROUND(USPS_Pri_Int_Base!P39*(1+PostalMarkup),2),"N/A")</f>
        <v>263.93</v>
      </c>
      <c r="Q43" s="321">
        <f>IF(LEN(USPS_Pri_Int_Base!Q39)&gt;0,ROUND(USPS_Pri_Int_Base!Q39*(1+PostalMarkup),2),"N/A")</f>
        <v>288.19</v>
      </c>
      <c r="R43" s="321">
        <f>IF(LEN(USPS_Pri_Int_Base!R39)&gt;0,ROUND(USPS_Pri_Int_Base!R39*(1+PostalMarkup),2),"N/A")</f>
        <v>295.84</v>
      </c>
      <c r="S43" s="321">
        <f>IF(LEN(USPS_Pri_Int_Base!S39)&gt;0,ROUND(USPS_Pri_Int_Base!S39*(1+PostalMarkup),2),"N/A")</f>
        <v>278.96</v>
      </c>
      <c r="T43" s="321">
        <f>IF(LEN(USPS_Pri_Int_Base!T39)&gt;0,ROUND(USPS_Pri_Int_Base!T39*(1+PostalMarkup),2),"N/A")</f>
        <v>465.54</v>
      </c>
      <c r="U43" s="321">
        <f>IF(LEN(USPS_Pri_Int_Base!U39)&gt;0,ROUND(USPS_Pri_Int_Base!U39*(1+PostalMarkup),2),"N/A")</f>
        <v>311.83</v>
      </c>
    </row>
    <row r="44" ht="12.75" customHeight="1">
      <c r="A44" s="320">
        <v>39.0</v>
      </c>
      <c r="B44" s="321">
        <f>IF(LEN(USPS_Pri_Int_Base!B40)&gt;0,ROUND(USPS_Pri_Int_Base!B40*(1+PostalMarkup),2),"N/A")</f>
        <v>336.86</v>
      </c>
      <c r="C44" s="321">
        <f>IF(LEN(USPS_Pri_Int_Base!C40)&gt;0,ROUND(USPS_Pri_Int_Base!C40*(1+PostalMarkup),2),"N/A")</f>
        <v>271.49</v>
      </c>
      <c r="D44" s="321">
        <f>IF(LEN(USPS_Pri_Int_Base!D40)&gt;0,ROUND(USPS_Pri_Int_Base!D40*(1+PostalMarkup),2),"N/A")</f>
        <v>348.24</v>
      </c>
      <c r="E44" s="321">
        <f>IF(LEN(USPS_Pri_Int_Base!E40)&gt;0,ROUND(USPS_Pri_Int_Base!E40*(1+PostalMarkup),2),"N/A")</f>
        <v>298.46</v>
      </c>
      <c r="F44" s="321">
        <f>IF(LEN(USPS_Pri_Int_Base!F40)&gt;0,ROUND(USPS_Pri_Int_Base!F40*(1+PostalMarkup),2),"N/A")</f>
        <v>312.23</v>
      </c>
      <c r="G44" s="321">
        <f>IF(LEN(USPS_Pri_Int_Base!G40)&gt;0,ROUND(USPS_Pri_Int_Base!G40*(1+PostalMarkup),2),"N/A")</f>
        <v>336.15</v>
      </c>
      <c r="H44" s="321">
        <f>IF(LEN(USPS_Pri_Int_Base!H40)&gt;0,ROUND(USPS_Pri_Int_Base!H40*(1+PostalMarkup),2),"N/A")</f>
        <v>343.22</v>
      </c>
      <c r="I44" s="321">
        <f>IF(LEN(USPS_Pri_Int_Base!I40)&gt;0,ROUND(USPS_Pri_Int_Base!I40*(1+PostalMarkup),2),"N/A")</f>
        <v>416.99</v>
      </c>
      <c r="J44" s="321">
        <f>IF(LEN(USPS_Pri_Int_Base!J40)&gt;0,ROUND(USPS_Pri_Int_Base!J40*(1+PostalMarkup),2),"N/A")</f>
        <v>420.57</v>
      </c>
      <c r="K44" s="321">
        <f>IF(LEN(USPS_Pri_Int_Base!K40)&gt;0,ROUND(USPS_Pri_Int_Base!K40*(1+PostalMarkup),2),"N/A")</f>
        <v>306.13</v>
      </c>
      <c r="L44" s="321">
        <f>IF(LEN(USPS_Pri_Int_Base!L40)&gt;0,ROUND(USPS_Pri_Int_Base!L40*(1+PostalMarkup),2),"N/A")</f>
        <v>325.21</v>
      </c>
      <c r="M44" s="321">
        <f>IF(LEN(USPS_Pri_Int_Base!M40)&gt;0,ROUND(USPS_Pri_Int_Base!M40*(1+PostalMarkup),2),"N/A")</f>
        <v>492.05</v>
      </c>
      <c r="N44" s="321">
        <f>IF(LEN(USPS_Pri_Int_Base!N40)&gt;0,ROUND(USPS_Pri_Int_Base!N40*(1+PostalMarkup),2),"N/A")</f>
        <v>348.93</v>
      </c>
      <c r="O44" s="321">
        <f>IF(LEN(USPS_Pri_Int_Base!O40)&gt;0,ROUND(USPS_Pri_Int_Base!O40*(1+PostalMarkup),2),"N/A")</f>
        <v>362.45</v>
      </c>
      <c r="P44" s="321">
        <f>IF(LEN(USPS_Pri_Int_Base!P40)&gt;0,ROUND(USPS_Pri_Int_Base!P40*(1+PostalMarkup),2),"N/A")</f>
        <v>267.23</v>
      </c>
      <c r="Q44" s="321">
        <f>IF(LEN(USPS_Pri_Int_Base!Q40)&gt;0,ROUND(USPS_Pri_Int_Base!Q40*(1+PostalMarkup),2),"N/A")</f>
        <v>290.08</v>
      </c>
      <c r="R44" s="321">
        <f>IF(LEN(USPS_Pri_Int_Base!R40)&gt;0,ROUND(USPS_Pri_Int_Base!R40*(1+PostalMarkup),2),"N/A")</f>
        <v>299.45</v>
      </c>
      <c r="S44" s="321">
        <f>IF(LEN(USPS_Pri_Int_Base!S40)&gt;0,ROUND(USPS_Pri_Int_Base!S40*(1+PostalMarkup),2),"N/A")</f>
        <v>283.85</v>
      </c>
      <c r="T44" s="321">
        <f>IF(LEN(USPS_Pri_Int_Base!T40)&gt;0,ROUND(USPS_Pri_Int_Base!T40*(1+PostalMarkup),2),"N/A")</f>
        <v>474.89</v>
      </c>
      <c r="U44" s="321">
        <f>IF(LEN(USPS_Pri_Int_Base!U40)&gt;0,ROUND(USPS_Pri_Int_Base!U40*(1+PostalMarkup),2),"N/A")</f>
        <v>317.81</v>
      </c>
    </row>
    <row r="45" ht="12.75" customHeight="1">
      <c r="A45" s="320">
        <v>40.0</v>
      </c>
      <c r="B45" s="321">
        <f>IF(LEN(USPS_Pri_Int_Base!B41)&gt;0,ROUND(USPS_Pri_Int_Base!B41*(1+PostalMarkup),2),"N/A")</f>
        <v>339.43</v>
      </c>
      <c r="C45" s="321">
        <f>IF(LEN(USPS_Pri_Int_Base!C41)&gt;0,ROUND(USPS_Pri_Int_Base!C41*(1+PostalMarkup),2),"N/A")</f>
        <v>274.08</v>
      </c>
      <c r="D45" s="321">
        <f>IF(LEN(USPS_Pri_Int_Base!D41)&gt;0,ROUND(USPS_Pri_Int_Base!D41*(1+PostalMarkup),2),"N/A")</f>
        <v>355.1</v>
      </c>
      <c r="E45" s="321">
        <f>IF(LEN(USPS_Pri_Int_Base!E41)&gt;0,ROUND(USPS_Pri_Int_Base!E41*(1+PostalMarkup),2),"N/A")</f>
        <v>302.63</v>
      </c>
      <c r="F45" s="321">
        <f>IF(LEN(USPS_Pri_Int_Base!F41)&gt;0,ROUND(USPS_Pri_Int_Base!F41*(1+PostalMarkup),2),"N/A")</f>
        <v>318.09</v>
      </c>
      <c r="G45" s="321">
        <f>IF(LEN(USPS_Pri_Int_Base!G41)&gt;0,ROUND(USPS_Pri_Int_Base!G41*(1+PostalMarkup),2),"N/A")</f>
        <v>342.72</v>
      </c>
      <c r="H45" s="321">
        <f>IF(LEN(USPS_Pri_Int_Base!H41)&gt;0,ROUND(USPS_Pri_Int_Base!H41*(1+PostalMarkup),2),"N/A")</f>
        <v>349.95</v>
      </c>
      <c r="I45" s="321">
        <f>IF(LEN(USPS_Pri_Int_Base!I41)&gt;0,ROUND(USPS_Pri_Int_Base!I41*(1+PostalMarkup),2),"N/A")</f>
        <v>425.65</v>
      </c>
      <c r="J45" s="321">
        <f>IF(LEN(USPS_Pri_Int_Base!J41)&gt;0,ROUND(USPS_Pri_Int_Base!J41*(1+PostalMarkup),2),"N/A")</f>
        <v>429.27</v>
      </c>
      <c r="K45" s="321">
        <f>IF(LEN(USPS_Pri_Int_Base!K41)&gt;0,ROUND(USPS_Pri_Int_Base!K41*(1+PostalMarkup),2),"N/A")</f>
        <v>311.6</v>
      </c>
      <c r="L45" s="321">
        <f>IF(LEN(USPS_Pri_Int_Base!L41)&gt;0,ROUND(USPS_Pri_Int_Base!L41*(1+PostalMarkup),2),"N/A")</f>
        <v>331.55</v>
      </c>
      <c r="M45" s="321">
        <f>IF(LEN(USPS_Pri_Int_Base!M41)&gt;0,ROUND(USPS_Pri_Int_Base!M41*(1+PostalMarkup),2),"N/A")</f>
        <v>502.27</v>
      </c>
      <c r="N45" s="321">
        <f>IF(LEN(USPS_Pri_Int_Base!N41)&gt;0,ROUND(USPS_Pri_Int_Base!N41*(1+PostalMarkup),2),"N/A")</f>
        <v>356.8</v>
      </c>
      <c r="O45" s="321">
        <f>IF(LEN(USPS_Pri_Int_Base!O41)&gt;0,ROUND(USPS_Pri_Int_Base!O41*(1+PostalMarkup),2),"N/A")</f>
        <v>369.64</v>
      </c>
      <c r="P45" s="321">
        <f>IF(LEN(USPS_Pri_Int_Base!P41)&gt;0,ROUND(USPS_Pri_Int_Base!P41*(1+PostalMarkup),2),"N/A")</f>
        <v>270.81</v>
      </c>
      <c r="Q45" s="321">
        <f>IF(LEN(USPS_Pri_Int_Base!Q41)&gt;0,ROUND(USPS_Pri_Int_Base!Q41*(1+PostalMarkup),2),"N/A")</f>
        <v>293.69</v>
      </c>
      <c r="R45" s="321">
        <f>IF(LEN(USPS_Pri_Int_Base!R41)&gt;0,ROUND(USPS_Pri_Int_Base!R41*(1+PostalMarkup),2),"N/A")</f>
        <v>302.34</v>
      </c>
      <c r="S45" s="321">
        <f>IF(LEN(USPS_Pri_Int_Base!S41)&gt;0,ROUND(USPS_Pri_Int_Base!S41*(1+PostalMarkup),2),"N/A")</f>
        <v>288.78</v>
      </c>
      <c r="T45" s="321">
        <f>IF(LEN(USPS_Pri_Int_Base!T41)&gt;0,ROUND(USPS_Pri_Int_Base!T41*(1+PostalMarkup),2),"N/A")</f>
        <v>484.25</v>
      </c>
      <c r="U45" s="321">
        <f>IF(LEN(USPS_Pri_Int_Base!U41)&gt;0,ROUND(USPS_Pri_Int_Base!U41*(1+PostalMarkup),2),"N/A")</f>
        <v>324.63</v>
      </c>
    </row>
    <row r="46" ht="12.75" customHeight="1">
      <c r="A46" s="320">
        <v>41.0</v>
      </c>
      <c r="B46" s="321">
        <f>IF(LEN(USPS_Pri_Int_Base!B42)&gt;0,ROUND(USPS_Pri_Int_Base!B42*(1+PostalMarkup),2),"N/A")</f>
        <v>346.53</v>
      </c>
      <c r="C46" s="321">
        <f>IF(LEN(USPS_Pri_Int_Base!C42)&gt;0,ROUND(USPS_Pri_Int_Base!C42*(1+PostalMarkup),2),"N/A")</f>
        <v>279.42</v>
      </c>
      <c r="D46" s="321">
        <f>IF(LEN(USPS_Pri_Int_Base!D42)&gt;0,ROUND(USPS_Pri_Int_Base!D42*(1+PostalMarkup),2),"N/A")</f>
        <v>361.62</v>
      </c>
      <c r="E46" s="321">
        <f>IF(LEN(USPS_Pri_Int_Base!E42)&gt;0,ROUND(USPS_Pri_Int_Base!E42*(1+PostalMarkup),2),"N/A")</f>
        <v>307.69</v>
      </c>
      <c r="F46" s="321">
        <f>IF(LEN(USPS_Pri_Int_Base!F42)&gt;0,ROUND(USPS_Pri_Int_Base!F42*(1+PostalMarkup),2),"N/A")</f>
        <v>325.15</v>
      </c>
      <c r="G46" s="321">
        <f>IF(LEN(USPS_Pri_Int_Base!G42)&gt;0,ROUND(USPS_Pri_Int_Base!G42*(1+PostalMarkup),2),"N/A")</f>
        <v>349.28</v>
      </c>
      <c r="H46" s="321">
        <f>IF(LEN(USPS_Pri_Int_Base!H42)&gt;0,ROUND(USPS_Pri_Int_Base!H42*(1+PostalMarkup),2),"N/A")</f>
        <v>356.64</v>
      </c>
      <c r="I46" s="321">
        <f>IF(LEN(USPS_Pri_Int_Base!I42)&gt;0,ROUND(USPS_Pri_Int_Base!I42*(1+PostalMarkup),2),"N/A")</f>
        <v>435.1</v>
      </c>
      <c r="J46" s="321">
        <f>IF(LEN(USPS_Pri_Int_Base!J42)&gt;0,ROUND(USPS_Pri_Int_Base!J42*(1+PostalMarkup),2),"N/A")</f>
        <v>439.62</v>
      </c>
      <c r="K46" s="321">
        <f>IF(LEN(USPS_Pri_Int_Base!K42)&gt;0,ROUND(USPS_Pri_Int_Base!K42*(1+PostalMarkup),2),"N/A")</f>
        <v>315.99</v>
      </c>
      <c r="L46" s="321">
        <f>IF(LEN(USPS_Pri_Int_Base!L42)&gt;0,ROUND(USPS_Pri_Int_Base!L42*(1+PostalMarkup),2),"N/A")</f>
        <v>341.8</v>
      </c>
      <c r="M46" s="321">
        <f>IF(LEN(USPS_Pri_Int_Base!M42)&gt;0,ROUND(USPS_Pri_Int_Base!M42*(1+PostalMarkup),2),"N/A")</f>
        <v>521.96</v>
      </c>
      <c r="N46" s="321">
        <f>IF(LEN(USPS_Pri_Int_Base!N42)&gt;0,ROUND(USPS_Pri_Int_Base!N42*(1+PostalMarkup),2),"N/A")</f>
        <v>362.88</v>
      </c>
      <c r="O46" s="321">
        <f>IF(LEN(USPS_Pri_Int_Base!O42)&gt;0,ROUND(USPS_Pri_Int_Base!O42*(1+PostalMarkup),2),"N/A")</f>
        <v>376.87</v>
      </c>
      <c r="P46" s="321">
        <f>IF(LEN(USPS_Pri_Int_Base!P42)&gt;0,ROUND(USPS_Pri_Int_Base!P42*(1+PostalMarkup),2),"N/A")</f>
        <v>274.11</v>
      </c>
      <c r="Q46" s="321">
        <f>IF(LEN(USPS_Pri_Int_Base!Q42)&gt;0,ROUND(USPS_Pri_Int_Base!Q42*(1+PostalMarkup),2),"N/A")</f>
        <v>298.03</v>
      </c>
      <c r="R46" s="321">
        <f>IF(LEN(USPS_Pri_Int_Base!R42)&gt;0,ROUND(USPS_Pri_Int_Base!R42*(1+PostalMarkup),2),"N/A")</f>
        <v>308.5</v>
      </c>
      <c r="S46" s="321">
        <f>IF(LEN(USPS_Pri_Int_Base!S42)&gt;0,ROUND(USPS_Pri_Int_Base!S42*(1+PostalMarkup),2),"N/A")</f>
        <v>293.97</v>
      </c>
      <c r="T46" s="321">
        <f>IF(LEN(USPS_Pri_Int_Base!T42)&gt;0,ROUND(USPS_Pri_Int_Base!T42*(1+PostalMarkup),2),"N/A")</f>
        <v>494.8</v>
      </c>
      <c r="U46" s="321">
        <f>IF(LEN(USPS_Pri_Int_Base!U42)&gt;0,ROUND(USPS_Pri_Int_Base!U42*(1+PostalMarkup),2),"N/A")</f>
        <v>327.87</v>
      </c>
    </row>
    <row r="47" ht="12.75" customHeight="1">
      <c r="A47" s="320">
        <v>42.0</v>
      </c>
      <c r="B47" s="321">
        <f>IF(LEN(USPS_Pri_Int_Base!B43)&gt;0,ROUND(USPS_Pri_Int_Base!B43*(1+PostalMarkup),2),"N/A")</f>
        <v>354.27</v>
      </c>
      <c r="C47" s="321">
        <f>IF(LEN(USPS_Pri_Int_Base!C43)&gt;0,ROUND(USPS_Pri_Int_Base!C43*(1+PostalMarkup),2),"N/A")</f>
        <v>284.13</v>
      </c>
      <c r="D47" s="321">
        <f>IF(LEN(USPS_Pri_Int_Base!D43)&gt;0,ROUND(USPS_Pri_Int_Base!D43*(1+PostalMarkup),2),"N/A")</f>
        <v>368.47</v>
      </c>
      <c r="E47" s="321">
        <f>IF(LEN(USPS_Pri_Int_Base!E43)&gt;0,ROUND(USPS_Pri_Int_Base!E43*(1+PostalMarkup),2),"N/A")</f>
        <v>314.23</v>
      </c>
      <c r="F47" s="321">
        <f>IF(LEN(USPS_Pri_Int_Base!F43)&gt;0,ROUND(USPS_Pri_Int_Base!F43*(1+PostalMarkup),2),"N/A")</f>
        <v>331.03</v>
      </c>
      <c r="G47" s="321">
        <f>IF(LEN(USPS_Pri_Int_Base!G43)&gt;0,ROUND(USPS_Pri_Int_Base!G43*(1+PostalMarkup),2),"N/A")</f>
        <v>355.84</v>
      </c>
      <c r="H47" s="321">
        <f>IF(LEN(USPS_Pri_Int_Base!H43)&gt;0,ROUND(USPS_Pri_Int_Base!H43*(1+PostalMarkup),2),"N/A")</f>
        <v>363.34</v>
      </c>
      <c r="I47" s="321">
        <f>IF(LEN(USPS_Pri_Int_Base!I43)&gt;0,ROUND(USPS_Pri_Int_Base!I43*(1+PostalMarkup),2),"N/A")</f>
        <v>443.76</v>
      </c>
      <c r="J47" s="321">
        <f>IF(LEN(USPS_Pri_Int_Base!J43)&gt;0,ROUND(USPS_Pri_Int_Base!J43*(1+PostalMarkup),2),"N/A")</f>
        <v>448.36</v>
      </c>
      <c r="K47" s="321">
        <f>IF(LEN(USPS_Pri_Int_Base!K43)&gt;0,ROUND(USPS_Pri_Int_Base!K43*(1+PostalMarkup),2),"N/A")</f>
        <v>322.06</v>
      </c>
      <c r="L47" s="321">
        <f>IF(LEN(USPS_Pri_Int_Base!L43)&gt;0,ROUND(USPS_Pri_Int_Base!L43*(1+PostalMarkup),2),"N/A")</f>
        <v>348.17</v>
      </c>
      <c r="M47" s="321">
        <f>IF(LEN(USPS_Pri_Int_Base!M43)&gt;0,ROUND(USPS_Pri_Int_Base!M43*(1+PostalMarkup),2),"N/A")</f>
        <v>532.35</v>
      </c>
      <c r="N47" s="321">
        <f>IF(LEN(USPS_Pri_Int_Base!N43)&gt;0,ROUND(USPS_Pri_Int_Base!N43*(1+PostalMarkup),2),"N/A")</f>
        <v>368.67</v>
      </c>
      <c r="O47" s="321">
        <f>IF(LEN(USPS_Pri_Int_Base!O43)&gt;0,ROUND(USPS_Pri_Int_Base!O43*(1+PostalMarkup),2),"N/A")</f>
        <v>384.07</v>
      </c>
      <c r="P47" s="321">
        <f>IF(LEN(USPS_Pri_Int_Base!P43)&gt;0,ROUND(USPS_Pri_Int_Base!P43*(1+PostalMarkup),2),"N/A")</f>
        <v>280.13</v>
      </c>
      <c r="Q47" s="321">
        <f>IF(LEN(USPS_Pri_Int_Base!Q43)&gt;0,ROUND(USPS_Pri_Int_Base!Q43*(1+PostalMarkup),2),"N/A")</f>
        <v>303.29</v>
      </c>
      <c r="R47" s="321">
        <f>IF(LEN(USPS_Pri_Int_Base!R43)&gt;0,ROUND(USPS_Pri_Int_Base!R43*(1+PostalMarkup),2),"N/A")</f>
        <v>314.17</v>
      </c>
      <c r="S47" s="321">
        <f>IF(LEN(USPS_Pri_Int_Base!S43)&gt;0,ROUND(USPS_Pri_Int_Base!S43*(1+PostalMarkup),2),"N/A")</f>
        <v>298.91</v>
      </c>
      <c r="T47" s="321">
        <f>IF(LEN(USPS_Pri_Int_Base!T43)&gt;0,ROUND(USPS_Pri_Int_Base!T43*(1+PostalMarkup),2),"N/A")</f>
        <v>504.17</v>
      </c>
      <c r="U47" s="321">
        <f>IF(LEN(USPS_Pri_Int_Base!U43)&gt;0,ROUND(USPS_Pri_Int_Base!U43*(1+PostalMarkup),2),"N/A")</f>
        <v>331.27</v>
      </c>
    </row>
    <row r="48" ht="12.75" customHeight="1">
      <c r="A48" s="320">
        <v>43.0</v>
      </c>
      <c r="B48" s="321">
        <f>IF(LEN(USPS_Pri_Int_Base!B44)&gt;0,ROUND(USPS_Pri_Int_Base!B44*(1+PostalMarkup),2),"N/A")</f>
        <v>361.54</v>
      </c>
      <c r="C48" s="321">
        <f>IF(LEN(USPS_Pri_Int_Base!C44)&gt;0,ROUND(USPS_Pri_Int_Base!C44*(1+PostalMarkup),2),"N/A")</f>
        <v>288.85</v>
      </c>
      <c r="D48" s="321">
        <f>IF(LEN(USPS_Pri_Int_Base!D44)&gt;0,ROUND(USPS_Pri_Int_Base!D44*(1+PostalMarkup),2),"N/A")</f>
        <v>375.31</v>
      </c>
      <c r="E48" s="321">
        <f>IF(LEN(USPS_Pri_Int_Base!E44)&gt;0,ROUND(USPS_Pri_Int_Base!E44*(1+PostalMarkup),2),"N/A")</f>
        <v>320.24</v>
      </c>
      <c r="F48" s="321">
        <f>IF(LEN(USPS_Pri_Int_Base!F44)&gt;0,ROUND(USPS_Pri_Int_Base!F44*(1+PostalMarkup),2),"N/A")</f>
        <v>336.9</v>
      </c>
      <c r="G48" s="321">
        <f>IF(LEN(USPS_Pri_Int_Base!G44)&gt;0,ROUND(USPS_Pri_Int_Base!G44*(1+PostalMarkup),2),"N/A")</f>
        <v>362.41</v>
      </c>
      <c r="H48" s="321">
        <f>IF(LEN(USPS_Pri_Int_Base!H44)&gt;0,ROUND(USPS_Pri_Int_Base!H44*(1+PostalMarkup),2),"N/A")</f>
        <v>370.06</v>
      </c>
      <c r="I48" s="321">
        <f>IF(LEN(USPS_Pri_Int_Base!I44)&gt;0,ROUND(USPS_Pri_Int_Base!I44*(1+PostalMarkup),2),"N/A")</f>
        <v>452.43</v>
      </c>
      <c r="J48" s="321">
        <f>IF(LEN(USPS_Pri_Int_Base!J44)&gt;0,ROUND(USPS_Pri_Int_Base!J44*(1+PostalMarkup),2),"N/A")</f>
        <v>457.14</v>
      </c>
      <c r="K48" s="321">
        <f>IF(LEN(USPS_Pri_Int_Base!K44)&gt;0,ROUND(USPS_Pri_Int_Base!K44*(1+PostalMarkup),2),"N/A")</f>
        <v>328.96</v>
      </c>
      <c r="L48" s="321">
        <f>IF(LEN(USPS_Pri_Int_Base!L44)&gt;0,ROUND(USPS_Pri_Int_Base!L44*(1+PostalMarkup),2),"N/A")</f>
        <v>354.58</v>
      </c>
      <c r="M48" s="321">
        <f>IF(LEN(USPS_Pri_Int_Base!M44)&gt;0,ROUND(USPS_Pri_Int_Base!M44*(1+PostalMarkup),2),"N/A")</f>
        <v>542.77</v>
      </c>
      <c r="N48" s="321">
        <f>IF(LEN(USPS_Pri_Int_Base!N44)&gt;0,ROUND(USPS_Pri_Int_Base!N44*(1+PostalMarkup),2),"N/A")</f>
        <v>376.4</v>
      </c>
      <c r="O48" s="321">
        <f>IF(LEN(USPS_Pri_Int_Base!O44)&gt;0,ROUND(USPS_Pri_Int_Base!O44*(1+PostalMarkup),2),"N/A")</f>
        <v>391.26</v>
      </c>
      <c r="P48" s="321">
        <f>IF(LEN(USPS_Pri_Int_Base!P44)&gt;0,ROUND(USPS_Pri_Int_Base!P44*(1+PostalMarkup),2),"N/A")</f>
        <v>284.76</v>
      </c>
      <c r="Q48" s="321">
        <f>IF(LEN(USPS_Pri_Int_Base!Q44)&gt;0,ROUND(USPS_Pri_Int_Base!Q44*(1+PostalMarkup),2),"N/A")</f>
        <v>308.41</v>
      </c>
      <c r="R48" s="321">
        <f>IF(LEN(USPS_Pri_Int_Base!R44)&gt;0,ROUND(USPS_Pri_Int_Base!R44*(1+PostalMarkup),2),"N/A")</f>
        <v>319.37</v>
      </c>
      <c r="S48" s="321">
        <f>IF(LEN(USPS_Pri_Int_Base!S44)&gt;0,ROUND(USPS_Pri_Int_Base!S44*(1+PostalMarkup),2),"N/A")</f>
        <v>303.81</v>
      </c>
      <c r="T48" s="321">
        <f>IF(LEN(USPS_Pri_Int_Base!T44)&gt;0,ROUND(USPS_Pri_Int_Base!T44*(1+PostalMarkup),2),"N/A")</f>
        <v>513.54</v>
      </c>
      <c r="U48" s="321">
        <f>IF(LEN(USPS_Pri_Int_Base!U44)&gt;0,ROUND(USPS_Pri_Int_Base!U44*(1+PostalMarkup),2),"N/A")</f>
        <v>334.16</v>
      </c>
    </row>
    <row r="49" ht="12.75" customHeight="1">
      <c r="A49" s="320">
        <v>44.0</v>
      </c>
      <c r="B49" s="321">
        <f>IF(LEN(USPS_Pri_Int_Base!B45)&gt;0,ROUND(USPS_Pri_Int_Base!B45*(1+PostalMarkup),2),"N/A")</f>
        <v>369.91</v>
      </c>
      <c r="C49" s="321">
        <f>IF(LEN(USPS_Pri_Int_Base!C45)&gt;0,ROUND(USPS_Pri_Int_Base!C45*(1+PostalMarkup),2),"N/A")</f>
        <v>294.26</v>
      </c>
      <c r="D49" s="321">
        <f>IF(LEN(USPS_Pri_Int_Base!D45)&gt;0,ROUND(USPS_Pri_Int_Base!D45*(1+PostalMarkup),2),"N/A")</f>
        <v>382.17</v>
      </c>
      <c r="E49" s="321">
        <f>IF(LEN(USPS_Pri_Int_Base!E45)&gt;0,ROUND(USPS_Pri_Int_Base!E45*(1+PostalMarkup),2),"N/A")</f>
        <v>325.85</v>
      </c>
      <c r="F49" s="321">
        <f>IF(LEN(USPS_Pri_Int_Base!F45)&gt;0,ROUND(USPS_Pri_Int_Base!F45*(1+PostalMarkup),2),"N/A")</f>
        <v>342.78</v>
      </c>
      <c r="G49" s="321">
        <f>IF(LEN(USPS_Pri_Int_Base!G45)&gt;0,ROUND(USPS_Pri_Int_Base!G45*(1+PostalMarkup),2),"N/A")</f>
        <v>368.99</v>
      </c>
      <c r="H49" s="321">
        <f>IF(LEN(USPS_Pri_Int_Base!H45)&gt;0,ROUND(USPS_Pri_Int_Base!H45*(1+PostalMarkup),2),"N/A")</f>
        <v>376.76</v>
      </c>
      <c r="I49" s="321">
        <f>IF(LEN(USPS_Pri_Int_Base!I45)&gt;0,ROUND(USPS_Pri_Int_Base!I45*(1+PostalMarkup),2),"N/A")</f>
        <v>461.08</v>
      </c>
      <c r="J49" s="321">
        <f>IF(LEN(USPS_Pri_Int_Base!J45)&gt;0,ROUND(USPS_Pri_Int_Base!J45*(1+PostalMarkup),2),"N/A")</f>
        <v>465.88</v>
      </c>
      <c r="K49" s="321">
        <f>IF(LEN(USPS_Pri_Int_Base!K45)&gt;0,ROUND(USPS_Pri_Int_Base!K45*(1+PostalMarkup),2),"N/A")</f>
        <v>335.98</v>
      </c>
      <c r="L49" s="321">
        <f>IF(LEN(USPS_Pri_Int_Base!L45)&gt;0,ROUND(USPS_Pri_Int_Base!L45*(1+PostalMarkup),2),"N/A")</f>
        <v>360.99</v>
      </c>
      <c r="M49" s="321">
        <f>IF(LEN(USPS_Pri_Int_Base!M45)&gt;0,ROUND(USPS_Pri_Int_Base!M45*(1+PostalMarkup),2),"N/A")</f>
        <v>553.17</v>
      </c>
      <c r="N49" s="321">
        <f>IF(LEN(USPS_Pri_Int_Base!N45)&gt;0,ROUND(USPS_Pri_Int_Base!N45*(1+PostalMarkup),2),"N/A")</f>
        <v>385.69</v>
      </c>
      <c r="O49" s="321">
        <f>IF(LEN(USPS_Pri_Int_Base!O45)&gt;0,ROUND(USPS_Pri_Int_Base!O45*(1+PostalMarkup),2),"N/A")</f>
        <v>398.48</v>
      </c>
      <c r="P49" s="321">
        <f>IF(LEN(USPS_Pri_Int_Base!P45)&gt;0,ROUND(USPS_Pri_Int_Base!P45*(1+PostalMarkup),2),"N/A")</f>
        <v>290.52</v>
      </c>
      <c r="Q49" s="321">
        <f>IF(LEN(USPS_Pri_Int_Base!Q45)&gt;0,ROUND(USPS_Pri_Int_Base!Q45*(1+PostalMarkup),2),"N/A")</f>
        <v>312.78</v>
      </c>
      <c r="R49" s="321">
        <f>IF(LEN(USPS_Pri_Int_Base!R45)&gt;0,ROUND(USPS_Pri_Int_Base!R45*(1+PostalMarkup),2),"N/A")</f>
        <v>325.2</v>
      </c>
      <c r="S49" s="321">
        <f>IF(LEN(USPS_Pri_Int_Base!S45)&gt;0,ROUND(USPS_Pri_Int_Base!S45*(1+PostalMarkup),2),"N/A")</f>
        <v>308.73</v>
      </c>
      <c r="T49" s="321">
        <f>IF(LEN(USPS_Pri_Int_Base!T45)&gt;0,ROUND(USPS_Pri_Int_Base!T45*(1+PostalMarkup),2),"N/A")</f>
        <v>522.91</v>
      </c>
      <c r="U49" s="321">
        <f>IF(LEN(USPS_Pri_Int_Base!U45)&gt;0,ROUND(USPS_Pri_Int_Base!U45*(1+PostalMarkup),2),"N/A")</f>
        <v>337.39</v>
      </c>
    </row>
    <row r="50" ht="12.75" customHeight="1">
      <c r="A50" s="320">
        <v>45.0</v>
      </c>
      <c r="B50" s="321">
        <f>IF(LEN(USPS_Pri_Int_Base!B46)&gt;0,ROUND(USPS_Pri_Int_Base!B46*(1+PostalMarkup),2),"N/A")</f>
        <v>377.89</v>
      </c>
      <c r="C50" s="321">
        <f>IF(LEN(USPS_Pri_Int_Base!C46)&gt;0,ROUND(USPS_Pri_Int_Base!C46*(1+PostalMarkup),2),"N/A")</f>
        <v>299.49</v>
      </c>
      <c r="D50" s="321">
        <f>IF(LEN(USPS_Pri_Int_Base!D46)&gt;0,ROUND(USPS_Pri_Int_Base!D46*(1+PostalMarkup),2),"N/A")</f>
        <v>389.01</v>
      </c>
      <c r="E50" s="321">
        <f>IF(LEN(USPS_Pri_Int_Base!E46)&gt;0,ROUND(USPS_Pri_Int_Base!E46*(1+PostalMarkup),2),"N/A")</f>
        <v>331.43</v>
      </c>
      <c r="F50" s="321">
        <f>IF(LEN(USPS_Pri_Int_Base!F46)&gt;0,ROUND(USPS_Pri_Int_Base!F46*(1+PostalMarkup),2),"N/A")</f>
        <v>348.65</v>
      </c>
      <c r="G50" s="321">
        <f>IF(LEN(USPS_Pri_Int_Base!G46)&gt;0,ROUND(USPS_Pri_Int_Base!G46*(1+PostalMarkup),2),"N/A")</f>
        <v>375.56</v>
      </c>
      <c r="H50" s="321">
        <f>IF(LEN(USPS_Pri_Int_Base!H46)&gt;0,ROUND(USPS_Pri_Int_Base!H46*(1+PostalMarkup),2),"N/A")</f>
        <v>383.46</v>
      </c>
      <c r="I50" s="321">
        <f>IF(LEN(USPS_Pri_Int_Base!I46)&gt;0,ROUND(USPS_Pri_Int_Base!I46*(1+PostalMarkup),2),"N/A")</f>
        <v>469.74</v>
      </c>
      <c r="J50" s="321">
        <f>IF(LEN(USPS_Pri_Int_Base!J46)&gt;0,ROUND(USPS_Pri_Int_Base!J46*(1+PostalMarkup),2),"N/A")</f>
        <v>474.63</v>
      </c>
      <c r="K50" s="321">
        <f>IF(LEN(USPS_Pri_Int_Base!K46)&gt;0,ROUND(USPS_Pri_Int_Base!K46*(1+PostalMarkup),2),"N/A")</f>
        <v>340.2</v>
      </c>
      <c r="L50" s="321">
        <f>IF(LEN(USPS_Pri_Int_Base!L46)&gt;0,ROUND(USPS_Pri_Int_Base!L46*(1+PostalMarkup),2),"N/A")</f>
        <v>367.38</v>
      </c>
      <c r="M50" s="321">
        <f>IF(LEN(USPS_Pri_Int_Base!M46)&gt;0,ROUND(USPS_Pri_Int_Base!M46*(1+PostalMarkup),2),"N/A")</f>
        <v>563.57</v>
      </c>
      <c r="N50" s="321">
        <f>IF(LEN(USPS_Pri_Int_Base!N46)&gt;0,ROUND(USPS_Pri_Int_Base!N46*(1+PostalMarkup),2),"N/A")</f>
        <v>388.7</v>
      </c>
      <c r="O50" s="321">
        <f>IF(LEN(USPS_Pri_Int_Base!O46)&gt;0,ROUND(USPS_Pri_Int_Base!O46*(1+PostalMarkup),2),"N/A")</f>
        <v>405.7</v>
      </c>
      <c r="P50" s="321">
        <f>IF(LEN(USPS_Pri_Int_Base!P46)&gt;0,ROUND(USPS_Pri_Int_Base!P46*(1+PostalMarkup),2),"N/A")</f>
        <v>295.23</v>
      </c>
      <c r="Q50" s="321">
        <f>IF(LEN(USPS_Pri_Int_Base!Q46)&gt;0,ROUND(USPS_Pri_Int_Base!Q46*(1+PostalMarkup),2),"N/A")</f>
        <v>317.81</v>
      </c>
      <c r="R50" s="321">
        <f>IF(LEN(USPS_Pri_Int_Base!R46)&gt;0,ROUND(USPS_Pri_Int_Base!R46*(1+PostalMarkup),2),"N/A")</f>
        <v>330.74</v>
      </c>
      <c r="S50" s="321">
        <f>IF(LEN(USPS_Pri_Int_Base!S46)&gt;0,ROUND(USPS_Pri_Int_Base!S46*(1+PostalMarkup),2),"N/A")</f>
        <v>313.64</v>
      </c>
      <c r="T50" s="321">
        <f>IF(LEN(USPS_Pri_Int_Base!T46)&gt;0,ROUND(USPS_Pri_Int_Base!T46*(1+PostalMarkup),2),"N/A")</f>
        <v>532.28</v>
      </c>
      <c r="U50" s="321">
        <f>IF(LEN(USPS_Pri_Int_Base!U46)&gt;0,ROUND(USPS_Pri_Int_Base!U46*(1+PostalMarkup),2),"N/A")</f>
        <v>341.16</v>
      </c>
    </row>
    <row r="51" ht="12.75" customHeight="1">
      <c r="A51" s="320">
        <v>46.0</v>
      </c>
      <c r="B51" s="321">
        <f>IF(LEN(USPS_Pri_Int_Base!B47)&gt;0,ROUND(USPS_Pri_Int_Base!B47*(1+PostalMarkup),2),"N/A")</f>
        <v>385.09</v>
      </c>
      <c r="C51" s="321">
        <f>IF(LEN(USPS_Pri_Int_Base!C47)&gt;0,ROUND(USPS_Pri_Int_Base!C47*(1+PostalMarkup),2),"N/A")</f>
        <v>304.37</v>
      </c>
      <c r="D51" s="321">
        <f>IF(LEN(USPS_Pri_Int_Base!D47)&gt;0,ROUND(USPS_Pri_Int_Base!D47*(1+PostalMarkup),2),"N/A")</f>
        <v>395.88</v>
      </c>
      <c r="E51" s="321">
        <f>IF(LEN(USPS_Pri_Int_Base!E47)&gt;0,ROUND(USPS_Pri_Int_Base!E47*(1+PostalMarkup),2),"N/A")</f>
        <v>337.12</v>
      </c>
      <c r="F51" s="321">
        <f>IF(LEN(USPS_Pri_Int_Base!F47)&gt;0,ROUND(USPS_Pri_Int_Base!F47*(1+PostalMarkup),2),"N/A")</f>
        <v>354.49</v>
      </c>
      <c r="G51" s="321">
        <f>IF(LEN(USPS_Pri_Int_Base!G47)&gt;0,ROUND(USPS_Pri_Int_Base!G47*(1+PostalMarkup),2),"N/A")</f>
        <v>382.1</v>
      </c>
      <c r="H51" s="321">
        <f>IF(LEN(USPS_Pri_Int_Base!H47)&gt;0,ROUND(USPS_Pri_Int_Base!H47*(1+PostalMarkup),2),"N/A")</f>
        <v>390.16</v>
      </c>
      <c r="I51" s="321">
        <f>IF(LEN(USPS_Pri_Int_Base!I47)&gt;0,ROUND(USPS_Pri_Int_Base!I47*(1+PostalMarkup),2),"N/A")</f>
        <v>478.41</v>
      </c>
      <c r="J51" s="321">
        <f>IF(LEN(USPS_Pri_Int_Base!J47)&gt;0,ROUND(USPS_Pri_Int_Base!J47*(1+PostalMarkup),2),"N/A")</f>
        <v>483.37</v>
      </c>
      <c r="K51" s="321">
        <f>IF(LEN(USPS_Pri_Int_Base!K47)&gt;0,ROUND(USPS_Pri_Int_Base!K47*(1+PostalMarkup),2),"N/A")</f>
        <v>347.43</v>
      </c>
      <c r="L51" s="321">
        <f>IF(LEN(USPS_Pri_Int_Base!L47)&gt;0,ROUND(USPS_Pri_Int_Base!L47*(1+PostalMarkup),2),"N/A")</f>
        <v>373.77</v>
      </c>
      <c r="M51" s="321">
        <f>IF(LEN(USPS_Pri_Int_Base!M47)&gt;0,ROUND(USPS_Pri_Int_Base!M47*(1+PostalMarkup),2),"N/A")</f>
        <v>573.97</v>
      </c>
      <c r="N51" s="321">
        <f>IF(LEN(USPS_Pri_Int_Base!N47)&gt;0,ROUND(USPS_Pri_Int_Base!N47*(1+PostalMarkup),2),"N/A")</f>
        <v>398.03</v>
      </c>
      <c r="O51" s="321">
        <f>IF(LEN(USPS_Pri_Int_Base!O47)&gt;0,ROUND(USPS_Pri_Int_Base!O47*(1+PostalMarkup),2),"N/A")</f>
        <v>412.9</v>
      </c>
      <c r="P51" s="321">
        <f>IF(LEN(USPS_Pri_Int_Base!P47)&gt;0,ROUND(USPS_Pri_Int_Base!P47*(1+PostalMarkup),2),"N/A")</f>
        <v>300.98</v>
      </c>
      <c r="Q51" s="321">
        <f>IF(LEN(USPS_Pri_Int_Base!Q47)&gt;0,ROUND(USPS_Pri_Int_Base!Q47*(1+PostalMarkup),2),"N/A")</f>
        <v>324.17</v>
      </c>
      <c r="R51" s="321">
        <f>IF(LEN(USPS_Pri_Int_Base!R47)&gt;0,ROUND(USPS_Pri_Int_Base!R47*(1+PostalMarkup),2),"N/A")</f>
        <v>335.97</v>
      </c>
      <c r="S51" s="321">
        <f>IF(LEN(USPS_Pri_Int_Base!S47)&gt;0,ROUND(USPS_Pri_Int_Base!S47*(1+PostalMarkup),2),"N/A")</f>
        <v>318.55</v>
      </c>
      <c r="T51" s="321">
        <f>IF(LEN(USPS_Pri_Int_Base!T47)&gt;0,ROUND(USPS_Pri_Int_Base!T47*(1+PostalMarkup),2),"N/A")</f>
        <v>541.67</v>
      </c>
      <c r="U51" s="321">
        <f>IF(LEN(USPS_Pri_Int_Base!U47)&gt;0,ROUND(USPS_Pri_Int_Base!U47*(1+PostalMarkup),2),"N/A")</f>
        <v>344.51</v>
      </c>
    </row>
    <row r="52" ht="12.75" customHeight="1">
      <c r="A52" s="320">
        <v>47.0</v>
      </c>
      <c r="B52" s="321">
        <f>IF(LEN(USPS_Pri_Int_Base!B48)&gt;0,ROUND(USPS_Pri_Int_Base!B48*(1+PostalMarkup),2),"N/A")</f>
        <v>392.6</v>
      </c>
      <c r="C52" s="321">
        <f>IF(LEN(USPS_Pri_Int_Base!C48)&gt;0,ROUND(USPS_Pri_Int_Base!C48*(1+PostalMarkup),2),"N/A")</f>
        <v>309.35</v>
      </c>
      <c r="D52" s="321">
        <f>IF(LEN(USPS_Pri_Int_Base!D48)&gt;0,ROUND(USPS_Pri_Int_Base!D48*(1+PostalMarkup),2),"N/A")</f>
        <v>402.72</v>
      </c>
      <c r="E52" s="321">
        <f>IF(LEN(USPS_Pri_Int_Base!E48)&gt;0,ROUND(USPS_Pri_Int_Base!E48*(1+PostalMarkup),2),"N/A")</f>
        <v>343.37</v>
      </c>
      <c r="F52" s="321">
        <f>IF(LEN(USPS_Pri_Int_Base!F48)&gt;0,ROUND(USPS_Pri_Int_Base!F48*(1+PostalMarkup),2),"N/A")</f>
        <v>360.36</v>
      </c>
      <c r="G52" s="321">
        <f>IF(LEN(USPS_Pri_Int_Base!G48)&gt;0,ROUND(USPS_Pri_Int_Base!G48*(1+PostalMarkup),2),"N/A")</f>
        <v>388.68</v>
      </c>
      <c r="H52" s="321">
        <f>IF(LEN(USPS_Pri_Int_Base!H48)&gt;0,ROUND(USPS_Pri_Int_Base!H48*(1+PostalMarkup),2),"N/A")</f>
        <v>396.88</v>
      </c>
      <c r="I52" s="321">
        <f>IF(LEN(USPS_Pri_Int_Base!I48)&gt;0,ROUND(USPS_Pri_Int_Base!I48*(1+PostalMarkup),2),"N/A")</f>
        <v>487.06</v>
      </c>
      <c r="J52" s="321">
        <f>IF(LEN(USPS_Pri_Int_Base!J48)&gt;0,ROUND(USPS_Pri_Int_Base!J48*(1+PostalMarkup),2),"N/A")</f>
        <v>492.13</v>
      </c>
      <c r="K52" s="321">
        <f>IF(LEN(USPS_Pri_Int_Base!K48)&gt;0,ROUND(USPS_Pri_Int_Base!K48*(1+PostalMarkup),2),"N/A")</f>
        <v>353.49</v>
      </c>
      <c r="L52" s="321">
        <f>IF(LEN(USPS_Pri_Int_Base!L48)&gt;0,ROUND(USPS_Pri_Int_Base!L48*(1+PostalMarkup),2),"N/A")</f>
        <v>380.16</v>
      </c>
      <c r="M52" s="321">
        <f>IF(LEN(USPS_Pri_Int_Base!M48)&gt;0,ROUND(USPS_Pri_Int_Base!M48*(1+PostalMarkup),2),"N/A")</f>
        <v>584.37</v>
      </c>
      <c r="N52" s="321">
        <f>IF(LEN(USPS_Pri_Int_Base!N48)&gt;0,ROUND(USPS_Pri_Int_Base!N48*(1+PostalMarkup),2),"N/A")</f>
        <v>403.27</v>
      </c>
      <c r="O52" s="321">
        <f>IF(LEN(USPS_Pri_Int_Base!O48)&gt;0,ROUND(USPS_Pri_Int_Base!O48*(1+PostalMarkup),2),"N/A")</f>
        <v>420.11</v>
      </c>
      <c r="P52" s="321">
        <f>IF(LEN(USPS_Pri_Int_Base!P48)&gt;0,ROUND(USPS_Pri_Int_Base!P48*(1+PostalMarkup),2),"N/A")</f>
        <v>304.95</v>
      </c>
      <c r="Q52" s="321">
        <f>IF(LEN(USPS_Pri_Int_Base!Q48)&gt;0,ROUND(USPS_Pri_Int_Base!Q48*(1+PostalMarkup),2),"N/A")</f>
        <v>328.83</v>
      </c>
      <c r="R52" s="321">
        <f>IF(LEN(USPS_Pri_Int_Base!R48)&gt;0,ROUND(USPS_Pri_Int_Base!R48*(1+PostalMarkup),2),"N/A")</f>
        <v>343.46</v>
      </c>
      <c r="S52" s="321">
        <f>IF(LEN(USPS_Pri_Int_Base!S48)&gt;0,ROUND(USPS_Pri_Int_Base!S48*(1+PostalMarkup),2),"N/A")</f>
        <v>323.48</v>
      </c>
      <c r="T52" s="321">
        <f>IF(LEN(USPS_Pri_Int_Base!T48)&gt;0,ROUND(USPS_Pri_Int_Base!T48*(1+PostalMarkup),2),"N/A")</f>
        <v>551.02</v>
      </c>
      <c r="U52" s="321">
        <f>IF(LEN(USPS_Pri_Int_Base!U48)&gt;0,ROUND(USPS_Pri_Int_Base!U48*(1+PostalMarkup),2),"N/A")</f>
        <v>347.45</v>
      </c>
    </row>
    <row r="53" ht="12.75" customHeight="1">
      <c r="A53" s="320">
        <v>48.0</v>
      </c>
      <c r="B53" s="321">
        <f>IF(LEN(USPS_Pri_Int_Base!B49)&gt;0,ROUND(USPS_Pri_Int_Base!B49*(1+PostalMarkup),2),"N/A")</f>
        <v>398.61</v>
      </c>
      <c r="C53" s="321">
        <f>IF(LEN(USPS_Pri_Int_Base!C49)&gt;0,ROUND(USPS_Pri_Int_Base!C49*(1+PostalMarkup),2),"N/A")</f>
        <v>314.33</v>
      </c>
      <c r="D53" s="321">
        <f>IF(LEN(USPS_Pri_Int_Base!D49)&gt;0,ROUND(USPS_Pri_Int_Base!D49*(1+PostalMarkup),2),"N/A")</f>
        <v>409.56</v>
      </c>
      <c r="E53" s="321">
        <f>IF(LEN(USPS_Pri_Int_Base!E49)&gt;0,ROUND(USPS_Pri_Int_Base!E49*(1+PostalMarkup),2),"N/A")</f>
        <v>349.22</v>
      </c>
      <c r="F53" s="321">
        <f>IF(LEN(USPS_Pri_Int_Base!F49)&gt;0,ROUND(USPS_Pri_Int_Base!F49*(1+PostalMarkup),2),"N/A")</f>
        <v>366.24</v>
      </c>
      <c r="G53" s="321">
        <f>IF(LEN(USPS_Pri_Int_Base!G49)&gt;0,ROUND(USPS_Pri_Int_Base!G49*(1+PostalMarkup),2),"N/A")</f>
        <v>395.27</v>
      </c>
      <c r="H53" s="321">
        <f>IF(LEN(USPS_Pri_Int_Base!H49)&gt;0,ROUND(USPS_Pri_Int_Base!H49*(1+PostalMarkup),2),"N/A")</f>
        <v>403.6</v>
      </c>
      <c r="I53" s="321">
        <f>IF(LEN(USPS_Pri_Int_Base!I49)&gt;0,ROUND(USPS_Pri_Int_Base!I49*(1+PostalMarkup),2),"N/A")</f>
        <v>495.74</v>
      </c>
      <c r="J53" s="321">
        <f>IF(LEN(USPS_Pri_Int_Base!J49)&gt;0,ROUND(USPS_Pri_Int_Base!J49*(1+PostalMarkup),2),"N/A")</f>
        <v>500.89</v>
      </c>
      <c r="K53" s="321">
        <f>IF(LEN(USPS_Pri_Int_Base!K49)&gt;0,ROUND(USPS_Pri_Int_Base!K49*(1+PostalMarkup),2),"N/A")</f>
        <v>359.7</v>
      </c>
      <c r="L53" s="321">
        <f>IF(LEN(USPS_Pri_Int_Base!L49)&gt;0,ROUND(USPS_Pri_Int_Base!L49*(1+PostalMarkup),2),"N/A")</f>
        <v>386.57</v>
      </c>
      <c r="M53" s="321">
        <f>IF(LEN(USPS_Pri_Int_Base!M49)&gt;0,ROUND(USPS_Pri_Int_Base!M49*(1+PostalMarkup),2),"N/A")</f>
        <v>594.78</v>
      </c>
      <c r="N53" s="321">
        <f>IF(LEN(USPS_Pri_Int_Base!N49)&gt;0,ROUND(USPS_Pri_Int_Base!N49*(1+PostalMarkup),2),"N/A")</f>
        <v>411.17</v>
      </c>
      <c r="O53" s="321">
        <f>IF(LEN(USPS_Pri_Int_Base!O49)&gt;0,ROUND(USPS_Pri_Int_Base!O49*(1+PostalMarkup),2),"N/A")</f>
        <v>427.31</v>
      </c>
      <c r="P53" s="321">
        <f>IF(LEN(USPS_Pri_Int_Base!P49)&gt;0,ROUND(USPS_Pri_Int_Base!P49*(1+PostalMarkup),2),"N/A")</f>
        <v>310.09</v>
      </c>
      <c r="Q53" s="321">
        <f>IF(LEN(USPS_Pri_Int_Base!Q49)&gt;0,ROUND(USPS_Pri_Int_Base!Q49*(1+PostalMarkup),2),"N/A")</f>
        <v>334.5</v>
      </c>
      <c r="R53" s="321">
        <f>IF(LEN(USPS_Pri_Int_Base!R49)&gt;0,ROUND(USPS_Pri_Int_Base!R49*(1+PostalMarkup),2),"N/A")</f>
        <v>349.12</v>
      </c>
      <c r="S53" s="321">
        <f>IF(LEN(USPS_Pri_Int_Base!S49)&gt;0,ROUND(USPS_Pri_Int_Base!S49*(1+PostalMarkup),2),"N/A")</f>
        <v>328.38</v>
      </c>
      <c r="T53" s="321">
        <f>IF(LEN(USPS_Pri_Int_Base!T49)&gt;0,ROUND(USPS_Pri_Int_Base!T49*(1+PostalMarkup),2),"N/A")</f>
        <v>560.42</v>
      </c>
      <c r="U53" s="321">
        <f>IF(LEN(USPS_Pri_Int_Base!U49)&gt;0,ROUND(USPS_Pri_Int_Base!U49*(1+PostalMarkup),2),"N/A")</f>
        <v>350.76</v>
      </c>
    </row>
    <row r="54" ht="12.75" customHeight="1">
      <c r="A54" s="320">
        <v>49.0</v>
      </c>
      <c r="B54" s="321">
        <f>IF(LEN(USPS_Pri_Int_Base!B50)&gt;0,ROUND(USPS_Pri_Int_Base!B50*(1+PostalMarkup),2),"N/A")</f>
        <v>407.92</v>
      </c>
      <c r="C54" s="321">
        <f>IF(LEN(USPS_Pri_Int_Base!C50)&gt;0,ROUND(USPS_Pri_Int_Base!C50*(1+PostalMarkup),2),"N/A")</f>
        <v>318.46</v>
      </c>
      <c r="D54" s="321">
        <f>IF(LEN(USPS_Pri_Int_Base!D50)&gt;0,ROUND(USPS_Pri_Int_Base!D50*(1+PostalMarkup),2),"N/A")</f>
        <v>416.43</v>
      </c>
      <c r="E54" s="321">
        <f>IF(LEN(USPS_Pri_Int_Base!E50)&gt;0,ROUND(USPS_Pri_Int_Base!E50*(1+PostalMarkup),2),"N/A")</f>
        <v>354.49</v>
      </c>
      <c r="F54" s="321">
        <f>IF(LEN(USPS_Pri_Int_Base!F50)&gt;0,ROUND(USPS_Pri_Int_Base!F50*(1+PostalMarkup),2),"N/A")</f>
        <v>372.11</v>
      </c>
      <c r="G54" s="321">
        <f>IF(LEN(USPS_Pri_Int_Base!G50)&gt;0,ROUND(USPS_Pri_Int_Base!G50*(1+PostalMarkup),2),"N/A")</f>
        <v>401.81</v>
      </c>
      <c r="H54" s="321">
        <f>IF(LEN(USPS_Pri_Int_Base!H50)&gt;0,ROUND(USPS_Pri_Int_Base!H50*(1+PostalMarkup),2),"N/A")</f>
        <v>410.29</v>
      </c>
      <c r="I54" s="321">
        <f>IF(LEN(USPS_Pri_Int_Base!I50)&gt;0,ROUND(USPS_Pri_Int_Base!I50*(1+PostalMarkup),2),"N/A")</f>
        <v>504.39</v>
      </c>
      <c r="J54" s="321">
        <f>IF(LEN(USPS_Pri_Int_Base!J50)&gt;0,ROUND(USPS_Pri_Int_Base!J50*(1+PostalMarkup),2),"N/A")</f>
        <v>509.63</v>
      </c>
      <c r="K54" s="321">
        <f>IF(LEN(USPS_Pri_Int_Base!K50)&gt;0,ROUND(USPS_Pri_Int_Base!K50*(1+PostalMarkup),2),"N/A")</f>
        <v>366</v>
      </c>
      <c r="L54" s="321">
        <f>IF(LEN(USPS_Pri_Int_Base!L50)&gt;0,ROUND(USPS_Pri_Int_Base!L50*(1+PostalMarkup),2),"N/A")</f>
        <v>392.98</v>
      </c>
      <c r="M54" s="321">
        <f>IF(LEN(USPS_Pri_Int_Base!M50)&gt;0,ROUND(USPS_Pri_Int_Base!M50*(1+PostalMarkup),2),"N/A")</f>
        <v>605.16</v>
      </c>
      <c r="N54" s="321">
        <f>IF(LEN(USPS_Pri_Int_Base!N50)&gt;0,ROUND(USPS_Pri_Int_Base!N50*(1+PostalMarkup),2),"N/A")</f>
        <v>417.6</v>
      </c>
      <c r="O54" s="321">
        <f>IF(LEN(USPS_Pri_Int_Base!O50)&gt;0,ROUND(USPS_Pri_Int_Base!O50*(1+PostalMarkup),2),"N/A")</f>
        <v>434.52</v>
      </c>
      <c r="P54" s="321">
        <f>IF(LEN(USPS_Pri_Int_Base!P50)&gt;0,ROUND(USPS_Pri_Int_Base!P50*(1+PostalMarkup),2),"N/A")</f>
        <v>313.39</v>
      </c>
      <c r="Q54" s="321">
        <f>IF(LEN(USPS_Pri_Int_Base!Q50)&gt;0,ROUND(USPS_Pri_Int_Base!Q50*(1+PostalMarkup),2),"N/A")</f>
        <v>339.39</v>
      </c>
      <c r="R54" s="321">
        <f>IF(LEN(USPS_Pri_Int_Base!R50)&gt;0,ROUND(USPS_Pri_Int_Base!R50*(1+PostalMarkup),2),"N/A")</f>
        <v>354.45</v>
      </c>
      <c r="S54" s="321">
        <f>IF(LEN(USPS_Pri_Int_Base!S50)&gt;0,ROUND(USPS_Pri_Int_Base!S50*(1+PostalMarkup),2),"N/A")</f>
        <v>333.33</v>
      </c>
      <c r="T54" s="321">
        <f>IF(LEN(USPS_Pri_Int_Base!T50)&gt;0,ROUND(USPS_Pri_Int_Base!T50*(1+PostalMarkup),2),"N/A")</f>
        <v>569.78</v>
      </c>
      <c r="U54" s="321">
        <f>IF(LEN(USPS_Pri_Int_Base!U50)&gt;0,ROUND(USPS_Pri_Int_Base!U50*(1+PostalMarkup),2),"N/A")</f>
        <v>353.4</v>
      </c>
    </row>
    <row r="55" ht="12.75" customHeight="1">
      <c r="A55" s="320">
        <v>50.0</v>
      </c>
      <c r="B55" s="321">
        <f>IF(LEN(USPS_Pri_Int_Base!B51)&gt;0,ROUND(USPS_Pri_Int_Base!B51*(1+PostalMarkup),2),"N/A")</f>
        <v>414.2</v>
      </c>
      <c r="C55" s="321">
        <f>IF(LEN(USPS_Pri_Int_Base!C51)&gt;0,ROUND(USPS_Pri_Int_Base!C51*(1+PostalMarkup),2),"N/A")</f>
        <v>324.74</v>
      </c>
      <c r="D55" s="321">
        <f>IF(LEN(USPS_Pri_Int_Base!D51)&gt;0,ROUND(USPS_Pri_Int_Base!D51*(1+PostalMarkup),2),"N/A")</f>
        <v>423.27</v>
      </c>
      <c r="E55" s="321">
        <f>IF(LEN(USPS_Pri_Int_Base!E51)&gt;0,ROUND(USPS_Pri_Int_Base!E51*(1+PostalMarkup),2),"N/A")</f>
        <v>361</v>
      </c>
      <c r="F55" s="321">
        <f>IF(LEN(USPS_Pri_Int_Base!F51)&gt;0,ROUND(USPS_Pri_Int_Base!F51*(1+PostalMarkup),2),"N/A")</f>
        <v>377.97</v>
      </c>
      <c r="G55" s="321">
        <f>IF(LEN(USPS_Pri_Int_Base!G51)&gt;0,ROUND(USPS_Pri_Int_Base!G51*(1+PostalMarkup),2),"N/A")</f>
        <v>408.39</v>
      </c>
      <c r="H55" s="321">
        <f>IF(LEN(USPS_Pri_Int_Base!H51)&gt;0,ROUND(USPS_Pri_Int_Base!H51*(1+PostalMarkup),2),"N/A")</f>
        <v>416.99</v>
      </c>
      <c r="I55" s="321">
        <f>IF(LEN(USPS_Pri_Int_Base!I51)&gt;0,ROUND(USPS_Pri_Int_Base!I51*(1+PostalMarkup),2),"N/A")</f>
        <v>513.06</v>
      </c>
      <c r="J55" s="321">
        <f>IF(LEN(USPS_Pri_Int_Base!J51)&gt;0,ROUND(USPS_Pri_Int_Base!J51*(1+PostalMarkup),2),"N/A")</f>
        <v>518.39</v>
      </c>
      <c r="K55" s="321">
        <f>IF(LEN(USPS_Pri_Int_Base!K51)&gt;0,ROUND(USPS_Pri_Int_Base!K51*(1+PostalMarkup),2),"N/A")</f>
        <v>371.31</v>
      </c>
      <c r="L55" s="321">
        <f>IF(LEN(USPS_Pri_Int_Base!L51)&gt;0,ROUND(USPS_Pri_Int_Base!L51*(1+PostalMarkup),2),"N/A")</f>
        <v>399.36</v>
      </c>
      <c r="M55" s="321">
        <f>IF(LEN(USPS_Pri_Int_Base!M51)&gt;0,ROUND(USPS_Pri_Int_Base!M51*(1+PostalMarkup),2),"N/A")</f>
        <v>615.57</v>
      </c>
      <c r="N55" s="321">
        <f>IF(LEN(USPS_Pri_Int_Base!N51)&gt;0,ROUND(USPS_Pri_Int_Base!N51*(1+PostalMarkup),2),"N/A")</f>
        <v>426.18</v>
      </c>
      <c r="O55" s="321">
        <f>IF(LEN(USPS_Pri_Int_Base!O51)&gt;0,ROUND(USPS_Pri_Int_Base!O51*(1+PostalMarkup),2),"N/A")</f>
        <v>441.73</v>
      </c>
      <c r="P55" s="321">
        <f>IF(LEN(USPS_Pri_Int_Base!P51)&gt;0,ROUND(USPS_Pri_Int_Base!P51*(1+PostalMarkup),2),"N/A")</f>
        <v>319.26</v>
      </c>
      <c r="Q55" s="321">
        <f>IF(LEN(USPS_Pri_Int_Base!Q51)&gt;0,ROUND(USPS_Pri_Int_Base!Q51*(1+PostalMarkup),2),"N/A")</f>
        <v>344.95</v>
      </c>
      <c r="R55" s="321">
        <f>IF(LEN(USPS_Pri_Int_Base!R51)&gt;0,ROUND(USPS_Pri_Int_Base!R51*(1+PostalMarkup),2),"N/A")</f>
        <v>360.26</v>
      </c>
      <c r="S55" s="321">
        <f>IF(LEN(USPS_Pri_Int_Base!S51)&gt;0,ROUND(USPS_Pri_Int_Base!S51*(1+PostalMarkup),2),"N/A")</f>
        <v>338.23</v>
      </c>
      <c r="T55" s="321">
        <f>IF(LEN(USPS_Pri_Int_Base!T51)&gt;0,ROUND(USPS_Pri_Int_Base!T51*(1+PostalMarkup),2),"N/A")</f>
        <v>579.16</v>
      </c>
      <c r="U55" s="321">
        <f>IF(LEN(USPS_Pri_Int_Base!U51)&gt;0,ROUND(USPS_Pri_Int_Base!U51*(1+PostalMarkup),2),"N/A")</f>
        <v>356.58</v>
      </c>
    </row>
    <row r="56" ht="12.75" customHeight="1">
      <c r="A56" s="320">
        <v>51.0</v>
      </c>
      <c r="B56" s="321">
        <f>IF(LEN(USPS_Pri_Int_Base!B52)&gt;0,ROUND(USPS_Pri_Int_Base!B52*(1+PostalMarkup),2),"N/A")</f>
        <v>419.23</v>
      </c>
      <c r="C56" s="321">
        <f>IF(LEN(USPS_Pri_Int_Base!C52)&gt;0,ROUND(USPS_Pri_Int_Base!C52*(1+PostalMarkup),2),"N/A")</f>
        <v>328.33</v>
      </c>
      <c r="D56" s="321">
        <f>IF(LEN(USPS_Pri_Int_Base!D52)&gt;0,ROUND(USPS_Pri_Int_Base!D52*(1+PostalMarkup),2),"N/A")</f>
        <v>449.08</v>
      </c>
      <c r="E56" s="321">
        <f>IF(LEN(USPS_Pri_Int_Base!E52)&gt;0,ROUND(USPS_Pri_Int_Base!E52*(1+PostalMarkup),2),"N/A")</f>
        <v>366.32</v>
      </c>
      <c r="F56" s="321">
        <f>IF(LEN(USPS_Pri_Int_Base!F52)&gt;0,ROUND(USPS_Pri_Int_Base!F52*(1+PostalMarkup),2),"N/A")</f>
        <v>383.49</v>
      </c>
      <c r="G56" s="321">
        <f>IF(LEN(USPS_Pri_Int_Base!G52)&gt;0,ROUND(USPS_Pri_Int_Base!G52*(1+PostalMarkup),2),"N/A")</f>
        <v>414.55</v>
      </c>
      <c r="H56" s="321">
        <f>IF(LEN(USPS_Pri_Int_Base!H52)&gt;0,ROUND(USPS_Pri_Int_Base!H52*(1+PostalMarkup),2),"N/A")</f>
        <v>423.71</v>
      </c>
      <c r="I56" s="321">
        <f>IF(LEN(USPS_Pri_Int_Base!I52)&gt;0,ROUND(USPS_Pri_Int_Base!I52*(1+PostalMarkup),2),"N/A")</f>
        <v>521.72</v>
      </c>
      <c r="J56" s="321">
        <f>IF(LEN(USPS_Pri_Int_Base!J52)&gt;0,ROUND(USPS_Pri_Int_Base!J52*(1+PostalMarkup),2),"N/A")</f>
        <v>526.14</v>
      </c>
      <c r="K56" s="321">
        <f>IF(LEN(USPS_Pri_Int_Base!K52)&gt;0,ROUND(USPS_Pri_Int_Base!K52*(1+PostalMarkup),2),"N/A")</f>
        <v>380.18</v>
      </c>
      <c r="L56" s="321">
        <f>IF(LEN(USPS_Pri_Int_Base!L52)&gt;0,ROUND(USPS_Pri_Int_Base!L52*(1+PostalMarkup),2),"N/A")</f>
        <v>405.77</v>
      </c>
      <c r="M56" s="321">
        <f>IF(LEN(USPS_Pri_Int_Base!M52)&gt;0,ROUND(USPS_Pri_Int_Base!M52*(1+PostalMarkup),2),"N/A")</f>
        <v>625.39</v>
      </c>
      <c r="N56" s="321">
        <f>IF(LEN(USPS_Pri_Int_Base!N52)&gt;0,ROUND(USPS_Pri_Int_Base!N52*(1+PostalMarkup),2),"N/A")</f>
        <v>430.95</v>
      </c>
      <c r="O56" s="321">
        <f>IF(LEN(USPS_Pri_Int_Base!O52)&gt;0,ROUND(USPS_Pri_Int_Base!O52*(1+PostalMarkup),2),"N/A")</f>
        <v>448.51</v>
      </c>
      <c r="P56" s="321">
        <f>IF(LEN(USPS_Pri_Int_Base!P52)&gt;0,ROUND(USPS_Pri_Int_Base!P52*(1+PostalMarkup),2),"N/A")</f>
        <v>326.68</v>
      </c>
      <c r="Q56" s="321">
        <f>IF(LEN(USPS_Pri_Int_Base!Q52)&gt;0,ROUND(USPS_Pri_Int_Base!Q52*(1+PostalMarkup),2),"N/A")</f>
        <v>349.13</v>
      </c>
      <c r="R56" s="321">
        <f>IF(LEN(USPS_Pri_Int_Base!R52)&gt;0,ROUND(USPS_Pri_Int_Base!R52*(1+PostalMarkup),2),"N/A")</f>
        <v>365.61</v>
      </c>
      <c r="S56" s="321">
        <f>IF(LEN(USPS_Pri_Int_Base!S52)&gt;0,ROUND(USPS_Pri_Int_Base!S52*(1+PostalMarkup),2),"N/A")</f>
        <v>343.16</v>
      </c>
      <c r="T56" s="321">
        <f>IF(LEN(USPS_Pri_Int_Base!T52)&gt;0,ROUND(USPS_Pri_Int_Base!T52*(1+PostalMarkup),2),"N/A")</f>
        <v>590.42</v>
      </c>
      <c r="U56" s="321">
        <f>IF(LEN(USPS_Pri_Int_Base!U52)&gt;0,ROUND(USPS_Pri_Int_Base!U52*(1+PostalMarkup),2),"N/A")</f>
        <v>365.96</v>
      </c>
    </row>
    <row r="57" ht="12.75" customHeight="1">
      <c r="A57" s="320">
        <v>52.0</v>
      </c>
      <c r="B57" s="321">
        <f>IF(LEN(USPS_Pri_Int_Base!B53)&gt;0,ROUND(USPS_Pri_Int_Base!B53*(1+PostalMarkup),2),"N/A")</f>
        <v>428.95</v>
      </c>
      <c r="C57" s="321">
        <f>IF(LEN(USPS_Pri_Int_Base!C53)&gt;0,ROUND(USPS_Pri_Int_Base!C53*(1+PostalMarkup),2),"N/A")</f>
        <v>334.41</v>
      </c>
      <c r="D57" s="321">
        <f>IF(LEN(USPS_Pri_Int_Base!D53)&gt;0,ROUND(USPS_Pri_Int_Base!D53*(1+PostalMarkup),2),"N/A")</f>
        <v>456.22</v>
      </c>
      <c r="E57" s="321">
        <f>IF(LEN(USPS_Pri_Int_Base!E53)&gt;0,ROUND(USPS_Pri_Int_Base!E53*(1+PostalMarkup),2),"N/A")</f>
        <v>372.57</v>
      </c>
      <c r="F57" s="321">
        <f>IF(LEN(USPS_Pri_Int_Base!F53)&gt;0,ROUND(USPS_Pri_Int_Base!F53*(1+PostalMarkup),2),"N/A")</f>
        <v>389.36</v>
      </c>
      <c r="G57" s="321">
        <f>IF(LEN(USPS_Pri_Int_Base!G53)&gt;0,ROUND(USPS_Pri_Int_Base!G53*(1+PostalMarkup),2),"N/A")</f>
        <v>421.11</v>
      </c>
      <c r="H57" s="321">
        <f>IF(LEN(USPS_Pri_Int_Base!H53)&gt;0,ROUND(USPS_Pri_Int_Base!H53*(1+PostalMarkup),2),"N/A")</f>
        <v>430.41</v>
      </c>
      <c r="I57" s="321">
        <f>IF(LEN(USPS_Pri_Int_Base!I53)&gt;0,ROUND(USPS_Pri_Int_Base!I53*(1+PostalMarkup),2),"N/A")</f>
        <v>530.38</v>
      </c>
      <c r="J57" s="321">
        <f>IF(LEN(USPS_Pri_Int_Base!J53)&gt;0,ROUND(USPS_Pri_Int_Base!J53*(1+PostalMarkup),2),"N/A")</f>
        <v>534.88</v>
      </c>
      <c r="K57" s="321">
        <f>IF(LEN(USPS_Pri_Int_Base!K53)&gt;0,ROUND(USPS_Pri_Int_Base!K53*(1+PostalMarkup),2),"N/A")</f>
        <v>386.18</v>
      </c>
      <c r="L57" s="321">
        <f>IF(LEN(USPS_Pri_Int_Base!L53)&gt;0,ROUND(USPS_Pri_Int_Base!L53*(1+PostalMarkup),2),"N/A")</f>
        <v>412.16</v>
      </c>
      <c r="M57" s="321">
        <f>IF(LEN(USPS_Pri_Int_Base!M53)&gt;0,ROUND(USPS_Pri_Int_Base!M53*(1+PostalMarkup),2),"N/A")</f>
        <v>635.77</v>
      </c>
      <c r="N57" s="321">
        <f>IF(LEN(USPS_Pri_Int_Base!N53)&gt;0,ROUND(USPS_Pri_Int_Base!N53*(1+PostalMarkup),2),"N/A")</f>
        <v>436</v>
      </c>
      <c r="O57" s="321">
        <f>IF(LEN(USPS_Pri_Int_Base!O53)&gt;0,ROUND(USPS_Pri_Int_Base!O53*(1+PostalMarkup),2),"N/A")</f>
        <v>455.7</v>
      </c>
      <c r="P57" s="321">
        <f>IF(LEN(USPS_Pri_Int_Base!P53)&gt;0,ROUND(USPS_Pri_Int_Base!P53*(1+PostalMarkup),2),"N/A")</f>
        <v>331.22</v>
      </c>
      <c r="Q57" s="321">
        <f>IF(LEN(USPS_Pri_Int_Base!Q53)&gt;0,ROUND(USPS_Pri_Int_Base!Q53*(1+PostalMarkup),2),"N/A")</f>
        <v>355.1</v>
      </c>
      <c r="R57" s="321">
        <f>IF(LEN(USPS_Pri_Int_Base!R53)&gt;0,ROUND(USPS_Pri_Int_Base!R53*(1+PostalMarkup),2),"N/A")</f>
        <v>370.76</v>
      </c>
      <c r="S57" s="321">
        <f>IF(LEN(USPS_Pri_Int_Base!S53)&gt;0,ROUND(USPS_Pri_Int_Base!S53*(1+PostalMarkup),2),"N/A")</f>
        <v>348.07</v>
      </c>
      <c r="T57" s="321">
        <f>IF(LEN(USPS_Pri_Int_Base!T53)&gt;0,ROUND(USPS_Pri_Int_Base!T53*(1+PostalMarkup),2),"N/A")</f>
        <v>599.79</v>
      </c>
      <c r="U57" s="321">
        <f>IF(LEN(USPS_Pri_Int_Base!U53)&gt;0,ROUND(USPS_Pri_Int_Base!U53*(1+PostalMarkup),2),"N/A")</f>
        <v>371.16</v>
      </c>
    </row>
    <row r="58" ht="12.75" customHeight="1">
      <c r="A58" s="320">
        <v>53.0</v>
      </c>
      <c r="B58" s="321">
        <f>IF(LEN(USPS_Pri_Int_Base!B54)&gt;0,ROUND(USPS_Pri_Int_Base!B54*(1+PostalMarkup),2),"N/A")</f>
        <v>433.33</v>
      </c>
      <c r="C58" s="321">
        <f>IF(LEN(USPS_Pri_Int_Base!C54)&gt;0,ROUND(USPS_Pri_Int_Base!C54*(1+PostalMarkup),2),"N/A")</f>
        <v>338.97</v>
      </c>
      <c r="D58" s="321">
        <f>IF(LEN(USPS_Pri_Int_Base!D54)&gt;0,ROUND(USPS_Pri_Int_Base!D54*(1+PostalMarkup),2),"N/A")</f>
        <v>463.37</v>
      </c>
      <c r="E58" s="321">
        <f>IF(LEN(USPS_Pri_Int_Base!E54)&gt;0,ROUND(USPS_Pri_Int_Base!E54*(1+PostalMarkup),2),"N/A")</f>
        <v>378.34</v>
      </c>
      <c r="F58" s="321">
        <f>IF(LEN(USPS_Pri_Int_Base!F54)&gt;0,ROUND(USPS_Pri_Int_Base!F54*(1+PostalMarkup),2),"N/A")</f>
        <v>395.21</v>
      </c>
      <c r="G58" s="321">
        <f>IF(LEN(USPS_Pri_Int_Base!G54)&gt;0,ROUND(USPS_Pri_Int_Base!G54*(1+PostalMarkup),2),"N/A")</f>
        <v>427.66</v>
      </c>
      <c r="H58" s="321">
        <f>IF(LEN(USPS_Pri_Int_Base!H54)&gt;0,ROUND(USPS_Pri_Int_Base!H54*(1+PostalMarkup),2),"N/A")</f>
        <v>437.13</v>
      </c>
      <c r="I58" s="321">
        <f>IF(LEN(USPS_Pri_Int_Base!I54)&gt;0,ROUND(USPS_Pri_Int_Base!I54*(1+PostalMarkup),2),"N/A")</f>
        <v>539.03</v>
      </c>
      <c r="J58" s="321">
        <f>IF(LEN(USPS_Pri_Int_Base!J54)&gt;0,ROUND(USPS_Pri_Int_Base!J54*(1+PostalMarkup),2),"N/A")</f>
        <v>543.59</v>
      </c>
      <c r="K58" s="321">
        <f>IF(LEN(USPS_Pri_Int_Base!K54)&gt;0,ROUND(USPS_Pri_Int_Base!K54*(1+PostalMarkup),2),"N/A")</f>
        <v>392.17</v>
      </c>
      <c r="L58" s="321">
        <f>IF(LEN(USPS_Pri_Int_Base!L54)&gt;0,ROUND(USPS_Pri_Int_Base!L54*(1+PostalMarkup),2),"N/A")</f>
        <v>418.57</v>
      </c>
      <c r="M58" s="321">
        <f>IF(LEN(USPS_Pri_Int_Base!M54)&gt;0,ROUND(USPS_Pri_Int_Base!M54*(1+PostalMarkup),2),"N/A")</f>
        <v>646.16</v>
      </c>
      <c r="N58" s="321">
        <f>IF(LEN(USPS_Pri_Int_Base!N54)&gt;0,ROUND(USPS_Pri_Int_Base!N54*(1+PostalMarkup),2),"N/A")</f>
        <v>445.3</v>
      </c>
      <c r="O58" s="321">
        <f>IF(LEN(USPS_Pri_Int_Base!O54)&gt;0,ROUND(USPS_Pri_Int_Base!O54*(1+PostalMarkup),2),"N/A")</f>
        <v>462.91</v>
      </c>
      <c r="P58" s="321">
        <f>IF(LEN(USPS_Pri_Int_Base!P54)&gt;0,ROUND(USPS_Pri_Int_Base!P54*(1+PostalMarkup),2),"N/A")</f>
        <v>333.95</v>
      </c>
      <c r="Q58" s="321">
        <f>IF(LEN(USPS_Pri_Int_Base!Q54)&gt;0,ROUND(USPS_Pri_Int_Base!Q54*(1+PostalMarkup),2),"N/A")</f>
        <v>360.54</v>
      </c>
      <c r="R58" s="321">
        <f>IF(LEN(USPS_Pri_Int_Base!R54)&gt;0,ROUND(USPS_Pri_Int_Base!R54*(1+PostalMarkup),2),"N/A")</f>
        <v>377.68</v>
      </c>
      <c r="S58" s="321">
        <f>IF(LEN(USPS_Pri_Int_Base!S54)&gt;0,ROUND(USPS_Pri_Int_Base!S54*(1+PostalMarkup),2),"N/A")</f>
        <v>352.99</v>
      </c>
      <c r="T58" s="321">
        <f>IF(LEN(USPS_Pri_Int_Base!T54)&gt;0,ROUND(USPS_Pri_Int_Base!T54*(1+PostalMarkup),2),"N/A")</f>
        <v>609.2</v>
      </c>
      <c r="U58" s="321">
        <f>IF(LEN(USPS_Pri_Int_Base!U54)&gt;0,ROUND(USPS_Pri_Int_Base!U54*(1+PostalMarkup),2),"N/A")</f>
        <v>376.37</v>
      </c>
    </row>
    <row r="59" ht="12.75" customHeight="1">
      <c r="A59" s="320">
        <v>54.0</v>
      </c>
      <c r="B59" s="321">
        <f>IF(LEN(USPS_Pri_Int_Base!B55)&gt;0,ROUND(USPS_Pri_Int_Base!B55*(1+PostalMarkup),2),"N/A")</f>
        <v>442.12</v>
      </c>
      <c r="C59" s="321">
        <f>IF(LEN(USPS_Pri_Int_Base!C55)&gt;0,ROUND(USPS_Pri_Int_Base!C55*(1+PostalMarkup),2),"N/A")</f>
        <v>345.23</v>
      </c>
      <c r="D59" s="321">
        <f>IF(LEN(USPS_Pri_Int_Base!D55)&gt;0,ROUND(USPS_Pri_Int_Base!D55*(1+PostalMarkup),2),"N/A")</f>
        <v>470.52</v>
      </c>
      <c r="E59" s="321">
        <f>IF(LEN(USPS_Pri_Int_Base!E55)&gt;0,ROUND(USPS_Pri_Int_Base!E55*(1+PostalMarkup),2),"N/A")</f>
        <v>383.93</v>
      </c>
      <c r="F59" s="321">
        <f>IF(LEN(USPS_Pri_Int_Base!F55)&gt;0,ROUND(USPS_Pri_Int_Base!F55*(1+PostalMarkup),2),"N/A")</f>
        <v>401.09</v>
      </c>
      <c r="G59" s="321">
        <f>IF(LEN(USPS_Pri_Int_Base!G55)&gt;0,ROUND(USPS_Pri_Int_Base!G55*(1+PostalMarkup),2),"N/A")</f>
        <v>434.23</v>
      </c>
      <c r="H59" s="321">
        <f>IF(LEN(USPS_Pri_Int_Base!H55)&gt;0,ROUND(USPS_Pri_Int_Base!H55*(1+PostalMarkup),2),"N/A")</f>
        <v>443.84</v>
      </c>
      <c r="I59" s="321">
        <f>IF(LEN(USPS_Pri_Int_Base!I55)&gt;0,ROUND(USPS_Pri_Int_Base!I55*(1+PostalMarkup),2),"N/A")</f>
        <v>547.69</v>
      </c>
      <c r="J59" s="321">
        <f>IF(LEN(USPS_Pri_Int_Base!J55)&gt;0,ROUND(USPS_Pri_Int_Base!J55*(1+PostalMarkup),2),"N/A")</f>
        <v>552.32</v>
      </c>
      <c r="K59" s="321">
        <f>IF(LEN(USPS_Pri_Int_Base!K55)&gt;0,ROUND(USPS_Pri_Int_Base!K55*(1+PostalMarkup),2),"N/A")</f>
        <v>398.16</v>
      </c>
      <c r="L59" s="321">
        <f>IF(LEN(USPS_Pri_Int_Base!L55)&gt;0,ROUND(USPS_Pri_Int_Base!L55*(1+PostalMarkup),2),"N/A")</f>
        <v>424.96</v>
      </c>
      <c r="M59" s="321">
        <f>IF(LEN(USPS_Pri_Int_Base!M55)&gt;0,ROUND(USPS_Pri_Int_Base!M55*(1+PostalMarkup),2),"N/A")</f>
        <v>656.55</v>
      </c>
      <c r="N59" s="321">
        <f>IF(LEN(USPS_Pri_Int_Base!N55)&gt;0,ROUND(USPS_Pri_Int_Base!N55*(1+PostalMarkup),2),"N/A")</f>
        <v>451.41</v>
      </c>
      <c r="O59" s="321">
        <f>IF(LEN(USPS_Pri_Int_Base!O55)&gt;0,ROUND(USPS_Pri_Int_Base!O55*(1+PostalMarkup),2),"N/A")</f>
        <v>470.12</v>
      </c>
      <c r="P59" s="321">
        <f>IF(LEN(USPS_Pri_Int_Base!P55)&gt;0,ROUND(USPS_Pri_Int_Base!P55*(1+PostalMarkup),2),"N/A")</f>
        <v>338.28</v>
      </c>
      <c r="Q59" s="321">
        <f>IF(LEN(USPS_Pri_Int_Base!Q55)&gt;0,ROUND(USPS_Pri_Int_Base!Q55*(1+PostalMarkup),2),"N/A")</f>
        <v>366.13</v>
      </c>
      <c r="R59" s="321">
        <f>IF(LEN(USPS_Pri_Int_Base!R55)&gt;0,ROUND(USPS_Pri_Int_Base!R55*(1+PostalMarkup),2),"N/A")</f>
        <v>383.32</v>
      </c>
      <c r="S59" s="321">
        <f>IF(LEN(USPS_Pri_Int_Base!S55)&gt;0,ROUND(USPS_Pri_Int_Base!S55*(1+PostalMarkup),2),"N/A")</f>
        <v>357.89</v>
      </c>
      <c r="T59" s="321">
        <f>IF(LEN(USPS_Pri_Int_Base!T55)&gt;0,ROUND(USPS_Pri_Int_Base!T55*(1+PostalMarkup),2),"N/A")</f>
        <v>618.62</v>
      </c>
      <c r="U59" s="321">
        <f>IF(LEN(USPS_Pri_Int_Base!U55)&gt;0,ROUND(USPS_Pri_Int_Base!U55*(1+PostalMarkup),2),"N/A")</f>
        <v>381.54</v>
      </c>
    </row>
    <row r="60" ht="12.75" customHeight="1">
      <c r="A60" s="320">
        <v>55.0</v>
      </c>
      <c r="B60" s="321">
        <f>IF(LEN(USPS_Pri_Int_Base!B56)&gt;0,ROUND(USPS_Pri_Int_Base!B56*(1+PostalMarkup),2),"N/A")</f>
        <v>450.59</v>
      </c>
      <c r="C60" s="321">
        <f>IF(LEN(USPS_Pri_Int_Base!C56)&gt;0,ROUND(USPS_Pri_Int_Base!C56*(1+PostalMarkup),2),"N/A")</f>
        <v>350.41</v>
      </c>
      <c r="D60" s="321">
        <f>IF(LEN(USPS_Pri_Int_Base!D56)&gt;0,ROUND(USPS_Pri_Int_Base!D56*(1+PostalMarkup),2),"N/A")</f>
        <v>477.68</v>
      </c>
      <c r="E60" s="321">
        <f>IF(LEN(USPS_Pri_Int_Base!E56)&gt;0,ROUND(USPS_Pri_Int_Base!E56*(1+PostalMarkup),2),"N/A")</f>
        <v>389.9</v>
      </c>
      <c r="F60" s="321">
        <f>IF(LEN(USPS_Pri_Int_Base!F56)&gt;0,ROUND(USPS_Pri_Int_Base!F56*(1+PostalMarkup),2),"N/A")</f>
        <v>406.95</v>
      </c>
      <c r="G60" s="321">
        <f>IF(LEN(USPS_Pri_Int_Base!G56)&gt;0,ROUND(USPS_Pri_Int_Base!G56*(1+PostalMarkup),2),"N/A")</f>
        <v>440.8</v>
      </c>
      <c r="H60" s="321">
        <f>IF(LEN(USPS_Pri_Int_Base!H56)&gt;0,ROUND(USPS_Pri_Int_Base!H56*(1+PostalMarkup),2),"N/A")</f>
        <v>450.54</v>
      </c>
      <c r="I60" s="321">
        <f>IF(LEN(USPS_Pri_Int_Base!I56)&gt;0,ROUND(USPS_Pri_Int_Base!I56*(1+PostalMarkup),2),"N/A")</f>
        <v>556.36</v>
      </c>
      <c r="J60" s="321">
        <f>IF(LEN(USPS_Pri_Int_Base!J56)&gt;0,ROUND(USPS_Pri_Int_Base!J56*(1+PostalMarkup),2),"N/A")</f>
        <v>561.09</v>
      </c>
      <c r="K60" s="321">
        <f>IF(LEN(USPS_Pri_Int_Base!K56)&gt;0,ROUND(USPS_Pri_Int_Base!K56*(1+PostalMarkup),2),"N/A")</f>
        <v>404.18</v>
      </c>
      <c r="L60" s="321">
        <f>IF(LEN(USPS_Pri_Int_Base!L56)&gt;0,ROUND(USPS_Pri_Int_Base!L56*(1+PostalMarkup),2),"N/A")</f>
        <v>431.37</v>
      </c>
      <c r="M60" s="321">
        <f>IF(LEN(USPS_Pri_Int_Base!M56)&gt;0,ROUND(USPS_Pri_Int_Base!M56*(1+PostalMarkup),2),"N/A")</f>
        <v>666.94</v>
      </c>
      <c r="N60" s="321">
        <f>IF(LEN(USPS_Pri_Int_Base!N56)&gt;0,ROUND(USPS_Pri_Int_Base!N56*(1+PostalMarkup),2),"N/A")</f>
        <v>458.02</v>
      </c>
      <c r="O60" s="321">
        <f>IF(LEN(USPS_Pri_Int_Base!O56)&gt;0,ROUND(USPS_Pri_Int_Base!O56*(1+PostalMarkup),2),"N/A")</f>
        <v>477.31</v>
      </c>
      <c r="P60" s="321">
        <f>IF(LEN(USPS_Pri_Int_Base!P56)&gt;0,ROUND(USPS_Pri_Int_Base!P56*(1+PostalMarkup),2),"N/A")</f>
        <v>344.28</v>
      </c>
      <c r="Q60" s="321">
        <f>IF(LEN(USPS_Pri_Int_Base!Q56)&gt;0,ROUND(USPS_Pri_Int_Base!Q56*(1+PostalMarkup),2),"N/A")</f>
        <v>371.98</v>
      </c>
      <c r="R60" s="321">
        <f>IF(LEN(USPS_Pri_Int_Base!R56)&gt;0,ROUND(USPS_Pri_Int_Base!R56*(1+PostalMarkup),2),"N/A")</f>
        <v>388.18</v>
      </c>
      <c r="S60" s="321">
        <f>IF(LEN(USPS_Pri_Int_Base!S56)&gt;0,ROUND(USPS_Pri_Int_Base!S56*(1+PostalMarkup),2),"N/A")</f>
        <v>362.81</v>
      </c>
      <c r="T60" s="321">
        <f>IF(LEN(USPS_Pri_Int_Base!T56)&gt;0,ROUND(USPS_Pri_Int_Base!T56*(1+PostalMarkup),2),"N/A")</f>
        <v>628</v>
      </c>
      <c r="U60" s="321">
        <f>IF(LEN(USPS_Pri_Int_Base!U56)&gt;0,ROUND(USPS_Pri_Int_Base!U56*(1+PostalMarkup),2),"N/A")</f>
        <v>386.71</v>
      </c>
    </row>
    <row r="61" ht="12.75" customHeight="1">
      <c r="A61" s="320">
        <v>56.0</v>
      </c>
      <c r="B61" s="321">
        <f>IF(LEN(USPS_Pri_Int_Base!B57)&gt;0,ROUND(USPS_Pri_Int_Base!B57*(1+PostalMarkup),2),"N/A")</f>
        <v>460.1</v>
      </c>
      <c r="C61" s="321">
        <f>IF(LEN(USPS_Pri_Int_Base!C57)&gt;0,ROUND(USPS_Pri_Int_Base!C57*(1+PostalMarkup),2),"N/A")</f>
        <v>354.11</v>
      </c>
      <c r="D61" s="321">
        <f>IF(LEN(USPS_Pri_Int_Base!D57)&gt;0,ROUND(USPS_Pri_Int_Base!D57*(1+PostalMarkup),2),"N/A")</f>
        <v>484.83</v>
      </c>
      <c r="E61" s="321">
        <f>IF(LEN(USPS_Pri_Int_Base!E57)&gt;0,ROUND(USPS_Pri_Int_Base!E57*(1+PostalMarkup),2),"N/A")</f>
        <v>395.01</v>
      </c>
      <c r="F61" s="321">
        <f>IF(LEN(USPS_Pri_Int_Base!F57)&gt;0,ROUND(USPS_Pri_Int_Base!F57*(1+PostalMarkup),2),"N/A")</f>
        <v>412.82</v>
      </c>
      <c r="G61" s="321">
        <f>IF(LEN(USPS_Pri_Int_Base!G57)&gt;0,ROUND(USPS_Pri_Int_Base!G57*(1+PostalMarkup),2),"N/A")</f>
        <v>447.36</v>
      </c>
      <c r="H61" s="321">
        <f>IF(LEN(USPS_Pri_Int_Base!H57)&gt;0,ROUND(USPS_Pri_Int_Base!H57*(1+PostalMarkup),2),"N/A")</f>
        <v>457.25</v>
      </c>
      <c r="I61" s="321">
        <f>IF(LEN(USPS_Pri_Int_Base!I57)&gt;0,ROUND(USPS_Pri_Int_Base!I57*(1+PostalMarkup),2),"N/A")</f>
        <v>565.01</v>
      </c>
      <c r="J61" s="321">
        <f>IF(LEN(USPS_Pri_Int_Base!J57)&gt;0,ROUND(USPS_Pri_Int_Base!J57*(1+PostalMarkup),2),"N/A")</f>
        <v>569.8</v>
      </c>
      <c r="K61" s="321">
        <f>IF(LEN(USPS_Pri_Int_Base!K57)&gt;0,ROUND(USPS_Pri_Int_Base!K57*(1+PostalMarkup),2),"N/A")</f>
        <v>410.17</v>
      </c>
      <c r="L61" s="321">
        <f>IF(LEN(USPS_Pri_Int_Base!L57)&gt;0,ROUND(USPS_Pri_Int_Base!L57*(1+PostalMarkup),2),"N/A")</f>
        <v>437.78</v>
      </c>
      <c r="M61" s="321">
        <f>IF(LEN(USPS_Pri_Int_Base!M57)&gt;0,ROUND(USPS_Pri_Int_Base!M57*(1+PostalMarkup),2),"N/A")</f>
        <v>677.35</v>
      </c>
      <c r="N61" s="321">
        <f>IF(LEN(USPS_Pri_Int_Base!N57)&gt;0,ROUND(USPS_Pri_Int_Base!N57*(1+PostalMarkup),2),"N/A")</f>
        <v>464.37</v>
      </c>
      <c r="O61" s="321">
        <f>IF(LEN(USPS_Pri_Int_Base!O57)&gt;0,ROUND(USPS_Pri_Int_Base!O57*(1+PostalMarkup),2),"N/A")</f>
        <v>484.51</v>
      </c>
      <c r="P61" s="321">
        <f>IF(LEN(USPS_Pri_Int_Base!P57)&gt;0,ROUND(USPS_Pri_Int_Base!P57*(1+PostalMarkup),2),"N/A")</f>
        <v>349.32</v>
      </c>
      <c r="Q61" s="321">
        <f>IF(LEN(USPS_Pri_Int_Base!Q57)&gt;0,ROUND(USPS_Pri_Int_Base!Q57*(1+PostalMarkup),2),"N/A")</f>
        <v>375.08</v>
      </c>
      <c r="R61" s="321">
        <f>IF(LEN(USPS_Pri_Int_Base!R57)&gt;0,ROUND(USPS_Pri_Int_Base!R57*(1+PostalMarkup),2),"N/A")</f>
        <v>393.98</v>
      </c>
      <c r="S61" s="321">
        <f>IF(LEN(USPS_Pri_Int_Base!S57)&gt;0,ROUND(USPS_Pri_Int_Base!S57*(1+PostalMarkup),2),"N/A")</f>
        <v>367.74</v>
      </c>
      <c r="T61" s="321">
        <f>IF(LEN(USPS_Pri_Int_Base!T57)&gt;0,ROUND(USPS_Pri_Int_Base!T57*(1+PostalMarkup),2),"N/A")</f>
        <v>637.42</v>
      </c>
      <c r="U61" s="321">
        <f>IF(LEN(USPS_Pri_Int_Base!U57)&gt;0,ROUND(USPS_Pri_Int_Base!U57*(1+PostalMarkup),2),"N/A")</f>
        <v>391.91</v>
      </c>
    </row>
    <row r="62" ht="12.75" customHeight="1">
      <c r="A62" s="320">
        <v>57.0</v>
      </c>
      <c r="B62" s="321">
        <f>IF(LEN(USPS_Pri_Int_Base!B58)&gt;0,ROUND(USPS_Pri_Int_Base!B58*(1+PostalMarkup),2),"N/A")</f>
        <v>465</v>
      </c>
      <c r="C62" s="321">
        <f>IF(LEN(USPS_Pri_Int_Base!C58)&gt;0,ROUND(USPS_Pri_Int_Base!C58*(1+PostalMarkup),2),"N/A")</f>
        <v>360.36</v>
      </c>
      <c r="D62" s="321">
        <f>IF(LEN(USPS_Pri_Int_Base!D58)&gt;0,ROUND(USPS_Pri_Int_Base!D58*(1+PostalMarkup),2),"N/A")</f>
        <v>491.97</v>
      </c>
      <c r="E62" s="321">
        <f>IF(LEN(USPS_Pri_Int_Base!E58)&gt;0,ROUND(USPS_Pri_Int_Base!E58*(1+PostalMarkup),2),"N/A")</f>
        <v>402.02</v>
      </c>
      <c r="F62" s="321">
        <f>IF(LEN(USPS_Pri_Int_Base!F58)&gt;0,ROUND(USPS_Pri_Int_Base!F58*(1+PostalMarkup),2),"N/A")</f>
        <v>418.67</v>
      </c>
      <c r="G62" s="321">
        <f>IF(LEN(USPS_Pri_Int_Base!G58)&gt;0,ROUND(USPS_Pri_Int_Base!G58*(1+PostalMarkup),2),"N/A")</f>
        <v>453.92</v>
      </c>
      <c r="H62" s="321">
        <f>IF(LEN(USPS_Pri_Int_Base!H58)&gt;0,ROUND(USPS_Pri_Int_Base!H58*(1+PostalMarkup),2),"N/A")</f>
        <v>463.93</v>
      </c>
      <c r="I62" s="321">
        <f>IF(LEN(USPS_Pri_Int_Base!I58)&gt;0,ROUND(USPS_Pri_Int_Base!I58*(1+PostalMarkup),2),"N/A")</f>
        <v>573.69</v>
      </c>
      <c r="J62" s="321">
        <f>IF(LEN(USPS_Pri_Int_Base!J58)&gt;0,ROUND(USPS_Pri_Int_Base!J58*(1+PostalMarkup),2),"N/A")</f>
        <v>578.54</v>
      </c>
      <c r="K62" s="321">
        <f>IF(LEN(USPS_Pri_Int_Base!K58)&gt;0,ROUND(USPS_Pri_Int_Base!K58*(1+PostalMarkup),2),"N/A")</f>
        <v>416.16</v>
      </c>
      <c r="L62" s="321">
        <f>IF(LEN(USPS_Pri_Int_Base!L58)&gt;0,ROUND(USPS_Pri_Int_Base!L58*(1+PostalMarkup),2),"N/A")</f>
        <v>444.15</v>
      </c>
      <c r="M62" s="321">
        <f>IF(LEN(USPS_Pri_Int_Base!M58)&gt;0,ROUND(USPS_Pri_Int_Base!M58*(1+PostalMarkup),2),"N/A")</f>
        <v>687.73</v>
      </c>
      <c r="N62" s="321">
        <f>IF(LEN(USPS_Pri_Int_Base!N58)&gt;0,ROUND(USPS_Pri_Int_Base!N58*(1+PostalMarkup),2),"N/A")</f>
        <v>470.63</v>
      </c>
      <c r="O62" s="321">
        <f>IF(LEN(USPS_Pri_Int_Base!O58)&gt;0,ROUND(USPS_Pri_Int_Base!O58*(1+PostalMarkup),2),"N/A")</f>
        <v>491.72</v>
      </c>
      <c r="P62" s="321">
        <f>IF(LEN(USPS_Pri_Int_Base!P58)&gt;0,ROUND(USPS_Pri_Int_Base!P58*(1+PostalMarkup),2),"N/A")</f>
        <v>354.21</v>
      </c>
      <c r="Q62" s="321">
        <f>IF(LEN(USPS_Pri_Int_Base!Q58)&gt;0,ROUND(USPS_Pri_Int_Base!Q58*(1+PostalMarkup),2),"N/A")</f>
        <v>382.78</v>
      </c>
      <c r="R62" s="321">
        <f>IF(LEN(USPS_Pri_Int_Base!R58)&gt;0,ROUND(USPS_Pri_Int_Base!R58*(1+PostalMarkup),2),"N/A")</f>
        <v>400.1</v>
      </c>
      <c r="S62" s="321">
        <f>IF(LEN(USPS_Pri_Int_Base!S58)&gt;0,ROUND(USPS_Pri_Int_Base!S58*(1+PostalMarkup),2),"N/A")</f>
        <v>372.66</v>
      </c>
      <c r="T62" s="321">
        <f>IF(LEN(USPS_Pri_Int_Base!T58)&gt;0,ROUND(USPS_Pri_Int_Base!T58*(1+PostalMarkup),2),"N/A")</f>
        <v>646.83</v>
      </c>
      <c r="U62" s="321">
        <f>IF(LEN(USPS_Pri_Int_Base!U58)&gt;0,ROUND(USPS_Pri_Int_Base!U58*(1+PostalMarkup),2),"N/A")</f>
        <v>397.12</v>
      </c>
    </row>
    <row r="63" ht="12.75" customHeight="1">
      <c r="A63" s="320">
        <v>58.0</v>
      </c>
      <c r="B63" s="321">
        <f>IF(LEN(USPS_Pri_Int_Base!B59)&gt;0,ROUND(USPS_Pri_Int_Base!B59*(1+PostalMarkup),2),"N/A")</f>
        <v>471.21</v>
      </c>
      <c r="C63" s="321">
        <f>IF(LEN(USPS_Pri_Int_Base!C59)&gt;0,ROUND(USPS_Pri_Int_Base!C59*(1+PostalMarkup),2),"N/A")</f>
        <v>364.78</v>
      </c>
      <c r="D63" s="321">
        <f>IF(LEN(USPS_Pri_Int_Base!D59)&gt;0,ROUND(USPS_Pri_Int_Base!D59*(1+PostalMarkup),2),"N/A")</f>
        <v>499.13</v>
      </c>
      <c r="E63" s="321">
        <f>IF(LEN(USPS_Pri_Int_Base!E59)&gt;0,ROUND(USPS_Pri_Int_Base!E59*(1+PostalMarkup),2),"N/A")</f>
        <v>407.3</v>
      </c>
      <c r="F63" s="321">
        <f>IF(LEN(USPS_Pri_Int_Base!F59)&gt;0,ROUND(USPS_Pri_Int_Base!F59*(1+PostalMarkup),2),"N/A")</f>
        <v>424.53</v>
      </c>
      <c r="G63" s="321">
        <f>IF(LEN(USPS_Pri_Int_Base!G59)&gt;0,ROUND(USPS_Pri_Int_Base!G59*(1+PostalMarkup),2),"N/A")</f>
        <v>460.48</v>
      </c>
      <c r="H63" s="321">
        <f>IF(LEN(USPS_Pri_Int_Base!H59)&gt;0,ROUND(USPS_Pri_Int_Base!H59*(1+PostalMarkup),2),"N/A")</f>
        <v>470.65</v>
      </c>
      <c r="I63" s="321">
        <f>IF(LEN(USPS_Pri_Int_Base!I59)&gt;0,ROUND(USPS_Pri_Int_Base!I59*(1+PostalMarkup),2),"N/A")</f>
        <v>582.34</v>
      </c>
      <c r="J63" s="321">
        <f>IF(LEN(USPS_Pri_Int_Base!J59)&gt;0,ROUND(USPS_Pri_Int_Base!J59*(1+PostalMarkup),2),"N/A")</f>
        <v>587.26</v>
      </c>
      <c r="K63" s="321">
        <f>IF(LEN(USPS_Pri_Int_Base!K59)&gt;0,ROUND(USPS_Pri_Int_Base!K59*(1+PostalMarkup),2),"N/A")</f>
        <v>422.15</v>
      </c>
      <c r="L63" s="321">
        <f>IF(LEN(USPS_Pri_Int_Base!L59)&gt;0,ROUND(USPS_Pri_Int_Base!L59*(1+PostalMarkup),2),"N/A")</f>
        <v>450.56</v>
      </c>
      <c r="M63" s="321">
        <f>IF(LEN(USPS_Pri_Int_Base!M59)&gt;0,ROUND(USPS_Pri_Int_Base!M59*(1+PostalMarkup),2),"N/A")</f>
        <v>698.13</v>
      </c>
      <c r="N63" s="321">
        <f>IF(LEN(USPS_Pri_Int_Base!N59)&gt;0,ROUND(USPS_Pri_Int_Base!N59*(1+PostalMarkup),2),"N/A")</f>
        <v>480.92</v>
      </c>
      <c r="O63" s="321">
        <f>IF(LEN(USPS_Pri_Int_Base!O59)&gt;0,ROUND(USPS_Pri_Int_Base!O59*(1+PostalMarkup),2),"N/A")</f>
        <v>498.9</v>
      </c>
      <c r="P63" s="321">
        <f>IF(LEN(USPS_Pri_Int_Base!P59)&gt;0,ROUND(USPS_Pri_Int_Base!P59*(1+PostalMarkup),2),"N/A")</f>
        <v>360.15</v>
      </c>
      <c r="Q63" s="321">
        <f>IF(LEN(USPS_Pri_Int_Base!Q59)&gt;0,ROUND(USPS_Pri_Int_Base!Q59*(1+PostalMarkup),2),"N/A")</f>
        <v>385.2</v>
      </c>
      <c r="R63" s="321">
        <f>IF(LEN(USPS_Pri_Int_Base!R59)&gt;0,ROUND(USPS_Pri_Int_Base!R59*(1+PostalMarkup),2),"N/A")</f>
        <v>402.83</v>
      </c>
      <c r="S63" s="321">
        <f>IF(LEN(USPS_Pri_Int_Base!S59)&gt;0,ROUND(USPS_Pri_Int_Base!S59*(1+PostalMarkup),2),"N/A")</f>
        <v>377.59</v>
      </c>
      <c r="T63" s="321">
        <f>IF(LEN(USPS_Pri_Int_Base!T59)&gt;0,ROUND(USPS_Pri_Int_Base!T59*(1+PostalMarkup),2),"N/A")</f>
        <v>656.22</v>
      </c>
      <c r="U63" s="321">
        <f>IF(LEN(USPS_Pri_Int_Base!U59)&gt;0,ROUND(USPS_Pri_Int_Base!U59*(1+PostalMarkup),2),"N/A")</f>
        <v>402.28</v>
      </c>
    </row>
    <row r="64" ht="12.75" customHeight="1">
      <c r="A64" s="320">
        <v>59.0</v>
      </c>
      <c r="B64" s="321">
        <f>IF(LEN(USPS_Pri_Int_Base!B60)&gt;0,ROUND(USPS_Pri_Int_Base!B60*(1+PostalMarkup),2),"N/A")</f>
        <v>480.44</v>
      </c>
      <c r="C64" s="321">
        <f>IF(LEN(USPS_Pri_Int_Base!C60)&gt;0,ROUND(USPS_Pri_Int_Base!C60*(1+PostalMarkup),2),"N/A")</f>
        <v>368.87</v>
      </c>
      <c r="D64" s="321">
        <f>IF(LEN(USPS_Pri_Int_Base!D60)&gt;0,ROUND(USPS_Pri_Int_Base!D60*(1+PostalMarkup),2),"N/A")</f>
        <v>506.28</v>
      </c>
      <c r="E64" s="321">
        <f>IF(LEN(USPS_Pri_Int_Base!E60)&gt;0,ROUND(USPS_Pri_Int_Base!E60*(1+PostalMarkup),2),"N/A")</f>
        <v>412.62</v>
      </c>
      <c r="F64" s="321">
        <f>IF(LEN(USPS_Pri_Int_Base!F60)&gt;0,ROUND(USPS_Pri_Int_Base!F60*(1+PostalMarkup),2),"N/A")</f>
        <v>430.4</v>
      </c>
      <c r="G64" s="321">
        <f>IF(LEN(USPS_Pri_Int_Base!G60)&gt;0,ROUND(USPS_Pri_Int_Base!G60*(1+PostalMarkup),2),"N/A")</f>
        <v>467.04</v>
      </c>
      <c r="H64" s="321">
        <f>IF(LEN(USPS_Pri_Int_Base!H60)&gt;0,ROUND(USPS_Pri_Int_Base!H60*(1+PostalMarkup),2),"N/A")</f>
        <v>477.37</v>
      </c>
      <c r="I64" s="321">
        <f>IF(LEN(USPS_Pri_Int_Base!I60)&gt;0,ROUND(USPS_Pri_Int_Base!I60*(1+PostalMarkup),2),"N/A")</f>
        <v>591.02</v>
      </c>
      <c r="J64" s="321">
        <f>IF(LEN(USPS_Pri_Int_Base!J60)&gt;0,ROUND(USPS_Pri_Int_Base!J60*(1+PostalMarkup),2),"N/A")</f>
        <v>596.02</v>
      </c>
      <c r="K64" s="321">
        <f>IF(LEN(USPS_Pri_Int_Base!K60)&gt;0,ROUND(USPS_Pri_Int_Base!K60*(1+PostalMarkup),2),"N/A")</f>
        <v>428.15</v>
      </c>
      <c r="L64" s="321">
        <f>IF(LEN(USPS_Pri_Int_Base!L60)&gt;0,ROUND(USPS_Pri_Int_Base!L60*(1+PostalMarkup),2),"N/A")</f>
        <v>456.94</v>
      </c>
      <c r="M64" s="321">
        <f>IF(LEN(USPS_Pri_Int_Base!M60)&gt;0,ROUND(USPS_Pri_Int_Base!M60*(1+PostalMarkup),2),"N/A")</f>
        <v>708.52</v>
      </c>
      <c r="N64" s="321">
        <f>IF(LEN(USPS_Pri_Int_Base!N60)&gt;0,ROUND(USPS_Pri_Int_Base!N60*(1+PostalMarkup),2),"N/A")</f>
        <v>488.22</v>
      </c>
      <c r="O64" s="321">
        <f>IF(LEN(USPS_Pri_Int_Base!O60)&gt;0,ROUND(USPS_Pri_Int_Base!O60*(1+PostalMarkup),2),"N/A")</f>
        <v>506.12</v>
      </c>
      <c r="P64" s="321">
        <f>IF(LEN(USPS_Pri_Int_Base!P60)&gt;0,ROUND(USPS_Pri_Int_Base!P60*(1+PostalMarkup),2),"N/A")</f>
        <v>365.01</v>
      </c>
      <c r="Q64" s="321">
        <f>IF(LEN(USPS_Pri_Int_Base!Q60)&gt;0,ROUND(USPS_Pri_Int_Base!Q60*(1+PostalMarkup),2),"N/A")</f>
        <v>391.29</v>
      </c>
      <c r="R64" s="321">
        <f>IF(LEN(USPS_Pri_Int_Base!R60)&gt;0,ROUND(USPS_Pri_Int_Base!R60*(1+PostalMarkup),2),"N/A")</f>
        <v>408.11</v>
      </c>
      <c r="S64" s="321">
        <f>IF(LEN(USPS_Pri_Int_Base!S60)&gt;0,ROUND(USPS_Pri_Int_Base!S60*(1+PostalMarkup),2),"N/A")</f>
        <v>382.48</v>
      </c>
      <c r="T64" s="321">
        <f>IF(LEN(USPS_Pri_Int_Base!T60)&gt;0,ROUND(USPS_Pri_Int_Base!T60*(1+PostalMarkup),2),"N/A")</f>
        <v>665.62</v>
      </c>
      <c r="U64" s="321">
        <f>IF(LEN(USPS_Pri_Int_Base!U60)&gt;0,ROUND(USPS_Pri_Int_Base!U60*(1+PostalMarkup),2),"N/A")</f>
        <v>407.48</v>
      </c>
    </row>
    <row r="65" ht="12.75" customHeight="1">
      <c r="A65" s="320">
        <v>60.0</v>
      </c>
      <c r="B65" s="321">
        <f>IF(LEN(USPS_Pri_Int_Base!B61)&gt;0,ROUND(USPS_Pri_Int_Base!B61*(1+PostalMarkup),2),"N/A")</f>
        <v>486.92</v>
      </c>
      <c r="C65" s="321">
        <f>IF(LEN(USPS_Pri_Int_Base!C61)&gt;0,ROUND(USPS_Pri_Int_Base!C61*(1+PostalMarkup),2),"N/A")</f>
        <v>374.28</v>
      </c>
      <c r="D65" s="321">
        <f>IF(LEN(USPS_Pri_Int_Base!D61)&gt;0,ROUND(USPS_Pri_Int_Base!D61*(1+PostalMarkup),2),"N/A")</f>
        <v>513.44</v>
      </c>
      <c r="E65" s="321">
        <f>IF(LEN(USPS_Pri_Int_Base!E61)&gt;0,ROUND(USPS_Pri_Int_Base!E61*(1+PostalMarkup),2),"N/A")</f>
        <v>417.89</v>
      </c>
      <c r="F65" s="321">
        <f>IF(LEN(USPS_Pri_Int_Base!F61)&gt;0,ROUND(USPS_Pri_Int_Base!F61*(1+PostalMarkup),2),"N/A")</f>
        <v>436.26</v>
      </c>
      <c r="G65" s="321">
        <f>IF(LEN(USPS_Pri_Int_Base!G61)&gt;0,ROUND(USPS_Pri_Int_Base!G61*(1+PostalMarkup),2),"N/A")</f>
        <v>473.6</v>
      </c>
      <c r="H65" s="321">
        <f>IF(LEN(USPS_Pri_Int_Base!H61)&gt;0,ROUND(USPS_Pri_Int_Base!H61*(1+PostalMarkup),2),"N/A")</f>
        <v>484.08</v>
      </c>
      <c r="I65" s="321">
        <f>IF(LEN(USPS_Pri_Int_Base!I61)&gt;0,ROUND(USPS_Pri_Int_Base!I61*(1+PostalMarkup),2),"N/A")</f>
        <v>599.67</v>
      </c>
      <c r="J65" s="321">
        <f>IF(LEN(USPS_Pri_Int_Base!J61)&gt;0,ROUND(USPS_Pri_Int_Base!J61*(1+PostalMarkup),2),"N/A")</f>
        <v>604.76</v>
      </c>
      <c r="K65" s="321">
        <f>IF(LEN(USPS_Pri_Int_Base!K61)&gt;0,ROUND(USPS_Pri_Int_Base!K61*(1+PostalMarkup),2),"N/A")</f>
        <v>434.16</v>
      </c>
      <c r="L65" s="321">
        <f>IF(LEN(USPS_Pri_Int_Base!L61)&gt;0,ROUND(USPS_Pri_Int_Base!L61*(1+PostalMarkup),2),"N/A")</f>
        <v>463.36</v>
      </c>
      <c r="M65" s="321">
        <f>IF(LEN(USPS_Pri_Int_Base!M61)&gt;0,ROUND(USPS_Pri_Int_Base!M61*(1+PostalMarkup),2),"N/A")</f>
        <v>718.92</v>
      </c>
      <c r="N65" s="321">
        <f>IF(LEN(USPS_Pri_Int_Base!N61)&gt;0,ROUND(USPS_Pri_Int_Base!N61*(1+PostalMarkup),2),"N/A")</f>
        <v>488.82</v>
      </c>
      <c r="O65" s="321">
        <f>IF(LEN(USPS_Pri_Int_Base!O61)&gt;0,ROUND(USPS_Pri_Int_Base!O61*(1+PostalMarkup),2),"N/A")</f>
        <v>513.3</v>
      </c>
      <c r="P65" s="321">
        <f>IF(LEN(USPS_Pri_Int_Base!P61)&gt;0,ROUND(USPS_Pri_Int_Base!P61*(1+PostalMarkup),2),"N/A")</f>
        <v>369.16</v>
      </c>
      <c r="Q65" s="321">
        <f>IF(LEN(USPS_Pri_Int_Base!Q61)&gt;0,ROUND(USPS_Pri_Int_Base!Q61*(1+PostalMarkup),2),"N/A")</f>
        <v>396.03</v>
      </c>
      <c r="R65" s="321">
        <f>IF(LEN(USPS_Pri_Int_Base!R61)&gt;0,ROUND(USPS_Pri_Int_Base!R61*(1+PostalMarkup),2),"N/A")</f>
        <v>416.43</v>
      </c>
      <c r="S65" s="321">
        <f>IF(LEN(USPS_Pri_Int_Base!S61)&gt;0,ROUND(USPS_Pri_Int_Base!S61*(1+PostalMarkup),2),"N/A")</f>
        <v>387.87</v>
      </c>
      <c r="T65" s="321">
        <f>IF(LEN(USPS_Pri_Int_Base!T61)&gt;0,ROUND(USPS_Pri_Int_Base!T61*(1+PostalMarkup),2),"N/A")</f>
        <v>675.03</v>
      </c>
      <c r="U65" s="321">
        <f>IF(LEN(USPS_Pri_Int_Base!U61)&gt;0,ROUND(USPS_Pri_Int_Base!U61*(1+PostalMarkup),2),"N/A")</f>
        <v>412.65</v>
      </c>
    </row>
    <row r="66" ht="12.75" customHeight="1">
      <c r="A66" s="320">
        <v>61.0</v>
      </c>
      <c r="B66" s="321">
        <f>IF(LEN(USPS_Pri_Int_Base!B62)&gt;0,ROUND(USPS_Pri_Int_Base!B62*(1+PostalMarkup),2),"N/A")</f>
        <v>490.71</v>
      </c>
      <c r="C66" s="321">
        <f>IF(LEN(USPS_Pri_Int_Base!C62)&gt;0,ROUND(USPS_Pri_Int_Base!C62*(1+PostalMarkup),2),"N/A")</f>
        <v>379.29</v>
      </c>
      <c r="D66" s="321">
        <f>IF(LEN(USPS_Pri_Int_Base!D62)&gt;0,ROUND(USPS_Pri_Int_Base!D62*(1+PostalMarkup),2),"N/A")</f>
        <v>520.1</v>
      </c>
      <c r="E66" s="321">
        <f>IF(LEN(USPS_Pri_Int_Base!E62)&gt;0,ROUND(USPS_Pri_Int_Base!E62*(1+PostalMarkup),2),"N/A")</f>
        <v>424.35</v>
      </c>
      <c r="F66" s="321">
        <f>IF(LEN(USPS_Pri_Int_Base!F62)&gt;0,ROUND(USPS_Pri_Int_Base!F62*(1+PostalMarkup),2),"N/A")</f>
        <v>441.7</v>
      </c>
      <c r="G66" s="321">
        <f>IF(LEN(USPS_Pri_Int_Base!G62)&gt;0,ROUND(USPS_Pri_Int_Base!G62*(1+PostalMarkup),2),"N/A")</f>
        <v>480.6</v>
      </c>
      <c r="H66" s="321">
        <f>IF(LEN(USPS_Pri_Int_Base!H62)&gt;0,ROUND(USPS_Pri_Int_Base!H62*(1+PostalMarkup),2),"N/A")</f>
        <v>491.23</v>
      </c>
      <c r="I66" s="321">
        <f>IF(LEN(USPS_Pri_Int_Base!I62)&gt;0,ROUND(USPS_Pri_Int_Base!I62*(1+PostalMarkup),2),"N/A")</f>
        <v>608.9</v>
      </c>
      <c r="J66" s="321">
        <f>IF(LEN(USPS_Pri_Int_Base!J62)&gt;0,ROUND(USPS_Pri_Int_Base!J62*(1+PostalMarkup),2),"N/A")</f>
        <v>613.48</v>
      </c>
      <c r="K66" s="321">
        <f>IF(LEN(USPS_Pri_Int_Base!K62)&gt;0,ROUND(USPS_Pri_Int_Base!K62*(1+PostalMarkup),2),"N/A")</f>
        <v>440.15</v>
      </c>
      <c r="L66" s="321">
        <f>IF(LEN(USPS_Pri_Int_Base!L62)&gt;0,ROUND(USPS_Pri_Int_Base!L62*(1+PostalMarkup),2),"N/A")</f>
        <v>469.74</v>
      </c>
      <c r="M66" s="321">
        <f>IF(LEN(USPS_Pri_Int_Base!M62)&gt;0,ROUND(USPS_Pri_Int_Base!M62*(1+PostalMarkup),2),"N/A")</f>
        <v>741.84</v>
      </c>
      <c r="N66" s="321">
        <f>IF(LEN(USPS_Pri_Int_Base!N62)&gt;0,ROUND(USPS_Pri_Int_Base!N62*(1+PostalMarkup),2),"N/A")</f>
        <v>501.07</v>
      </c>
      <c r="O66" s="321">
        <f>IF(LEN(USPS_Pri_Int_Base!O62)&gt;0,ROUND(USPS_Pri_Int_Base!O62*(1+PostalMarkup),2),"N/A")</f>
        <v>520.51</v>
      </c>
      <c r="P66" s="321">
        <f>IF(LEN(USPS_Pri_Int_Base!P62)&gt;0,ROUND(USPS_Pri_Int_Base!P62*(1+PostalMarkup),2),"N/A")</f>
        <v>376.12</v>
      </c>
      <c r="Q66" s="321">
        <f>IF(LEN(USPS_Pri_Int_Base!Q62)&gt;0,ROUND(USPS_Pri_Int_Base!Q62*(1+PostalMarkup),2),"N/A")</f>
        <v>402.39</v>
      </c>
      <c r="R66" s="321">
        <f>IF(LEN(USPS_Pri_Int_Base!R62)&gt;0,ROUND(USPS_Pri_Int_Base!R62*(1+PostalMarkup),2),"N/A")</f>
        <v>420.97</v>
      </c>
      <c r="S66" s="321">
        <f>IF(LEN(USPS_Pri_Int_Base!S62)&gt;0,ROUND(USPS_Pri_Int_Base!S62*(1+PostalMarkup),2),"N/A")</f>
        <v>393.02</v>
      </c>
      <c r="T66" s="321">
        <f>IF(LEN(USPS_Pri_Int_Base!T62)&gt;0,ROUND(USPS_Pri_Int_Base!T62*(1+PostalMarkup),2),"N/A")</f>
        <v>684.11</v>
      </c>
      <c r="U66" s="321">
        <f>IF(LEN(USPS_Pri_Int_Base!U62)&gt;0,ROUND(USPS_Pri_Int_Base!U62*(1+PostalMarkup),2),"N/A")</f>
        <v>420.19</v>
      </c>
    </row>
    <row r="67" ht="12.75" customHeight="1">
      <c r="A67" s="320">
        <v>62.0</v>
      </c>
      <c r="B67" s="321">
        <f>IF(LEN(USPS_Pri_Int_Base!B63)&gt;0,ROUND(USPS_Pri_Int_Base!B63*(1+PostalMarkup),2),"N/A")</f>
        <v>503.14</v>
      </c>
      <c r="C67" s="321">
        <f>IF(LEN(USPS_Pri_Int_Base!C63)&gt;0,ROUND(USPS_Pri_Int_Base!C63*(1+PostalMarkup),2),"N/A")</f>
        <v>384.65</v>
      </c>
      <c r="D67" s="321">
        <f>IF(LEN(USPS_Pri_Int_Base!D63)&gt;0,ROUND(USPS_Pri_Int_Base!D63*(1+PostalMarkup),2),"N/A")</f>
        <v>527.24</v>
      </c>
      <c r="E67" s="321">
        <f>IF(LEN(USPS_Pri_Int_Base!E63)&gt;0,ROUND(USPS_Pri_Int_Base!E63*(1+PostalMarkup),2),"N/A")</f>
        <v>431.04</v>
      </c>
      <c r="F67" s="321">
        <f>IF(LEN(USPS_Pri_Int_Base!F63)&gt;0,ROUND(USPS_Pri_Int_Base!F63*(1+PostalMarkup),2),"N/A")</f>
        <v>447.56</v>
      </c>
      <c r="G67" s="321">
        <f>IF(LEN(USPS_Pri_Int_Base!G63)&gt;0,ROUND(USPS_Pri_Int_Base!G63*(1+PostalMarkup),2),"N/A")</f>
        <v>487.17</v>
      </c>
      <c r="H67" s="321">
        <f>IF(LEN(USPS_Pri_Int_Base!H63)&gt;0,ROUND(USPS_Pri_Int_Base!H63*(1+PostalMarkup),2),"N/A")</f>
        <v>497.95</v>
      </c>
      <c r="I67" s="321">
        <f>IF(LEN(USPS_Pri_Int_Base!I63)&gt;0,ROUND(USPS_Pri_Int_Base!I63*(1+PostalMarkup),2),"N/A")</f>
        <v>617.56</v>
      </c>
      <c r="J67" s="321">
        <f>IF(LEN(USPS_Pri_Int_Base!J63)&gt;0,ROUND(USPS_Pri_Int_Base!J63*(1+PostalMarkup),2),"N/A")</f>
        <v>622.22</v>
      </c>
      <c r="K67" s="321">
        <f>IF(LEN(USPS_Pri_Int_Base!K63)&gt;0,ROUND(USPS_Pri_Int_Base!K63*(1+PostalMarkup),2),"N/A")</f>
        <v>446.99</v>
      </c>
      <c r="L67" s="321">
        <f>IF(LEN(USPS_Pri_Int_Base!L63)&gt;0,ROUND(USPS_Pri_Int_Base!L63*(1+PostalMarkup),2),"N/A")</f>
        <v>476.13</v>
      </c>
      <c r="M67" s="321">
        <f>IF(LEN(USPS_Pri_Int_Base!M63)&gt;0,ROUND(USPS_Pri_Int_Base!M63*(1+PostalMarkup),2),"N/A")</f>
        <v>752.41</v>
      </c>
      <c r="N67" s="321">
        <f>IF(LEN(USPS_Pri_Int_Base!N63)&gt;0,ROUND(USPS_Pri_Int_Base!N63*(1+PostalMarkup),2),"N/A")</f>
        <v>508.59</v>
      </c>
      <c r="O67" s="321">
        <f>IF(LEN(USPS_Pri_Int_Base!O63)&gt;0,ROUND(USPS_Pri_Int_Base!O63*(1+PostalMarkup),2),"N/A")</f>
        <v>527.72</v>
      </c>
      <c r="P67" s="321">
        <f>IF(LEN(USPS_Pri_Int_Base!P63)&gt;0,ROUND(USPS_Pri_Int_Base!P63*(1+PostalMarkup),2),"N/A")</f>
        <v>381.05</v>
      </c>
      <c r="Q67" s="321">
        <f>IF(LEN(USPS_Pri_Int_Base!Q63)&gt;0,ROUND(USPS_Pri_Int_Base!Q63*(1+PostalMarkup),2),"N/A")</f>
        <v>407.57</v>
      </c>
      <c r="R67" s="321">
        <f>IF(LEN(USPS_Pri_Int_Base!R63)&gt;0,ROUND(USPS_Pri_Int_Base!R63*(1+PostalMarkup),2),"N/A")</f>
        <v>425.8</v>
      </c>
      <c r="S67" s="321">
        <f>IF(LEN(USPS_Pri_Int_Base!S63)&gt;0,ROUND(USPS_Pri_Int_Base!S63*(1+PostalMarkup),2),"N/A")</f>
        <v>398.33</v>
      </c>
      <c r="T67" s="321">
        <f>IF(LEN(USPS_Pri_Int_Base!T63)&gt;0,ROUND(USPS_Pri_Int_Base!T63*(1+PostalMarkup),2),"N/A")</f>
        <v>693.51</v>
      </c>
      <c r="U67" s="321">
        <f>IF(LEN(USPS_Pri_Int_Base!U63)&gt;0,ROUND(USPS_Pri_Int_Base!U63*(1+PostalMarkup),2),"N/A")</f>
        <v>425.41</v>
      </c>
    </row>
    <row r="68" ht="12.75" customHeight="1">
      <c r="A68" s="320">
        <v>63.0</v>
      </c>
      <c r="B68" s="321">
        <f>IF(LEN(USPS_Pri_Int_Base!B64)&gt;0,ROUND(USPS_Pri_Int_Base!B64*(1+PostalMarkup),2),"N/A")</f>
        <v>508.81</v>
      </c>
      <c r="C68" s="321">
        <f>IF(LEN(USPS_Pri_Int_Base!C64)&gt;0,ROUND(USPS_Pri_Int_Base!C64*(1+PostalMarkup),2),"N/A")</f>
        <v>389.53</v>
      </c>
      <c r="D68" s="321">
        <f>IF(LEN(USPS_Pri_Int_Base!D64)&gt;0,ROUND(USPS_Pri_Int_Base!D64*(1+PostalMarkup),2),"N/A")</f>
        <v>534.38</v>
      </c>
      <c r="E68" s="321">
        <f>IF(LEN(USPS_Pri_Int_Base!E64)&gt;0,ROUND(USPS_Pri_Int_Base!E64*(1+PostalMarkup),2),"N/A")</f>
        <v>435.88</v>
      </c>
      <c r="F68" s="321">
        <f>IF(LEN(USPS_Pri_Int_Base!F64)&gt;0,ROUND(USPS_Pri_Int_Base!F64*(1+PostalMarkup),2),"N/A")</f>
        <v>453.41</v>
      </c>
      <c r="G68" s="321">
        <f>IF(LEN(USPS_Pri_Int_Base!G64)&gt;0,ROUND(USPS_Pri_Int_Base!G64*(1+PostalMarkup),2),"N/A")</f>
        <v>493.74</v>
      </c>
      <c r="H68" s="321">
        <f>IF(LEN(USPS_Pri_Int_Base!H64)&gt;0,ROUND(USPS_Pri_Int_Base!H64*(1+PostalMarkup),2),"N/A")</f>
        <v>504.68</v>
      </c>
      <c r="I68" s="321">
        <f>IF(LEN(USPS_Pri_Int_Base!I64)&gt;0,ROUND(USPS_Pri_Int_Base!I64*(1+PostalMarkup),2),"N/A")</f>
        <v>626.26</v>
      </c>
      <c r="J68" s="321">
        <f>IF(LEN(USPS_Pri_Int_Base!J64)&gt;0,ROUND(USPS_Pri_Int_Base!J64*(1+PostalMarkup),2),"N/A")</f>
        <v>630.96</v>
      </c>
      <c r="K68" s="321">
        <f>IF(LEN(USPS_Pri_Int_Base!K64)&gt;0,ROUND(USPS_Pri_Int_Base!K64*(1+PostalMarkup),2),"N/A")</f>
        <v>452.12</v>
      </c>
      <c r="L68" s="321">
        <f>IF(LEN(USPS_Pri_Int_Base!L64)&gt;0,ROUND(USPS_Pri_Int_Base!L64*(1+PostalMarkup),2),"N/A")</f>
        <v>482.54</v>
      </c>
      <c r="M68" s="321">
        <f>IF(LEN(USPS_Pri_Int_Base!M64)&gt;0,ROUND(USPS_Pri_Int_Base!M64*(1+PostalMarkup),2),"N/A")</f>
        <v>762.97</v>
      </c>
      <c r="N68" s="321">
        <f>IF(LEN(USPS_Pri_Int_Base!N64)&gt;0,ROUND(USPS_Pri_Int_Base!N64*(1+PostalMarkup),2),"N/A")</f>
        <v>513.37</v>
      </c>
      <c r="O68" s="321">
        <f>IF(LEN(USPS_Pri_Int_Base!O64)&gt;0,ROUND(USPS_Pri_Int_Base!O64*(1+PostalMarkup),2),"N/A")</f>
        <v>534.91</v>
      </c>
      <c r="P68" s="321">
        <f>IF(LEN(USPS_Pri_Int_Base!P64)&gt;0,ROUND(USPS_Pri_Int_Base!P64*(1+PostalMarkup),2),"N/A")</f>
        <v>383.93</v>
      </c>
      <c r="Q68" s="321">
        <f>IF(LEN(USPS_Pri_Int_Base!Q64)&gt;0,ROUND(USPS_Pri_Int_Base!Q64*(1+PostalMarkup),2),"N/A")</f>
        <v>413.32</v>
      </c>
      <c r="R68" s="321">
        <f>IF(LEN(USPS_Pri_Int_Base!R64)&gt;0,ROUND(USPS_Pri_Int_Base!R64*(1+PostalMarkup),2),"N/A")</f>
        <v>430.72</v>
      </c>
      <c r="S68" s="321">
        <f>IF(LEN(USPS_Pri_Int_Base!S64)&gt;0,ROUND(USPS_Pri_Int_Base!S64*(1+PostalMarkup),2),"N/A")</f>
        <v>404.43</v>
      </c>
      <c r="T68" s="321">
        <f>IF(LEN(USPS_Pri_Int_Base!T64)&gt;0,ROUND(USPS_Pri_Int_Base!T64*(1+PostalMarkup),2),"N/A")</f>
        <v>702.89</v>
      </c>
      <c r="U68" s="321">
        <f>IF(LEN(USPS_Pri_Int_Base!U64)&gt;0,ROUND(USPS_Pri_Int_Base!U64*(1+PostalMarkup),2),"N/A")</f>
        <v>430.63</v>
      </c>
    </row>
    <row r="69" ht="12.75" customHeight="1">
      <c r="A69" s="320">
        <v>64.0</v>
      </c>
      <c r="B69" s="321">
        <f>IF(LEN(USPS_Pri_Int_Base!B65)&gt;0,ROUND(USPS_Pri_Int_Base!B65*(1+PostalMarkup),2),"N/A")</f>
        <v>515.9</v>
      </c>
      <c r="C69" s="321">
        <f>IF(LEN(USPS_Pri_Int_Base!C65)&gt;0,ROUND(USPS_Pri_Int_Base!C65*(1+PostalMarkup),2),"N/A")</f>
        <v>394.4</v>
      </c>
      <c r="D69" s="321">
        <f>IF(LEN(USPS_Pri_Int_Base!D65)&gt;0,ROUND(USPS_Pri_Int_Base!D65*(1+PostalMarkup),2),"N/A")</f>
        <v>541.54</v>
      </c>
      <c r="E69" s="321">
        <f>IF(LEN(USPS_Pri_Int_Base!E65)&gt;0,ROUND(USPS_Pri_Int_Base!E65*(1+PostalMarkup),2),"N/A")</f>
        <v>440.94</v>
      </c>
      <c r="F69" s="321">
        <f>IF(LEN(USPS_Pri_Int_Base!F65)&gt;0,ROUND(USPS_Pri_Int_Base!F65*(1+PostalMarkup),2),"N/A")</f>
        <v>459.29</v>
      </c>
      <c r="G69" s="321">
        <f>IF(LEN(USPS_Pri_Int_Base!G65)&gt;0,ROUND(USPS_Pri_Int_Base!G65*(1+PostalMarkup),2),"N/A")</f>
        <v>500.31</v>
      </c>
      <c r="H69" s="321">
        <f>IF(LEN(USPS_Pri_Int_Base!H65)&gt;0,ROUND(USPS_Pri_Int_Base!H65*(1+PostalMarkup),2),"N/A")</f>
        <v>511.38</v>
      </c>
      <c r="I69" s="321">
        <f>IF(LEN(USPS_Pri_Int_Base!I65)&gt;0,ROUND(USPS_Pri_Int_Base!I65*(1+PostalMarkup),2),"N/A")</f>
        <v>634.93</v>
      </c>
      <c r="J69" s="321">
        <f>IF(LEN(USPS_Pri_Int_Base!J65)&gt;0,ROUND(USPS_Pri_Int_Base!J65*(1+PostalMarkup),2),"N/A")</f>
        <v>639.7</v>
      </c>
      <c r="K69" s="321">
        <f>IF(LEN(USPS_Pri_Int_Base!K65)&gt;0,ROUND(USPS_Pri_Int_Base!K65*(1+PostalMarkup),2),"N/A")</f>
        <v>458.16</v>
      </c>
      <c r="L69" s="321">
        <f>IF(LEN(USPS_Pri_Int_Base!L65)&gt;0,ROUND(USPS_Pri_Int_Base!L65*(1+PostalMarkup),2),"N/A")</f>
        <v>488.96</v>
      </c>
      <c r="M69" s="321">
        <f>IF(LEN(USPS_Pri_Int_Base!M65)&gt;0,ROUND(USPS_Pri_Int_Base!M65*(1+PostalMarkup),2),"N/A")</f>
        <v>773.56</v>
      </c>
      <c r="N69" s="321">
        <f>IF(LEN(USPS_Pri_Int_Base!N65)&gt;0,ROUND(USPS_Pri_Int_Base!N65*(1+PostalMarkup),2),"N/A")</f>
        <v>522.16</v>
      </c>
      <c r="O69" s="321">
        <f>IF(LEN(USPS_Pri_Int_Base!O65)&gt;0,ROUND(USPS_Pri_Int_Base!O65*(1+PostalMarkup),2),"N/A")</f>
        <v>542.11</v>
      </c>
      <c r="P69" s="321">
        <f>IF(LEN(USPS_Pri_Int_Base!P65)&gt;0,ROUND(USPS_Pri_Int_Base!P65*(1+PostalMarkup),2),"N/A")</f>
        <v>390.94</v>
      </c>
      <c r="Q69" s="321">
        <f>IF(LEN(USPS_Pri_Int_Base!Q65)&gt;0,ROUND(USPS_Pri_Int_Base!Q65*(1+PostalMarkup),2),"N/A")</f>
        <v>418.9</v>
      </c>
      <c r="R69" s="321">
        <f>IF(LEN(USPS_Pri_Int_Base!R65)&gt;0,ROUND(USPS_Pri_Int_Base!R65*(1+PostalMarkup),2),"N/A")</f>
        <v>437.94</v>
      </c>
      <c r="S69" s="321">
        <f>IF(LEN(USPS_Pri_Int_Base!S65)&gt;0,ROUND(USPS_Pri_Int_Base!S65*(1+PostalMarkup),2),"N/A")</f>
        <v>408.58</v>
      </c>
      <c r="T69" s="321">
        <f>IF(LEN(USPS_Pri_Int_Base!T65)&gt;0,ROUND(USPS_Pri_Int_Base!T65*(1+PostalMarkup),2),"N/A")</f>
        <v>712.31</v>
      </c>
      <c r="U69" s="321">
        <f>IF(LEN(USPS_Pri_Int_Base!U65)&gt;0,ROUND(USPS_Pri_Int_Base!U65*(1+PostalMarkup),2),"N/A")</f>
        <v>435.85</v>
      </c>
    </row>
    <row r="70" ht="12.75" customHeight="1">
      <c r="A70" s="320">
        <v>65.0</v>
      </c>
      <c r="B70" s="321">
        <f>IF(LEN(USPS_Pri_Int_Base!B66)&gt;0,ROUND(USPS_Pri_Int_Base!B66*(1+PostalMarkup),2),"N/A")</f>
        <v>524.33</v>
      </c>
      <c r="C70" s="321">
        <f>IF(LEN(USPS_Pri_Int_Base!C66)&gt;0,ROUND(USPS_Pri_Int_Base!C66*(1+PostalMarkup),2),"N/A")</f>
        <v>399.59</v>
      </c>
      <c r="D70" s="321">
        <f>IF(LEN(USPS_Pri_Int_Base!D66)&gt;0,ROUND(USPS_Pri_Int_Base!D66*(1+PostalMarkup),2),"N/A")</f>
        <v>548.67</v>
      </c>
      <c r="E70" s="321">
        <f>IF(LEN(USPS_Pri_Int_Base!E66)&gt;0,ROUND(USPS_Pri_Int_Base!E66*(1+PostalMarkup),2),"N/A")</f>
        <v>448.75</v>
      </c>
      <c r="F70" s="321">
        <f>IF(LEN(USPS_Pri_Int_Base!F66)&gt;0,ROUND(USPS_Pri_Int_Base!F66*(1+PostalMarkup),2),"N/A")</f>
        <v>465.13</v>
      </c>
      <c r="G70" s="321">
        <f>IF(LEN(USPS_Pri_Int_Base!G66)&gt;0,ROUND(USPS_Pri_Int_Base!G66*(1+PostalMarkup),2),"N/A")</f>
        <v>506.87</v>
      </c>
      <c r="H70" s="321">
        <f>IF(LEN(USPS_Pri_Int_Base!H66)&gt;0,ROUND(USPS_Pri_Int_Base!H66*(1+PostalMarkup),2),"N/A")</f>
        <v>518.09</v>
      </c>
      <c r="I70" s="321">
        <f>IF(LEN(USPS_Pri_Int_Base!I66)&gt;0,ROUND(USPS_Pri_Int_Base!I66*(1+PostalMarkup),2),"N/A")</f>
        <v>643.57</v>
      </c>
      <c r="J70" s="321">
        <f>IF(LEN(USPS_Pri_Int_Base!J66)&gt;0,ROUND(USPS_Pri_Int_Base!J66*(1+PostalMarkup),2),"N/A")</f>
        <v>648.42</v>
      </c>
      <c r="K70" s="321">
        <f>IF(LEN(USPS_Pri_Int_Base!K66)&gt;0,ROUND(USPS_Pri_Int_Base!K66*(1+PostalMarkup),2),"N/A")</f>
        <v>465.7</v>
      </c>
      <c r="L70" s="321">
        <f>IF(LEN(USPS_Pri_Int_Base!L66)&gt;0,ROUND(USPS_Pri_Int_Base!L66*(1+PostalMarkup),2),"N/A")</f>
        <v>495.35</v>
      </c>
      <c r="M70" s="321">
        <f>IF(LEN(USPS_Pri_Int_Base!M66)&gt;0,ROUND(USPS_Pri_Int_Base!M66*(1+PostalMarkup),2),"N/A")</f>
        <v>784.15</v>
      </c>
      <c r="N70" s="321">
        <f>IF(LEN(USPS_Pri_Int_Base!N66)&gt;0,ROUND(USPS_Pri_Int_Base!N66*(1+PostalMarkup),2),"N/A")</f>
        <v>526.38</v>
      </c>
      <c r="O70" s="321">
        <f>IF(LEN(USPS_Pri_Int_Base!O66)&gt;0,ROUND(USPS_Pri_Int_Base!O66*(1+PostalMarkup),2),"N/A")</f>
        <v>549.32</v>
      </c>
      <c r="P70" s="321">
        <f>IF(LEN(USPS_Pri_Int_Base!P66)&gt;0,ROUND(USPS_Pri_Int_Base!P66*(1+PostalMarkup),2),"N/A")</f>
        <v>394.6</v>
      </c>
      <c r="Q70" s="321">
        <f>IF(LEN(USPS_Pri_Int_Base!Q66)&gt;0,ROUND(USPS_Pri_Int_Base!Q66*(1+PostalMarkup),2),"N/A")</f>
        <v>424.05</v>
      </c>
      <c r="R70" s="321">
        <f>IF(LEN(USPS_Pri_Int_Base!R66)&gt;0,ROUND(USPS_Pri_Int_Base!R66*(1+PostalMarkup),2),"N/A")</f>
        <v>444.48</v>
      </c>
      <c r="S70" s="321">
        <f>IF(LEN(USPS_Pri_Int_Base!S66)&gt;0,ROUND(USPS_Pri_Int_Base!S66*(1+PostalMarkup),2),"N/A")</f>
        <v>413.46</v>
      </c>
      <c r="T70" s="321">
        <f>IF(LEN(USPS_Pri_Int_Base!T66)&gt;0,ROUND(USPS_Pri_Int_Base!T66*(1+PostalMarkup),2),"N/A")</f>
        <v>721.68</v>
      </c>
      <c r="U70" s="321">
        <f>IF(LEN(USPS_Pri_Int_Base!U66)&gt;0,ROUND(USPS_Pri_Int_Base!U66*(1+PostalMarkup),2),"N/A")</f>
        <v>441.06</v>
      </c>
    </row>
    <row r="71" ht="12.75" customHeight="1">
      <c r="A71" s="320">
        <v>66.0</v>
      </c>
      <c r="B71" s="321">
        <f>IF(LEN(USPS_Pri_Int_Base!B67)&gt;0,ROUND(USPS_Pri_Int_Base!B67*(1+PostalMarkup),2),"N/A")</f>
        <v>529.7</v>
      </c>
      <c r="C71" s="321">
        <f>IF(LEN(USPS_Pri_Int_Base!C67)&gt;0,ROUND(USPS_Pri_Int_Base!C67*(1+PostalMarkup),2),"N/A")</f>
        <v>405.08</v>
      </c>
      <c r="D71" s="321">
        <f>IF(LEN(USPS_Pri_Int_Base!D67)&gt;0,ROUND(USPS_Pri_Int_Base!D67*(1+PostalMarkup),2),"N/A")</f>
        <v>555.83</v>
      </c>
      <c r="E71" s="321">
        <f>IF(LEN(USPS_Pri_Int_Base!E67)&gt;0,ROUND(USPS_Pri_Int_Base!E67*(1+PostalMarkup),2),"N/A")</f>
        <v>454.53</v>
      </c>
      <c r="F71" s="321">
        <f>IF(LEN(USPS_Pri_Int_Base!F67)&gt;0,ROUND(USPS_Pri_Int_Base!F67*(1+PostalMarkup),2),"N/A")</f>
        <v>470.98</v>
      </c>
      <c r="G71" s="321">
        <f>IF(LEN(USPS_Pri_Int_Base!G67)&gt;0,ROUND(USPS_Pri_Int_Base!G67*(1+PostalMarkup),2),"N/A")</f>
        <v>513.43</v>
      </c>
      <c r="H71" s="321">
        <f>IF(LEN(USPS_Pri_Int_Base!H67)&gt;0,ROUND(USPS_Pri_Int_Base!H67*(1+PostalMarkup),2),"N/A")</f>
        <v>524.79</v>
      </c>
      <c r="I71" s="321">
        <f>IF(LEN(USPS_Pri_Int_Base!I67)&gt;0,ROUND(USPS_Pri_Int_Base!I67*(1+PostalMarkup),2),"N/A")</f>
        <v>652.26</v>
      </c>
      <c r="J71" s="321">
        <f>IF(LEN(USPS_Pri_Int_Base!J67)&gt;0,ROUND(USPS_Pri_Int_Base!J67*(1+PostalMarkup),2),"N/A")</f>
        <v>657.16</v>
      </c>
      <c r="K71" s="321">
        <f>IF(LEN(USPS_Pri_Int_Base!K67)&gt;0,ROUND(USPS_Pri_Int_Base!K67*(1+PostalMarkup),2),"N/A")</f>
        <v>470.12</v>
      </c>
      <c r="L71" s="321">
        <f>IF(LEN(USPS_Pri_Int_Base!L67)&gt;0,ROUND(USPS_Pri_Int_Base!L67*(1+PostalMarkup),2),"N/A")</f>
        <v>501.75</v>
      </c>
      <c r="M71" s="321">
        <f>IF(LEN(USPS_Pri_Int_Base!M67)&gt;0,ROUND(USPS_Pri_Int_Base!M67*(1+PostalMarkup),2),"N/A")</f>
        <v>794.7</v>
      </c>
      <c r="N71" s="321">
        <f>IF(LEN(USPS_Pri_Int_Base!N67)&gt;0,ROUND(USPS_Pri_Int_Base!N67*(1+PostalMarkup),2),"N/A")</f>
        <v>530.29</v>
      </c>
      <c r="O71" s="321">
        <f>IF(LEN(USPS_Pri_Int_Base!O67)&gt;0,ROUND(USPS_Pri_Int_Base!O67*(1+PostalMarkup),2),"N/A")</f>
        <v>556.51</v>
      </c>
      <c r="P71" s="321">
        <f>IF(LEN(USPS_Pri_Int_Base!P67)&gt;0,ROUND(USPS_Pri_Int_Base!P67*(1+PostalMarkup),2),"N/A")</f>
        <v>400.83</v>
      </c>
      <c r="Q71" s="321">
        <f>IF(LEN(USPS_Pri_Int_Base!Q67)&gt;0,ROUND(USPS_Pri_Int_Base!Q67*(1+PostalMarkup),2),"N/A")</f>
        <v>427.82</v>
      </c>
      <c r="R71" s="321">
        <f>IF(LEN(USPS_Pri_Int_Base!R67)&gt;0,ROUND(USPS_Pri_Int_Base!R67*(1+PostalMarkup),2),"N/A")</f>
        <v>449.32</v>
      </c>
      <c r="S71" s="321">
        <f>IF(LEN(USPS_Pri_Int_Base!S67)&gt;0,ROUND(USPS_Pri_Int_Base!S67*(1+PostalMarkup),2),"N/A")</f>
        <v>419.77</v>
      </c>
      <c r="T71" s="321">
        <f>IF(LEN(USPS_Pri_Int_Base!T67)&gt;0,ROUND(USPS_Pri_Int_Base!T67*(1+PostalMarkup),2),"N/A")</f>
        <v>731.1</v>
      </c>
      <c r="U71" s="321">
        <f>IF(LEN(USPS_Pri_Int_Base!U67)&gt;0,ROUND(USPS_Pri_Int_Base!U67*(1+PostalMarkup),2),"N/A")</f>
        <v>446.27</v>
      </c>
    </row>
    <row r="72" ht="12.75" customHeight="1">
      <c r="A72" s="320">
        <v>67.0</v>
      </c>
      <c r="B72" s="321" t="str">
        <f>IF(LEN(USPS_Pri_Int_Base!B68)&gt;0,ROUND(USPS_Pri_Int_Base!B68*(1+PostalMarkup),2),"N/A")</f>
        <v>N/A</v>
      </c>
      <c r="C72" s="321">
        <f>IF(LEN(USPS_Pri_Int_Base!C68)&gt;0,ROUND(USPS_Pri_Int_Base!C68*(1+PostalMarkup),2),"N/A")</f>
        <v>406.28</v>
      </c>
      <c r="D72" s="321">
        <f>IF(LEN(USPS_Pri_Int_Base!D68)&gt;0,ROUND(USPS_Pri_Int_Base!D68*(1+PostalMarkup),2),"N/A")</f>
        <v>562.97</v>
      </c>
      <c r="E72" s="321">
        <f>IF(LEN(USPS_Pri_Int_Base!E68)&gt;0,ROUND(USPS_Pri_Int_Base!E68*(1+PostalMarkup),2),"N/A")</f>
        <v>456.5</v>
      </c>
      <c r="F72" s="321">
        <f>IF(LEN(USPS_Pri_Int_Base!F68)&gt;0,ROUND(USPS_Pri_Int_Base!F68*(1+PostalMarkup),2),"N/A")</f>
        <v>476.85</v>
      </c>
      <c r="G72" s="321">
        <f>IF(LEN(USPS_Pri_Int_Base!G68)&gt;0,ROUND(USPS_Pri_Int_Base!G68*(1+PostalMarkup),2),"N/A")</f>
        <v>520</v>
      </c>
      <c r="H72" s="321">
        <f>IF(LEN(USPS_Pri_Int_Base!H68)&gt;0,ROUND(USPS_Pri_Int_Base!H68*(1+PostalMarkup),2),"N/A")</f>
        <v>531.53</v>
      </c>
      <c r="I72" s="321">
        <f>IF(LEN(USPS_Pri_Int_Base!I68)&gt;0,ROUND(USPS_Pri_Int_Base!I68*(1+PostalMarkup),2),"N/A")</f>
        <v>660.93</v>
      </c>
      <c r="J72" s="321">
        <f>IF(LEN(USPS_Pri_Int_Base!J68)&gt;0,ROUND(USPS_Pri_Int_Base!J68*(1+PostalMarkup),2),"N/A")</f>
        <v>665.9</v>
      </c>
      <c r="K72" s="321">
        <f>IF(LEN(USPS_Pri_Int_Base!K68)&gt;0,ROUND(USPS_Pri_Int_Base!K68*(1+PostalMarkup),2),"N/A")</f>
        <v>480.54</v>
      </c>
      <c r="L72" s="321">
        <f>IF(LEN(USPS_Pri_Int_Base!L68)&gt;0,ROUND(USPS_Pri_Int_Base!L68*(1+PostalMarkup),2),"N/A")</f>
        <v>508.13</v>
      </c>
      <c r="M72" s="321" t="str">
        <f>IF(LEN(USPS_Pri_Int_Base!M68)&gt;0,ROUND(USPS_Pri_Int_Base!M68*(1+PostalMarkup),2),"N/A")</f>
        <v>N/A</v>
      </c>
      <c r="N72" s="321" t="str">
        <f>IF(LEN(USPS_Pri_Int_Base!N68)&gt;0,ROUND(USPS_Pri_Int_Base!N68*(1+PostalMarkup),2),"N/A")</f>
        <v>N/A</v>
      </c>
      <c r="O72" s="321" t="str">
        <f>IF(LEN(USPS_Pri_Int_Base!O68)&gt;0,ROUND(USPS_Pri_Int_Base!O68*(1+PostalMarkup),2),"N/A")</f>
        <v>N/A</v>
      </c>
      <c r="P72" s="321" t="str">
        <f>IF(LEN(USPS_Pri_Int_Base!P68)&gt;0,ROUND(USPS_Pri_Int_Base!P68*(1+PostalMarkup),2),"N/A")</f>
        <v>N/A</v>
      </c>
      <c r="Q72" s="321" t="str">
        <f>IF(LEN(USPS_Pri_Int_Base!Q68)&gt;0,ROUND(USPS_Pri_Int_Base!Q68*(1+PostalMarkup),2),"N/A")</f>
        <v>N/A</v>
      </c>
      <c r="R72" s="321" t="str">
        <f>IF(LEN(USPS_Pri_Int_Base!R68)&gt;0,ROUND(USPS_Pri_Int_Base!R68*(1+PostalMarkup),2),"N/A")</f>
        <v>N/A</v>
      </c>
      <c r="S72" s="321" t="str">
        <f>IF(LEN(USPS_Pri_Int_Base!S68)&gt;0,ROUND(USPS_Pri_Int_Base!S68*(1+PostalMarkup),2),"N/A")</f>
        <v>N/A</v>
      </c>
      <c r="T72" s="321">
        <f>IF(LEN(USPS_Pri_Int_Base!T68)&gt;0,ROUND(USPS_Pri_Int_Base!T68*(1+PostalMarkup),2),"N/A")</f>
        <v>740.51</v>
      </c>
      <c r="U72" s="321" t="str">
        <f>IF(LEN(USPS_Pri_Int_Base!U68)&gt;0,ROUND(USPS_Pri_Int_Base!U68*(1+PostalMarkup),2),"N/A")</f>
        <v>N/A</v>
      </c>
    </row>
    <row r="73" ht="12.75" customHeight="1">
      <c r="A73" s="320">
        <v>68.0</v>
      </c>
      <c r="B73" s="321" t="str">
        <f>IF(LEN(USPS_Pri_Int_Base!B69)&gt;0,ROUND(USPS_Pri_Int_Base!B69*(1+PostalMarkup),2),"N/A")</f>
        <v>N/A</v>
      </c>
      <c r="C73" s="321">
        <f>IF(LEN(USPS_Pri_Int_Base!C69)&gt;0,ROUND(USPS_Pri_Int_Base!C69*(1+PostalMarkup),2),"N/A")</f>
        <v>415.14</v>
      </c>
      <c r="D73" s="321">
        <f>IF(LEN(USPS_Pri_Int_Base!D69)&gt;0,ROUND(USPS_Pri_Int_Base!D69*(1+PostalMarkup),2),"N/A")</f>
        <v>570.11</v>
      </c>
      <c r="E73" s="321">
        <f>IF(LEN(USPS_Pri_Int_Base!E69)&gt;0,ROUND(USPS_Pri_Int_Base!E69*(1+PostalMarkup),2),"N/A")</f>
        <v>464.37</v>
      </c>
      <c r="F73" s="321">
        <f>IF(LEN(USPS_Pri_Int_Base!F69)&gt;0,ROUND(USPS_Pri_Int_Base!F69*(1+PostalMarkup),2),"N/A")</f>
        <v>482.71</v>
      </c>
      <c r="G73" s="321">
        <f>IF(LEN(USPS_Pri_Int_Base!G69)&gt;0,ROUND(USPS_Pri_Int_Base!G69*(1+PostalMarkup),2),"N/A")</f>
        <v>526.59</v>
      </c>
      <c r="H73" s="321">
        <f>IF(LEN(USPS_Pri_Int_Base!H69)&gt;0,ROUND(USPS_Pri_Int_Base!H69*(1+PostalMarkup),2),"N/A")</f>
        <v>538.25</v>
      </c>
      <c r="I73" s="321">
        <f>IF(LEN(USPS_Pri_Int_Base!I69)&gt;0,ROUND(USPS_Pri_Int_Base!I69*(1+PostalMarkup),2),"N/A")</f>
        <v>669.6</v>
      </c>
      <c r="J73" s="321">
        <f>IF(LEN(USPS_Pri_Int_Base!J69)&gt;0,ROUND(USPS_Pri_Int_Base!J69*(1+PostalMarkup),2),"N/A")</f>
        <v>674.64</v>
      </c>
      <c r="K73" s="321">
        <f>IF(LEN(USPS_Pri_Int_Base!K69)&gt;0,ROUND(USPS_Pri_Int_Base!K69*(1+PostalMarkup),2),"N/A")</f>
        <v>486.75</v>
      </c>
      <c r="L73" s="321">
        <f>IF(LEN(USPS_Pri_Int_Base!L69)&gt;0,ROUND(USPS_Pri_Int_Base!L69*(1+PostalMarkup),2),"N/A")</f>
        <v>514.54</v>
      </c>
      <c r="M73" s="321" t="str">
        <f>IF(LEN(USPS_Pri_Int_Base!M69)&gt;0,ROUND(USPS_Pri_Int_Base!M69*(1+PostalMarkup),2),"N/A")</f>
        <v>N/A</v>
      </c>
      <c r="N73" s="321" t="str">
        <f>IF(LEN(USPS_Pri_Int_Base!N69)&gt;0,ROUND(USPS_Pri_Int_Base!N69*(1+PostalMarkup),2),"N/A")</f>
        <v>N/A</v>
      </c>
      <c r="O73" s="321" t="str">
        <f>IF(LEN(USPS_Pri_Int_Base!O69)&gt;0,ROUND(USPS_Pri_Int_Base!O69*(1+PostalMarkup),2),"N/A")</f>
        <v>N/A</v>
      </c>
      <c r="P73" s="321" t="str">
        <f>IF(LEN(USPS_Pri_Int_Base!P69)&gt;0,ROUND(USPS_Pri_Int_Base!P69*(1+PostalMarkup),2),"N/A")</f>
        <v>N/A</v>
      </c>
      <c r="Q73" s="321" t="str">
        <f>IF(LEN(USPS_Pri_Int_Base!Q69)&gt;0,ROUND(USPS_Pri_Int_Base!Q69*(1+PostalMarkup),2),"N/A")</f>
        <v>N/A</v>
      </c>
      <c r="R73" s="321" t="str">
        <f>IF(LEN(USPS_Pri_Int_Base!R69)&gt;0,ROUND(USPS_Pri_Int_Base!R69*(1+PostalMarkup),2),"N/A")</f>
        <v>N/A</v>
      </c>
      <c r="S73" s="321" t="str">
        <f>IF(LEN(USPS_Pri_Int_Base!S69)&gt;0,ROUND(USPS_Pri_Int_Base!S69*(1+PostalMarkup),2),"N/A")</f>
        <v>N/A</v>
      </c>
      <c r="T73" s="321">
        <f>IF(LEN(USPS_Pri_Int_Base!T69)&gt;0,ROUND(USPS_Pri_Int_Base!T69*(1+PostalMarkup),2),"N/A")</f>
        <v>749.89</v>
      </c>
      <c r="U73" s="321" t="str">
        <f>IF(LEN(USPS_Pri_Int_Base!U69)&gt;0,ROUND(USPS_Pri_Int_Base!U69*(1+PostalMarkup),2),"N/A")</f>
        <v>N/A</v>
      </c>
    </row>
    <row r="74" ht="12.75" customHeight="1">
      <c r="A74" s="320">
        <v>69.0</v>
      </c>
      <c r="B74" s="321" t="str">
        <f>IF(LEN(USPS_Pri_Int_Base!B70)&gt;0,ROUND(USPS_Pri_Int_Base!B70*(1+PostalMarkup),2),"N/A")</f>
        <v>N/A</v>
      </c>
      <c r="C74" s="321">
        <f>IF(LEN(USPS_Pri_Int_Base!C70)&gt;0,ROUND(USPS_Pri_Int_Base!C70*(1+PostalMarkup),2),"N/A")</f>
        <v>420.12</v>
      </c>
      <c r="D74" s="321">
        <f>IF(LEN(USPS_Pri_Int_Base!D70)&gt;0,ROUND(USPS_Pri_Int_Base!D70*(1+PostalMarkup),2),"N/A")</f>
        <v>577.24</v>
      </c>
      <c r="E74" s="321">
        <f>IF(LEN(USPS_Pri_Int_Base!E70)&gt;0,ROUND(USPS_Pri_Int_Base!E70*(1+PostalMarkup),2),"N/A")</f>
        <v>473.75</v>
      </c>
      <c r="F74" s="321">
        <f>IF(LEN(USPS_Pri_Int_Base!F70)&gt;0,ROUND(USPS_Pri_Int_Base!F70*(1+PostalMarkup),2),"N/A")</f>
        <v>488.55</v>
      </c>
      <c r="G74" s="321">
        <f>IF(LEN(USPS_Pri_Int_Base!G70)&gt;0,ROUND(USPS_Pri_Int_Base!G70*(1+PostalMarkup),2),"N/A")</f>
        <v>533.12</v>
      </c>
      <c r="H74" s="321">
        <f>IF(LEN(USPS_Pri_Int_Base!H70)&gt;0,ROUND(USPS_Pri_Int_Base!H70*(1+PostalMarkup),2),"N/A")</f>
        <v>545.15</v>
      </c>
      <c r="I74" s="321">
        <f>IF(LEN(USPS_Pri_Int_Base!I70)&gt;0,ROUND(USPS_Pri_Int_Base!I70*(1+PostalMarkup),2),"N/A")</f>
        <v>678.27</v>
      </c>
      <c r="J74" s="321">
        <f>IF(LEN(USPS_Pri_Int_Base!J70)&gt;0,ROUND(USPS_Pri_Int_Base!J70*(1+PostalMarkup),2),"N/A")</f>
        <v>683.36</v>
      </c>
      <c r="K74" s="321">
        <f>IF(LEN(USPS_Pri_Int_Base!K70)&gt;0,ROUND(USPS_Pri_Int_Base!K70*(1+PostalMarkup),2),"N/A")</f>
        <v>492.97</v>
      </c>
      <c r="L74" s="321">
        <f>IF(LEN(USPS_Pri_Int_Base!L70)&gt;0,ROUND(USPS_Pri_Int_Base!L70*(1+PostalMarkup),2),"N/A")</f>
        <v>520.93</v>
      </c>
      <c r="M74" s="321" t="str">
        <f>IF(LEN(USPS_Pri_Int_Base!M70)&gt;0,ROUND(USPS_Pri_Int_Base!M70*(1+PostalMarkup),2),"N/A")</f>
        <v>N/A</v>
      </c>
      <c r="N74" s="321" t="str">
        <f>IF(LEN(USPS_Pri_Int_Base!N70)&gt;0,ROUND(USPS_Pri_Int_Base!N70*(1+PostalMarkup),2),"N/A")</f>
        <v>N/A</v>
      </c>
      <c r="O74" s="321" t="str">
        <f>IF(LEN(USPS_Pri_Int_Base!O70)&gt;0,ROUND(USPS_Pri_Int_Base!O70*(1+PostalMarkup),2),"N/A")</f>
        <v>N/A</v>
      </c>
      <c r="P74" s="321" t="str">
        <f>IF(LEN(USPS_Pri_Int_Base!P70)&gt;0,ROUND(USPS_Pri_Int_Base!P70*(1+PostalMarkup),2),"N/A")</f>
        <v>N/A</v>
      </c>
      <c r="Q74" s="321" t="str">
        <f>IF(LEN(USPS_Pri_Int_Base!Q70)&gt;0,ROUND(USPS_Pri_Int_Base!Q70*(1+PostalMarkup),2),"N/A")</f>
        <v>N/A</v>
      </c>
      <c r="R74" s="321" t="str">
        <f>IF(LEN(USPS_Pri_Int_Base!R70)&gt;0,ROUND(USPS_Pri_Int_Base!R70*(1+PostalMarkup),2),"N/A")</f>
        <v>N/A</v>
      </c>
      <c r="S74" s="321" t="str">
        <f>IF(LEN(USPS_Pri_Int_Base!S70)&gt;0,ROUND(USPS_Pri_Int_Base!S70*(1+PostalMarkup),2),"N/A")</f>
        <v>N/A</v>
      </c>
      <c r="T74" s="321">
        <f>IF(LEN(USPS_Pri_Int_Base!T70)&gt;0,ROUND(USPS_Pri_Int_Base!T70*(1+PostalMarkup),2),"N/A")</f>
        <v>759.29</v>
      </c>
      <c r="U74" s="321" t="str">
        <f>IF(LEN(USPS_Pri_Int_Base!U70)&gt;0,ROUND(USPS_Pri_Int_Base!U70*(1+PostalMarkup),2),"N/A")</f>
        <v>N/A</v>
      </c>
    </row>
    <row r="75" ht="12.75" customHeight="1">
      <c r="A75" s="320">
        <v>70.0</v>
      </c>
      <c r="B75" s="321" t="str">
        <f>IF(LEN(USPS_Pri_Int_Base!B71)&gt;0,ROUND(USPS_Pri_Int_Base!B71*(1+PostalMarkup),2),"N/A")</f>
        <v>N/A</v>
      </c>
      <c r="C75" s="321">
        <f>IF(LEN(USPS_Pri_Int_Base!C71)&gt;0,ROUND(USPS_Pri_Int_Base!C71*(1+PostalMarkup),2),"N/A")</f>
        <v>425.1</v>
      </c>
      <c r="D75" s="321">
        <f>IF(LEN(USPS_Pri_Int_Base!D71)&gt;0,ROUND(USPS_Pri_Int_Base!D71*(1+PostalMarkup),2),"N/A")</f>
        <v>584.42</v>
      </c>
      <c r="E75" s="321">
        <f>IF(LEN(USPS_Pri_Int_Base!E71)&gt;0,ROUND(USPS_Pri_Int_Base!E71*(1+PostalMarkup),2),"N/A")</f>
        <v>479.57</v>
      </c>
      <c r="F75" s="321">
        <f>IF(LEN(USPS_Pri_Int_Base!F71)&gt;0,ROUND(USPS_Pri_Int_Base!F71*(1+PostalMarkup),2),"N/A")</f>
        <v>494.44</v>
      </c>
      <c r="G75" s="321">
        <f>IF(LEN(USPS_Pri_Int_Base!G71)&gt;0,ROUND(USPS_Pri_Int_Base!G71*(1+PostalMarkup),2),"N/A")</f>
        <v>539.71</v>
      </c>
      <c r="H75" s="321">
        <f>IF(LEN(USPS_Pri_Int_Base!H71)&gt;0,ROUND(USPS_Pri_Int_Base!H71*(1+PostalMarkup),2),"N/A")</f>
        <v>551.97</v>
      </c>
      <c r="I75" s="321">
        <f>IF(LEN(USPS_Pri_Int_Base!I71)&gt;0,ROUND(USPS_Pri_Int_Base!I71*(1+PostalMarkup),2),"N/A")</f>
        <v>686.93</v>
      </c>
      <c r="J75" s="321">
        <f>IF(LEN(USPS_Pri_Int_Base!J71)&gt;0,ROUND(USPS_Pri_Int_Base!J71*(1+PostalMarkup),2),"N/A")</f>
        <v>692.1</v>
      </c>
      <c r="K75" s="321">
        <f>IF(LEN(USPS_Pri_Int_Base!K71)&gt;0,ROUND(USPS_Pri_Int_Base!K71*(1+PostalMarkup),2),"N/A")</f>
        <v>499.18</v>
      </c>
      <c r="L75" s="321">
        <f>IF(LEN(USPS_Pri_Int_Base!L71)&gt;0,ROUND(USPS_Pri_Int_Base!L71*(1+PostalMarkup),2),"N/A")</f>
        <v>527.34</v>
      </c>
      <c r="M75" s="321" t="str">
        <f>IF(LEN(USPS_Pri_Int_Base!M71)&gt;0,ROUND(USPS_Pri_Int_Base!M71*(1+PostalMarkup),2),"N/A")</f>
        <v>N/A</v>
      </c>
      <c r="N75" s="321" t="str">
        <f>IF(LEN(USPS_Pri_Int_Base!N71)&gt;0,ROUND(USPS_Pri_Int_Base!N71*(1+PostalMarkup),2),"N/A")</f>
        <v>N/A</v>
      </c>
      <c r="O75" s="321" t="str">
        <f>IF(LEN(USPS_Pri_Int_Base!O71)&gt;0,ROUND(USPS_Pri_Int_Base!O71*(1+PostalMarkup),2),"N/A")</f>
        <v>N/A</v>
      </c>
      <c r="P75" s="321" t="str">
        <f>IF(LEN(USPS_Pri_Int_Base!P71)&gt;0,ROUND(USPS_Pri_Int_Base!P71*(1+PostalMarkup),2),"N/A")</f>
        <v>N/A</v>
      </c>
      <c r="Q75" s="321" t="str">
        <f>IF(LEN(USPS_Pri_Int_Base!Q71)&gt;0,ROUND(USPS_Pri_Int_Base!Q71*(1+PostalMarkup),2),"N/A")</f>
        <v>N/A</v>
      </c>
      <c r="R75" s="321" t="str">
        <f>IF(LEN(USPS_Pri_Int_Base!R71)&gt;0,ROUND(USPS_Pri_Int_Base!R71*(1+PostalMarkup),2),"N/A")</f>
        <v>N/A</v>
      </c>
      <c r="S75" s="321" t="str">
        <f>IF(LEN(USPS_Pri_Int_Base!S71)&gt;0,ROUND(USPS_Pri_Int_Base!S71*(1+PostalMarkup),2),"N/A")</f>
        <v>N/A</v>
      </c>
      <c r="T75" s="321">
        <f>IF(LEN(USPS_Pri_Int_Base!T71)&gt;0,ROUND(USPS_Pri_Int_Base!T71*(1+PostalMarkup),2),"N/A")</f>
        <v>768.71</v>
      </c>
      <c r="U75" s="321" t="str">
        <f>IF(LEN(USPS_Pri_Int_Base!U71)&gt;0,ROUND(USPS_Pri_Int_Base!U71*(1+PostalMarkup),2),"N/A")</f>
        <v>N/A</v>
      </c>
    </row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conditionalFormatting sqref="A6:U75">
    <cfRule type="expression" dxfId="0" priority="1">
      <formula>MOD(ROW(),2)=0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2017-10-11T14:26:03Z</dcterms:created>
  <dc:creator>Cazier Bryce (QHF8HZD)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0x010100E77B61A18B94C547BDC000DD4A603907</vt:lpwstr>
  </property>
</Properties>
</file>